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dossiers labellisés ou annulés\LOCOAL MENDON (56) - LE GAL-BEL\"/>
    </mc:Choice>
  </mc:AlternateContent>
  <xr:revisionPtr revIDLastSave="0" documentId="13_ncr:1_{1AD7620A-7EF3-4C04-A956-7F7696DB656F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<sst xmlns="http://schemas.openxmlformats.org/spreadsheetml/2006/main" count="1169" uniqueCount="324">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</sst>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1.9951072854316962</c:v>
                </c:pt>
                <c:pt idx="2">
                  <c:v>2.5667422007919742</c:v>
                </c:pt>
                <c:pt idx="3">
                  <c:v>3.3028222138236161</c:v>
                </c:pt>
                <c:pt idx="4">
                  <c:v>4.2508335717683972</c:v>
                </c:pt>
                <c:pt idx="5">
                  <c:v>5.4720234962282985</c:v>
                </c:pt>
                <c:pt idx="6">
                  <c:v>7.0454010302000478</c:v>
                </c:pt>
                <c:pt idx="7">
                  <c:v>9.0729045949774356</c:v>
                </c:pt>
                <c:pt idx="8">
                  <c:v>11.686077426646891</c:v>
                </c:pt>
                <c:pt idx="9">
                  <c:v>15.054692077283761</c:v>
                </c:pt>
                <c:pt idx="10">
                  <c:v>19.397894567888933</c:v>
                </c:pt>
                <c:pt idx="11">
                  <c:v>24.998606220625785</c:v>
                </c:pt>
                <c:pt idx="12">
                  <c:v>32.222137881090447</c:v>
                </c:pt>
                <c:pt idx="13">
                  <c:v>41.54025167725414</c:v>
                </c:pt>
                <c:pt idx="14">
                  <c:v>53.56226844352517</c:v>
                </c:pt>
                <c:pt idx="15">
                  <c:v>69.075288808613962</c:v>
                </c:pt>
                <c:pt idx="16">
                  <c:v>89.096204237561849</c:v>
                </c:pt>
                <c:pt idx="17">
                  <c:v>114.93896188205872</c:v>
                </c:pt>
                <c:pt idx="18">
                  <c:v>148.30156685454077</c:v>
                </c:pt>
                <c:pt idx="19">
                  <c:v>130.91926315364825</c:v>
                </c:pt>
                <c:pt idx="20">
                  <c:v>148.73547386114751</c:v>
                </c:pt>
                <c:pt idx="21">
                  <c:v>166.50072957530213</c:v>
                </c:pt>
                <c:pt idx="22">
                  <c:v>184.22123662819629</c:v>
                </c:pt>
                <c:pt idx="23">
                  <c:v>201.90190730491364</c:v>
                </c:pt>
                <c:pt idx="24">
                  <c:v>219.54672196983498</c:v>
                </c:pt>
                <c:pt idx="25">
                  <c:v>187.0268148001596</c:v>
                </c:pt>
                <c:pt idx="26">
                  <c:v>203.62487343629971</c:v>
                </c:pt>
                <c:pt idx="27">
                  <c:v>220.19162819449528</c:v>
                </c:pt>
                <c:pt idx="28">
                  <c:v>236.72976621924911</c:v>
                </c:pt>
                <c:pt idx="29">
                  <c:v>253.24156826986064</c:v>
                </c:pt>
                <c:pt idx="30">
                  <c:v>269.72899324208112</c:v>
                </c:pt>
                <c:pt idx="31">
                  <c:v>223.02870207461862</c:v>
                </c:pt>
                <c:pt idx="32">
                  <c:v>236.81560804160608</c:v>
                </c:pt>
                <c:pt idx="33">
                  <c:v>250.58421937612471</c:v>
                </c:pt>
                <c:pt idx="34">
                  <c:v>264.33568316091396</c:v>
                </c:pt>
                <c:pt idx="35">
                  <c:v>278.0710173254069</c:v>
                </c:pt>
                <c:pt idx="36">
                  <c:v>291.79113098496725</c:v>
                </c:pt>
                <c:pt idx="37">
                  <c:v>305.49684075132535</c:v>
                </c:pt>
                <c:pt idx="38">
                  <c:v>319.18888396087686</c:v>
                </c:pt>
                <c:pt idx="39">
                  <c:v>332.86792951319143</c:v>
                </c:pt>
                <c:pt idx="40">
                  <c:v>346.53458683392802</c:v>
                </c:pt>
                <c:pt idx="41">
                  <c:v>292.68819813988773</c:v>
                </c:pt>
                <c:pt idx="42">
                  <c:v>302.80803515574286</c:v>
                </c:pt>
                <c:pt idx="43">
                  <c:v>312.92034803081702</c:v>
                </c:pt>
                <c:pt idx="44">
                  <c:v>323.02541433745813</c:v>
                </c:pt>
                <c:pt idx="45">
                  <c:v>333.12349285380191</c:v>
                </c:pt>
                <c:pt idx="46">
                  <c:v>343.21482537977403</c:v>
                </c:pt>
                <c:pt idx="47">
                  <c:v>353.29963832825234</c:v>
                </c:pt>
                <c:pt idx="48">
                  <c:v>363.37814412498386</c:v>
                </c:pt>
                <c:pt idx="49">
                  <c:v>373.45054244501836</c:v>
                </c:pt>
                <c:pt idx="50">
                  <c:v>383.51702130873815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497.84269099902531</c:v>
                </c:pt>
                <c:pt idx="77">
                  <c:v>501.29242684162426</c:v>
                </c:pt>
                <c:pt idx="78">
                  <c:v>504.74166024448397</c:v>
                </c:pt>
                <c:pt idx="79">
                  <c:v>508.19039512861644</c:v>
                </c:pt>
                <c:pt idx="80">
                  <c:v>511.63863535742718</c:v>
                </c:pt>
                <c:pt idx="81">
                  <c:v>482.50434799892838</c:v>
                </c:pt>
                <c:pt idx="82">
                  <c:v>493.6256590558267</c:v>
                </c:pt>
                <c:pt idx="83">
                  <c:v>504.74166024448414</c:v>
                </c:pt>
                <c:pt idx="84">
                  <c:v>515.85248498703129</c:v>
                </c:pt>
                <c:pt idx="85">
                  <c:v>526.95826048952063</c:v>
                </c:pt>
                <c:pt idx="86">
                  <c:v>497.07601440225949</c:v>
                </c:pt>
                <c:pt idx="87">
                  <c:v>507.42405248193245</c:v>
                </c:pt>
                <c:pt idx="88">
                  <c:v>517.76763064124975</c:v>
                </c:pt>
                <c:pt idx="89">
                  <c:v>528.10685054075043</c:v>
                </c:pt>
                <c:pt idx="90">
                  <c:v>538.44180953565819</c:v>
                </c:pt>
                <c:pt idx="91">
                  <c:v>507.80722686130594</c:v>
                </c:pt>
                <c:pt idx="92">
                  <c:v>517.38461348648957</c:v>
                </c:pt>
                <c:pt idx="93">
                  <c:v>526.95826048952051</c:v>
                </c:pt>
                <c:pt idx="94">
                  <c:v>536.52824539615108</c:v>
                </c:pt>
                <c:pt idx="95">
                  <c:v>546.09464274073559</c:v>
                </c:pt>
                <c:pt idx="96">
                  <c:v>515.08638473795293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551.83278906179714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538.05910815921266</c:v>
                </c:pt>
                <c:pt idx="104">
                  <c:v>546.85980171226174</c:v>
                </c:pt>
                <c:pt idx="105">
                  <c:v>555.65752423315951</c:v>
                </c:pt>
                <c:pt idx="106">
                  <c:v>525.42672503969129</c:v>
                </c:pt>
                <c:pt idx="107">
                  <c:v>533.46624406259468</c:v>
                </c:pt>
                <c:pt idx="108">
                  <c:v>541.50321514452025</c:v>
                </c:pt>
                <c:pt idx="109">
                  <c:v>549.53768144295771</c:v>
                </c:pt>
                <c:pt idx="110">
                  <c:v>557.56968475025803</c:v>
                </c:pt>
                <c:pt idx="111">
                  <c:v>528.48970219589705</c:v>
                </c:pt>
                <c:pt idx="112">
                  <c:v>535.76277959494905</c:v>
                </c:pt>
                <c:pt idx="113">
                  <c:v>543.0337814930067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536.91096968482691</c:v>
                </c:pt>
                <c:pt idx="118">
                  <c:v>543.79903068153817</c:v>
                </c:pt>
                <c:pt idx="119">
                  <c:v>550.68526032404054</c:v>
                </c:pt>
                <c:pt idx="120">
                  <c:v>557.56968475025826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1.7983590495427</c:v>
                </c:pt>
                <c:pt idx="2">
                  <c:v>2.2250723216926933</c:v>
                </c:pt>
                <c:pt idx="3">
                  <c:v>2.7534322831541989</c:v>
                </c:pt>
                <c:pt idx="4">
                  <c:v>3.4077413288763059</c:v>
                </c:pt>
                <c:pt idx="5">
                  <c:v>4.2181322727099486</c:v>
                </c:pt>
                <c:pt idx="6">
                  <c:v>5.2219716087393548</c:v>
                </c:pt>
                <c:pt idx="7">
                  <c:v>6.4656015061107972</c:v>
                </c:pt>
                <c:pt idx="8">
                  <c:v>8.0065025257837785</c:v>
                </c:pt>
                <c:pt idx="9">
                  <c:v>9.9159789414746928</c:v>
                </c:pt>
                <c:pt idx="10">
                  <c:v>12.282493278818798</c:v>
                </c:pt>
                <c:pt idx="11">
                  <c:v>15.215807435341619</c:v>
                </c:pt>
                <c:pt idx="12">
                  <c:v>18.852125975900751</c:v>
                </c:pt>
                <c:pt idx="13">
                  <c:v>23.360484738699075</c:v>
                </c:pt>
                <c:pt idx="14">
                  <c:v>28.950687006421436</c:v>
                </c:pt>
                <c:pt idx="15">
                  <c:v>35.883163020991212</c:v>
                </c:pt>
                <c:pt idx="16">
                  <c:v>44.481220064987831</c:v>
                </c:pt>
                <c:pt idx="17">
                  <c:v>55.146264073708259</c:v>
                </c:pt>
                <c:pt idx="18">
                  <c:v>68.376715225181087</c:v>
                </c:pt>
                <c:pt idx="19">
                  <c:v>84.791515959444709</c:v>
                </c:pt>
                <c:pt idx="20">
                  <c:v>105.15934884007568</c:v>
                </c:pt>
                <c:pt idx="21">
                  <c:v>130.43495409245023</c:v>
                </c:pt>
                <c:pt idx="22">
                  <c:v>161.80427560803119</c:v>
                </c:pt>
                <c:pt idx="23">
                  <c:v>200.74058596732007</c:v>
                </c:pt>
                <c:pt idx="24">
                  <c:v>234.50882798734798</c:v>
                </c:pt>
                <c:pt idx="25">
                  <c:v>268.16596723194158</c:v>
                </c:pt>
                <c:pt idx="26">
                  <c:v>281.12183635781474</c:v>
                </c:pt>
                <c:pt idx="27">
                  <c:v>310.82280084580395</c:v>
                </c:pt>
                <c:pt idx="28">
                  <c:v>340.46077551603156</c:v>
                </c:pt>
                <c:pt idx="29">
                  <c:v>370.04200959807071</c:v>
                </c:pt>
                <c:pt idx="30">
                  <c:v>399.57167178295862</c:v>
                </c:pt>
                <c:pt idx="31">
                  <c:v>379.09668743989408</c:v>
                </c:pt>
                <c:pt idx="32">
                  <c:v>408.6114475460293</c:v>
                </c:pt>
                <c:pt idx="33">
                  <c:v>438.08017326114509</c:v>
                </c:pt>
                <c:pt idx="34">
                  <c:v>467.50639268287961</c:v>
                </c:pt>
                <c:pt idx="35">
                  <c:v>496.89315392930274</c:v>
                </c:pt>
                <c:pt idx="36">
                  <c:v>467.26924609904512</c:v>
                </c:pt>
                <c:pt idx="37">
                  <c:v>495.70893259379926</c:v>
                </c:pt>
                <c:pt idx="38">
                  <c:v>524.11406271004307</c:v>
                </c:pt>
                <c:pt idx="39">
                  <c:v>552.48677012222458</c:v>
                </c:pt>
                <c:pt idx="40">
                  <c:v>580.82895174144687</c:v>
                </c:pt>
                <c:pt idx="41">
                  <c:v>536.64922208458972</c:v>
                </c:pt>
                <c:pt idx="42">
                  <c:v>560.992549027368</c:v>
                </c:pt>
                <c:pt idx="43">
                  <c:v>585.31377902676002</c:v>
                </c:pt>
                <c:pt idx="44">
                  <c:v>609.61395836729616</c:v>
                </c:pt>
                <c:pt idx="45">
                  <c:v>633.89404321407972</c:v>
                </c:pt>
                <c:pt idx="46">
                  <c:v>584.36966457807512</c:v>
                </c:pt>
                <c:pt idx="47">
                  <c:v>602.06658285816218</c:v>
                </c:pt>
                <c:pt idx="48">
                  <c:v>619.75269577860945</c:v>
                </c:pt>
                <c:pt idx="49">
                  <c:v>637.42835487942023</c:v>
                </c:pt>
                <c:pt idx="50">
                  <c:v>655.09389063044614</c:v>
                </c:pt>
                <c:pt idx="51">
                  <c:v>620.45992059020114</c:v>
                </c:pt>
                <c:pt idx="52">
                  <c:v>635.30781662925813</c:v>
                </c:pt>
                <c:pt idx="53">
                  <c:v>650.14854272914761</c:v>
                </c:pt>
                <c:pt idx="54">
                  <c:v>664.98228551186753</c:v>
                </c:pt>
                <c:pt idx="55">
                  <c:v>679.80922259999909</c:v>
                </c:pt>
                <c:pt idx="56">
                  <c:v>645.43796637298954</c:v>
                </c:pt>
                <c:pt idx="57">
                  <c:v>654.62293835901619</c:v>
                </c:pt>
                <c:pt idx="58">
                  <c:v>663.80525525225971</c:v>
                </c:pt>
                <c:pt idx="59">
                  <c:v>672.98495895127326</c:v>
                </c:pt>
                <c:pt idx="60">
                  <c:v>682.16209011862327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18" sqref="I1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2.23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0.46</v>
      </c>
      <c r="D9" s="36">
        <f t="shared" ref="D9:D18" si="0">C9*$C$5</f>
        <v>1.0258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14</v>
      </c>
      <c r="C10" s="35">
        <v>0.13</v>
      </c>
      <c r="D10" s="36">
        <f t="shared" si="0"/>
        <v>0.28989999999999999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0.23</v>
      </c>
      <c r="D11" s="36">
        <f t="shared" si="0"/>
        <v>0.51290000000000002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0.82000000000000006</v>
      </c>
      <c r="D19" s="41">
        <f>SUM(D9:D18)</f>
        <v>1.8286000000000002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111</v>
      </c>
      <c r="C36" s="63">
        <v>1</v>
      </c>
      <c r="D36" s="63">
        <v>27</v>
      </c>
      <c r="E36" s="54"/>
      <c r="F36" s="54"/>
      <c r="G36" s="54">
        <v>1</v>
      </c>
      <c r="H36" s="54"/>
      <c r="I36" s="52">
        <f>IFERROR(B36/A36,"")</f>
        <v>6.166666666666667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24</v>
      </c>
      <c r="B37" s="63">
        <v>166</v>
      </c>
      <c r="C37" s="63">
        <v>2</v>
      </c>
      <c r="D37" s="63">
        <v>38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13.666666666666666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205</v>
      </c>
      <c r="C38" s="63">
        <v>3</v>
      </c>
      <c r="D38" s="63">
        <v>47</v>
      </c>
      <c r="E38" s="54">
        <v>0.4</v>
      </c>
      <c r="F38" s="54">
        <v>0.2</v>
      </c>
      <c r="G38" s="54">
        <v>0.4</v>
      </c>
      <c r="H38" s="54"/>
      <c r="I38" s="56">
        <f t="shared" si="1"/>
        <v>12.833333333333334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265</v>
      </c>
      <c r="C39" s="63">
        <v>4</v>
      </c>
      <c r="D39" s="63">
        <v>50</v>
      </c>
      <c r="E39" s="54"/>
      <c r="F39" s="54"/>
      <c r="G39" s="54"/>
      <c r="H39" s="54"/>
      <c r="I39" s="52">
        <f t="shared" si="1"/>
        <v>10.7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v>294</v>
      </c>
      <c r="C40" s="63">
        <v>5</v>
      </c>
      <c r="D40" s="63">
        <v>294</v>
      </c>
      <c r="E40" s="54"/>
      <c r="F40" s="54"/>
      <c r="G40" s="54"/>
      <c r="H40" s="54"/>
      <c r="I40" s="52">
        <f t="shared" si="1"/>
        <v>7.9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70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8.1999999999999993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197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252</v>
      </c>
      <c r="C72" s="53">
        <v>11</v>
      </c>
      <c r="D72" s="53"/>
      <c r="E72" s="54"/>
      <c r="F72" s="54"/>
      <c r="G72" s="54"/>
      <c r="H72" s="54"/>
      <c r="I72" s="52">
        <f t="shared" si="2"/>
        <v>6.2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261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1.8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4.5999999999999996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285</v>
      </c>
      <c r="C81" s="53">
        <v>20</v>
      </c>
      <c r="D81" s="53">
        <v>285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23</v>
      </c>
      <c r="B88" s="63">
        <v>162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7.0434782608695654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218</v>
      </c>
      <c r="C89" s="63">
        <v>2</v>
      </c>
      <c r="D89" s="63">
        <v>14</v>
      </c>
      <c r="E89" s="54">
        <v>0.15</v>
      </c>
      <c r="F89" s="54"/>
      <c r="G89" s="54">
        <v>0.85</v>
      </c>
      <c r="H89" s="93"/>
      <c r="I89" s="56">
        <f t="shared" ref="I89:I107" si="3">IF(A89&lt;&gt;0,(B89-(B88-D88))/(A89-A88),"")</f>
        <v>28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328</v>
      </c>
      <c r="C90" s="63">
        <v>3</v>
      </c>
      <c r="D90" s="63">
        <v>42</v>
      </c>
      <c r="E90" s="93">
        <v>0.25</v>
      </c>
      <c r="F90" s="93"/>
      <c r="G90" s="93">
        <v>0.75</v>
      </c>
      <c r="H90" s="93"/>
      <c r="I90" s="56">
        <f t="shared" si="3"/>
        <v>24.8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410</v>
      </c>
      <c r="C91" s="63">
        <v>4</v>
      </c>
      <c r="D91" s="63">
        <v>49</v>
      </c>
      <c r="E91" s="93"/>
      <c r="F91" s="93"/>
      <c r="G91" s="93"/>
      <c r="H91" s="93"/>
      <c r="I91" s="56">
        <f t="shared" si="3"/>
        <v>24.8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481</v>
      </c>
      <c r="C92" s="63">
        <v>5</v>
      </c>
      <c r="D92" s="63">
        <v>58</v>
      </c>
      <c r="E92" s="93"/>
      <c r="F92" s="93"/>
      <c r="G92" s="93"/>
      <c r="H92" s="93"/>
      <c r="I92" s="56">
        <f t="shared" si="3"/>
        <v>24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526</v>
      </c>
      <c r="C93" s="63">
        <v>6</v>
      </c>
      <c r="D93" s="63">
        <v>57</v>
      </c>
      <c r="E93" s="93"/>
      <c r="F93" s="93"/>
      <c r="G93" s="93"/>
      <c r="H93" s="93"/>
      <c r="I93" s="56">
        <f t="shared" si="3"/>
        <v>20.6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544</v>
      </c>
      <c r="C94" s="63">
        <v>7</v>
      </c>
      <c r="D94" s="63">
        <v>42</v>
      </c>
      <c r="E94" s="93"/>
      <c r="F94" s="93"/>
      <c r="G94" s="93"/>
      <c r="H94" s="93"/>
      <c r="I94" s="56">
        <f t="shared" si="3"/>
        <v>15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565</v>
      </c>
      <c r="C95" s="63">
        <v>8</v>
      </c>
      <c r="D95" s="63">
        <v>37</v>
      </c>
      <c r="E95" s="93"/>
      <c r="F95" s="93"/>
      <c r="G95" s="93"/>
      <c r="H95" s="93"/>
      <c r="I95" s="56">
        <f t="shared" si="3"/>
        <v>12.6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567</v>
      </c>
      <c r="C96" s="63">
        <v>9</v>
      </c>
      <c r="D96" s="63">
        <v>567</v>
      </c>
      <c r="E96" s="93"/>
      <c r="F96" s="93"/>
      <c r="G96" s="93"/>
      <c r="H96" s="93"/>
      <c r="I96" s="56">
        <f t="shared" si="3"/>
        <v>7.8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1" sqref="F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Douglas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131.58904681787436</v>
      </c>
      <c r="T3" s="62">
        <f>IF('Données projet'!E9&gt;30,$R$33-$H$33,LOOKUP('Données projet'!$E$9,$A$3:$A$203,R3:R203)-LOOKUP('Données projet'!$E$9,$A$3:$A$203,$H$3:$H$203))</f>
        <v>208.65872561216122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221.11420634571317</v>
      </c>
      <c r="AO3" s="62">
        <f>IF('Données projet'!E10&gt;30,$AM$33-$H$33,LOOKUP('Données projet'!$E$10,$A$3:$A$203,AM3:AM203)-LOOKUP('Données projet'!$E$10,$A$3:$A$203,$H$3:$H$203))</f>
        <v>133.63266168802033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277.5990520183687</v>
      </c>
      <c r="BJ3" s="62">
        <f>IF('Données projet'!E11&gt;30,$BH$33-$H$33,LOOKUP('Données projet'!$E$11,$A$3:$A$203,BH3:BH203)-LOOKUP('Données projet'!$E$11,$A$3:$A$203,$H$3:$H$203))</f>
        <v>338.50140415303872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6.166666666666667</v>
      </c>
      <c r="N4" s="14">
        <f>IF('Données projet'!$A$36&gt;35,N3+M4-V3,IF(A4&lt;'Données projet'!$A$36,$K$205^A4,IF(A4='Données projet'!$A$36,'Données projet'!$B$36,N3+M4-V3)))</f>
        <v>1.2990595333015609</v>
      </c>
      <c r="O4" s="14">
        <f>N4*VLOOKUP('Données projet'!$B$9,Paramètres!$A$1:$I$89,3,0)*VLOOKUP('Données projet'!$B$9,Paramètres!$A$1:$I$89,5,0)</f>
        <v>0.7768376009143334</v>
      </c>
      <c r="P4" s="14">
        <f>EXP(-1.0587+0.8836*LN(O4)+0.284)</f>
        <v>0.36867854383113818</v>
      </c>
      <c r="Q4" s="22">
        <f t="shared" ref="Q4:Q34" si="2">(O4+P4)*0.475*44/12</f>
        <v>1.9951072854316962</v>
      </c>
      <c r="R4" s="62">
        <f t="shared" si="0"/>
        <v>295.328440618765</v>
      </c>
      <c r="S4" s="62">
        <f ca="1">AVERAGE(OFFSET($R$3,0,0,'Données projet'!$E$9+1,1))-AVERAGE(OFFSET($H$3,0,0,'Données projet'!$E$9+1,1))</f>
        <v>131.58904681787436</v>
      </c>
      <c r="T4" s="62">
        <f>$T$3</f>
        <v>208.65872561216122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1.1852335095914694</v>
      </c>
      <c r="AJ4" s="14">
        <f>AI4*VLOOKUP('Données projet'!$B$10,Paramètres!$A$1:$I$89,3,0)*VLOOKUP('Données projet'!$B$10,Paramètres!$A$1:$I$89,5,0)</f>
        <v>1.0723992794783614</v>
      </c>
      <c r="AK4" s="14">
        <f>EXP(-1.0587+0.8836*LN(AJ4)+0.284)</f>
        <v>0.49020200157376026</v>
      </c>
      <c r="AL4" s="22">
        <f t="shared" ref="AL4:AL67" si="4">(AJ4+AK4)*0.475*44/12</f>
        <v>2.7215305644991119</v>
      </c>
      <c r="AM4" s="62">
        <f t="shared" ref="AM4:AM67" si="5">AL4+(AD4+AE4)*44/12</f>
        <v>296.05486389783243</v>
      </c>
      <c r="AN4" s="62">
        <f ca="1">AVERAGE(OFFSET($AM$3,0,0,'Données projet'!$E$10+1,1))-AVERAGE(OFFSET($H$3,0,0,'Données projet'!$E$10+1,1))</f>
        <v>221.11420634571317</v>
      </c>
      <c r="AO4" s="62">
        <f>$AO$3</f>
        <v>133.63266168802033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7.0434782608695654</v>
      </c>
      <c r="BD4" s="13">
        <f>IF('Données projet'!$A$88&gt;35,BD3+BC4-BL3,IF(A4&lt;'Données projet'!$A$88,$BA$205^A4,IF(A4='Données projet'!$A$88,'Données projet'!$B$88,BD3+BC4-BL3)))</f>
        <v>1.2475727214128975</v>
      </c>
      <c r="BE4" s="14">
        <f>BD4*VLOOKUP('Données projet'!$B$11,Paramètres!$A$1:$I$89,3,0)*VLOOKUP('Données projet'!$B$11,Paramètres!$A$1:$I$89,5,0)</f>
        <v>0.69739315126980972</v>
      </c>
      <c r="BF4" s="14">
        <f>EXP(-1.0587+0.8836*LN(BE4)+0.284)</f>
        <v>0.33515749918532894</v>
      </c>
      <c r="BG4" s="22">
        <f t="shared" ref="BG4:BG67" si="7">(BE4+BF4)*0.475*44/12</f>
        <v>1.7983590495427</v>
      </c>
      <c r="BH4" s="62">
        <f t="shared" ref="BH4:BH67" si="8">BG4+(AY4+AZ4)*44/12</f>
        <v>295.131692382876</v>
      </c>
      <c r="BI4" s="62">
        <f ca="1">AVERAGE(OFFSET($BH$3,0,0,'Données projet'!$E$11+1,1))-AVERAGE(OFFSET($H$3,0,0,'Données projet'!$E$11+1,1))</f>
        <v>277.5990520183687</v>
      </c>
      <c r="BJ4" s="62">
        <f>$BJ$3</f>
        <v>338.50140415303872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6.166666666666667</v>
      </c>
      <c r="N5" s="14">
        <f>IF('Données projet'!$A$36&gt;35,N4+M5-V4,IF(A5&lt;'Données projet'!$A$36,$K$205^A5,IF(A5='Données projet'!$A$36,'Données projet'!$B$36,N4+M5-V4)))</f>
        <v>1.6875556710616693</v>
      </c>
      <c r="O5" s="14">
        <f>N5*VLOOKUP('Données projet'!$B$9,Paramètres!$A$1:$I$89,3,0)*VLOOKUP('Données projet'!$B$9,Paramètres!$A$1:$I$89,5,0)</f>
        <v>1.0091582912948782</v>
      </c>
      <c r="P5" s="14">
        <f t="shared" ref="P5:P68" si="33">EXP(-1.0587+0.8836*LN(O5)+0.284)</f>
        <v>0.46456928810721226</v>
      </c>
      <c r="Q5" s="22">
        <f t="shared" si="2"/>
        <v>2.5667422007919742</v>
      </c>
      <c r="R5" s="62">
        <f t="shared" si="0"/>
        <v>295.90007553412528</v>
      </c>
      <c r="S5" s="62">
        <f ca="1">AVERAGE(OFFSET($R$3,0,0,'Données projet'!$E$9+1,1))-AVERAGE(OFFSET($H$3,0,0,'Données projet'!$E$9+1,1))</f>
        <v>131.58904681787436</v>
      </c>
      <c r="T5" s="62">
        <f t="shared" ref="T5:T68" si="34">$T$3</f>
        <v>208.65872561216122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1.4047784722585119</v>
      </c>
      <c r="AJ5" s="14">
        <f>AI5*VLOOKUP('Données projet'!$B$10,Paramètres!$A$1:$I$89,3,0)*VLOOKUP('Données projet'!$B$10,Paramètres!$A$1:$I$89,5,0)</f>
        <v>1.2710435616995015</v>
      </c>
      <c r="AK5" s="14">
        <f t="shared" ref="AK5:AK68" si="35">EXP(-1.0587+0.8836*LN(AJ5)+0.284)</f>
        <v>0.56962392939903683</v>
      </c>
      <c r="AL5" s="22">
        <f t="shared" si="4"/>
        <v>3.2058292136632871</v>
      </c>
      <c r="AM5" s="62">
        <f t="shared" si="5"/>
        <v>296.53916254699658</v>
      </c>
      <c r="AN5" s="62">
        <f ca="1">AVERAGE(OFFSET($AM$3,0,0,'Données projet'!$E$10+1,1))-AVERAGE(OFFSET($H$3,0,0,'Données projet'!$E$10+1,1))</f>
        <v>221.11420634571317</v>
      </c>
      <c r="AO5" s="62">
        <f t="shared" ref="AO5:AO68" si="36">$AO$3</f>
        <v>133.63266168802033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7.0434782608695654</v>
      </c>
      <c r="BD5" s="13">
        <f>IF('Données projet'!$A$88&gt;35,BD4+BC5-BL4,IF(A5&lt;'Données projet'!$A$88,$BA$205^A5,IF(A5='Données projet'!$A$88,'Données projet'!$B$88,BD4+BC5-BL4)))</f>
        <v>1.5564376952135832</v>
      </c>
      <c r="BE5" s="14">
        <f>BD5*VLOOKUP('Données projet'!$B$11,Paramètres!$A$1:$I$89,3,0)*VLOOKUP('Données projet'!$B$11,Paramètres!$A$1:$I$89,5,0)</f>
        <v>0.87004867162439303</v>
      </c>
      <c r="BF5" s="14">
        <f t="shared" ref="BF5:BF68" si="37">EXP(-1.0587+0.8836*LN(BE5)+0.284)</f>
        <v>0.40750481451495241</v>
      </c>
      <c r="BG5" s="22">
        <f t="shared" si="7"/>
        <v>2.2250723216926933</v>
      </c>
      <c r="BH5" s="62">
        <f t="shared" si="8"/>
        <v>295.55840565502604</v>
      </c>
      <c r="BI5" s="62">
        <f ca="1">AVERAGE(OFFSET($BH$3,0,0,'Données projet'!$E$11+1,1))-AVERAGE(OFFSET($H$3,0,0,'Données projet'!$E$11+1,1))</f>
        <v>277.5990520183687</v>
      </c>
      <c r="BJ5" s="62">
        <f t="shared" ref="BJ5:BJ68" si="38">$BJ$3</f>
        <v>338.50140415303872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6.166666666666667</v>
      </c>
      <c r="N6" s="14">
        <f>IF('Données projet'!$A$36&gt;35,N5+M6-V5,IF(A6&lt;'Données projet'!$A$36,$K$205^A6,IF(A6='Données projet'!$A$36,'Données projet'!$B$36,N5+M6-V5)))</f>
        <v>2.1922352824697744</v>
      </c>
      <c r="O6" s="14">
        <f>N6*VLOOKUP('Données projet'!$B$9,Paramètres!$A$1:$I$89,3,0)*VLOOKUP('Données projet'!$B$9,Paramètres!$A$1:$I$89,5,0)</f>
        <v>1.3109566989169252</v>
      </c>
      <c r="P6" s="14">
        <f t="shared" si="33"/>
        <v>0.58540055303921845</v>
      </c>
      <c r="Q6" s="22">
        <f t="shared" si="2"/>
        <v>3.3028222138236161</v>
      </c>
      <c r="R6" s="62">
        <f t="shared" si="0"/>
        <v>296.63615554715693</v>
      </c>
      <c r="S6" s="62">
        <f ca="1">AVERAGE(OFFSET($R$3,0,0,'Données projet'!$E$9+1,1))-AVERAGE(OFFSET($H$3,0,0,'Données projet'!$E$9+1,1))</f>
        <v>131.58904681787436</v>
      </c>
      <c r="T6" s="62">
        <f t="shared" si="34"/>
        <v>208.65872561216122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1.6649905188734988</v>
      </c>
      <c r="AJ6" s="14">
        <f>AI6*VLOOKUP('Données projet'!$B$10,Paramètres!$A$1:$I$89,3,0)*VLOOKUP('Données projet'!$B$10,Paramètres!$A$1:$I$89,5,0)</f>
        <v>1.5064834214767417</v>
      </c>
      <c r="AK6" s="14">
        <f t="shared" si="35"/>
        <v>0.66191370068319888</v>
      </c>
      <c r="AL6" s="22">
        <f t="shared" si="4"/>
        <v>3.7766249877618967</v>
      </c>
      <c r="AM6" s="62">
        <f t="shared" si="5"/>
        <v>297.10995832109523</v>
      </c>
      <c r="AN6" s="62">
        <f ca="1">AVERAGE(OFFSET($AM$3,0,0,'Données projet'!$E$10+1,1))-AVERAGE(OFFSET($H$3,0,0,'Données projet'!$E$10+1,1))</f>
        <v>221.11420634571317</v>
      </c>
      <c r="AO6" s="62">
        <f t="shared" si="36"/>
        <v>133.63266168802033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7.0434782608695654</v>
      </c>
      <c r="BD6" s="13">
        <f>IF('Données projet'!$A$88&gt;35,BD5+BC6-BL5,IF(A6&lt;'Données projet'!$A$88,$BA$205^A6,IF(A6='Données projet'!$A$88,'Données projet'!$B$88,BD5+BC6-BL5)))</f>
        <v>1.941769211127228</v>
      </c>
      <c r="BE6" s="14">
        <f>BD6*VLOOKUP('Données projet'!$B$11,Paramètres!$A$1:$I$89,3,0)*VLOOKUP('Données projet'!$B$11,Paramètres!$A$1:$I$89,5,0)</f>
        <v>1.0854489890201204</v>
      </c>
      <c r="BF6" s="14">
        <f t="shared" si="37"/>
        <v>0.49546906829329518</v>
      </c>
      <c r="BG6" s="22">
        <f t="shared" si="7"/>
        <v>2.7534322831541989</v>
      </c>
      <c r="BH6" s="62">
        <f t="shared" si="8"/>
        <v>296.08676561648753</v>
      </c>
      <c r="BI6" s="62">
        <f ca="1">AVERAGE(OFFSET($BH$3,0,0,'Données projet'!$E$11+1,1))-AVERAGE(OFFSET($H$3,0,0,'Données projet'!$E$11+1,1))</f>
        <v>277.5990520183687</v>
      </c>
      <c r="BJ6" s="62">
        <f t="shared" si="38"/>
        <v>338.50140415303872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6.166666666666667</v>
      </c>
      <c r="N7" s="14">
        <f>IF('Données projet'!$A$36&gt;35,N6+M7-V6,IF(A7&lt;'Données projet'!$A$36,$K$205^A7,IF(A7='Données projet'!$A$36,'Données projet'!$B$36,N6+M7-V6)))</f>
        <v>2.8478441429324008</v>
      </c>
      <c r="O7" s="14">
        <f>N7*VLOOKUP('Données projet'!$B$9,Paramètres!$A$1:$I$89,3,0)*VLOOKUP('Données projet'!$B$9,Paramètres!$A$1:$I$89,5,0)</f>
        <v>1.703010797473576</v>
      </c>
      <c r="P7" s="14">
        <f t="shared" si="33"/>
        <v>0.73765919588626938</v>
      </c>
      <c r="Q7" s="22">
        <f t="shared" si="2"/>
        <v>4.2508335717683972</v>
      </c>
      <c r="R7" s="62">
        <f t="shared" si="0"/>
        <v>297.58416690510171</v>
      </c>
      <c r="S7" s="62">
        <f ca="1">AVERAGE(OFFSET($R$3,0,0,'Données projet'!$E$9+1,1))-AVERAGE(OFFSET($H$3,0,0,'Données projet'!$E$9+1,1))</f>
        <v>131.58904681787436</v>
      </c>
      <c r="T7" s="62">
        <f t="shared" si="34"/>
        <v>208.65872561216122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1.9734025561209587</v>
      </c>
      <c r="AJ7" s="14">
        <f>AI7*VLOOKUP('Données projet'!$B$10,Paramètres!$A$1:$I$89,3,0)*VLOOKUP('Données projet'!$B$10,Paramètres!$A$1:$I$89,5,0)</f>
        <v>1.7855346327782433</v>
      </c>
      <c r="AK7" s="14">
        <f t="shared" si="35"/>
        <v>0.7691561476610751</v>
      </c>
      <c r="AL7" s="22">
        <f t="shared" si="4"/>
        <v>4.4494197759318128</v>
      </c>
      <c r="AM7" s="62">
        <f t="shared" si="5"/>
        <v>297.78275310926512</v>
      </c>
      <c r="AN7" s="62">
        <f ca="1">AVERAGE(OFFSET($AM$3,0,0,'Données projet'!$E$10+1,1))-AVERAGE(OFFSET($H$3,0,0,'Données projet'!$E$10+1,1))</f>
        <v>221.11420634571317</v>
      </c>
      <c r="AO7" s="62">
        <f t="shared" si="36"/>
        <v>133.63266168802033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7.0434782608695654</v>
      </c>
      <c r="BD7" s="13">
        <f>IF('Données projet'!$A$88&gt;35,BD6+BC7-BL6,IF(A7&lt;'Données projet'!$A$88,$BA$205^A7,IF(A7='Données projet'!$A$88,'Données projet'!$B$88,BD6+BC7-BL6)))</f>
        <v>2.4224982990817709</v>
      </c>
      <c r="BE7" s="14">
        <f>BD7*VLOOKUP('Données projet'!$B$11,Paramètres!$A$1:$I$89,3,0)*VLOOKUP('Données projet'!$B$11,Paramètres!$A$1:$I$89,5,0)</f>
        <v>1.3541765491867099</v>
      </c>
      <c r="BF7" s="14">
        <f t="shared" si="37"/>
        <v>0.60242134299107364</v>
      </c>
      <c r="BG7" s="22">
        <f t="shared" si="7"/>
        <v>3.4077413288763059</v>
      </c>
      <c r="BH7" s="62">
        <f t="shared" si="8"/>
        <v>296.7410746622096</v>
      </c>
      <c r="BI7" s="62">
        <f ca="1">AVERAGE(OFFSET($BH$3,0,0,'Données projet'!$E$11+1,1))-AVERAGE(OFFSET($H$3,0,0,'Données projet'!$E$11+1,1))</f>
        <v>277.5990520183687</v>
      </c>
      <c r="BJ7" s="62">
        <f t="shared" si="38"/>
        <v>338.50140415303872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6.166666666666667</v>
      </c>
      <c r="N8" s="14">
        <f>IF('Données projet'!$A$36&gt;35,N7+M8-V7,IF(A8&lt;'Données projet'!$A$36,$K$205^A8,IF(A8='Données projet'!$A$36,'Données projet'!$B$36,N7+M8-V7)))</f>
        <v>3.6995190832333482</v>
      </c>
      <c r="O8" s="14">
        <f>N8*VLOOKUP('Données projet'!$B$9,Paramètres!$A$1:$I$89,3,0)*VLOOKUP('Données projet'!$B$9,Paramètres!$A$1:$I$89,5,0)</f>
        <v>2.2123124117735422</v>
      </c>
      <c r="P8" s="14">
        <f t="shared" si="33"/>
        <v>0.92951926070203594</v>
      </c>
      <c r="Q8" s="22">
        <f t="shared" si="2"/>
        <v>5.4720234962282985</v>
      </c>
      <c r="R8" s="62">
        <f t="shared" si="0"/>
        <v>298.80535682956162</v>
      </c>
      <c r="S8" s="62">
        <f ca="1">AVERAGE(OFFSET($R$3,0,0,'Données projet'!$E$9+1,1))-AVERAGE(OFFSET($H$3,0,0,'Données projet'!$E$9+1,1))</f>
        <v>131.58904681787436</v>
      </c>
      <c r="T8" s="62">
        <f t="shared" si="34"/>
        <v>208.65872561216122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2.3389428374280206</v>
      </c>
      <c r="AJ8" s="14">
        <f>AI8*VLOOKUP('Données projet'!$B$10,Paramètres!$A$1:$I$89,3,0)*VLOOKUP('Données projet'!$B$10,Paramètres!$A$1:$I$89,5,0)</f>
        <v>2.1162754793048726</v>
      </c>
      <c r="AK8" s="14">
        <f t="shared" si="35"/>
        <v>0.89377388453237949</v>
      </c>
      <c r="AL8" s="22">
        <f t="shared" si="4"/>
        <v>5.2425026420165475</v>
      </c>
      <c r="AM8" s="62">
        <f t="shared" si="5"/>
        <v>298.57583597534989</v>
      </c>
      <c r="AN8" s="62">
        <f ca="1">AVERAGE(OFFSET($AM$3,0,0,'Données projet'!$E$10+1,1))-AVERAGE(OFFSET($H$3,0,0,'Données projet'!$E$10+1,1))</f>
        <v>221.11420634571317</v>
      </c>
      <c r="AO8" s="62">
        <f t="shared" si="36"/>
        <v>133.63266168802033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7.0434782608695654</v>
      </c>
      <c r="BD8" s="13">
        <f>IF('Données projet'!$A$88&gt;35,BD7+BC8-BL7,IF(A8&lt;'Données projet'!$A$88,$BA$205^A8,IF(A8='Données projet'!$A$88,'Données projet'!$B$88,BD7+BC8-BL7)))</f>
        <v>3.0222427956035602</v>
      </c>
      <c r="BE8" s="14">
        <f>BD8*VLOOKUP('Données projet'!$B$11,Paramètres!$A$1:$I$89,3,0)*VLOOKUP('Données projet'!$B$11,Paramètres!$A$1:$I$89,5,0)</f>
        <v>1.6894337227423903</v>
      </c>
      <c r="BF8" s="14">
        <f t="shared" si="37"/>
        <v>0.73246040512935062</v>
      </c>
      <c r="BG8" s="22">
        <f t="shared" si="7"/>
        <v>4.2181322727099486</v>
      </c>
      <c r="BH8" s="62">
        <f t="shared" si="8"/>
        <v>297.55146560604328</v>
      </c>
      <c r="BI8" s="62">
        <f ca="1">AVERAGE(OFFSET($BH$3,0,0,'Données projet'!$E$11+1,1))-AVERAGE(OFFSET($H$3,0,0,'Données projet'!$E$11+1,1))</f>
        <v>277.5990520183687</v>
      </c>
      <c r="BJ8" s="62">
        <f t="shared" si="38"/>
        <v>338.50140415303872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6.166666666666667</v>
      </c>
      <c r="N9" s="14">
        <f>IF('Données projet'!$A$36&gt;35,N8+M9-V8,IF(A9&lt;'Données projet'!$A$36,$K$205^A9,IF(A9='Données projet'!$A$36,'Données projet'!$B$36,N8+M9-V8)))</f>
        <v>4.805895533705332</v>
      </c>
      <c r="O9" s="14">
        <f>N9*VLOOKUP('Données projet'!$B$9,Paramètres!$A$1:$I$89,3,0)*VLOOKUP('Données projet'!$B$9,Paramètres!$A$1:$I$89,5,0)</f>
        <v>2.8739255291557888</v>
      </c>
      <c r="P9" s="14">
        <f t="shared" si="33"/>
        <v>1.1712808039734253</v>
      </c>
      <c r="Q9" s="22">
        <f t="shared" si="2"/>
        <v>7.0454010302000478</v>
      </c>
      <c r="R9" s="62">
        <f t="shared" si="0"/>
        <v>300.37873436353334</v>
      </c>
      <c r="S9" s="62">
        <f ca="1">AVERAGE(OFFSET($R$3,0,0,'Données projet'!$E$9+1,1))-AVERAGE(OFFSET($H$3,0,0,'Données projet'!$E$9+1,1))</f>
        <v>131.58904681787436</v>
      </c>
      <c r="T9" s="62">
        <f t="shared" si="34"/>
        <v>208.65872561216122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2.7721934279386429</v>
      </c>
      <c r="AJ9" s="14">
        <f>AI9*VLOOKUP('Données projet'!$B$10,Paramètres!$A$1:$I$89,3,0)*VLOOKUP('Données projet'!$B$10,Paramètres!$A$1:$I$89,5,0)</f>
        <v>2.5082806135988838</v>
      </c>
      <c r="AK9" s="14">
        <f t="shared" si="35"/>
        <v>1.0385820344818992</v>
      </c>
      <c r="AL9" s="22">
        <f t="shared" si="4"/>
        <v>6.1774524454073623</v>
      </c>
      <c r="AM9" s="62">
        <f t="shared" si="5"/>
        <v>299.51078577874068</v>
      </c>
      <c r="AN9" s="62">
        <f ca="1">AVERAGE(OFFSET($AM$3,0,0,'Données projet'!$E$10+1,1))-AVERAGE(OFFSET($H$3,0,0,'Données projet'!$E$10+1,1))</f>
        <v>221.11420634571317</v>
      </c>
      <c r="AO9" s="62">
        <f t="shared" si="36"/>
        <v>133.63266168802033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7.0434782608695654</v>
      </c>
      <c r="BD9" s="13">
        <f>IF('Données projet'!$A$88&gt;35,BD8+BC9-BL8,IF(A9&lt;'Données projet'!$A$88,$BA$205^A9,IF(A9='Données projet'!$A$88,'Données projet'!$B$88,BD8+BC9-BL8)))</f>
        <v>3.7704676692816572</v>
      </c>
      <c r="BE9" s="14">
        <f>BD9*VLOOKUP('Données projet'!$B$11,Paramètres!$A$1:$I$89,3,0)*VLOOKUP('Données projet'!$B$11,Paramètres!$A$1:$I$89,5,0)</f>
        <v>2.1076914271284464</v>
      </c>
      <c r="BF9" s="14">
        <f t="shared" si="37"/>
        <v>0.89056978363099237</v>
      </c>
      <c r="BG9" s="22">
        <f t="shared" si="7"/>
        <v>5.2219716087393548</v>
      </c>
      <c r="BH9" s="62">
        <f t="shared" si="8"/>
        <v>298.55530494207267</v>
      </c>
      <c r="BI9" s="62">
        <f ca="1">AVERAGE(OFFSET($BH$3,0,0,'Données projet'!$E$11+1,1))-AVERAGE(OFFSET($H$3,0,0,'Données projet'!$E$11+1,1))</f>
        <v>277.5990520183687</v>
      </c>
      <c r="BJ9" s="62">
        <f t="shared" si="38"/>
        <v>338.50140415303872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6.166666666666667</v>
      </c>
      <c r="N10" s="14">
        <f>IF('Données projet'!$A$36&gt;35,N9+M10-V9,IF(A10&lt;'Données projet'!$A$36,$K$205^A10,IF(A10='Données projet'!$A$36,'Données projet'!$B$36,N9+M10-V9)))</f>
        <v>6.243144409111304</v>
      </c>
      <c r="O10" s="14">
        <f>N10*VLOOKUP('Données projet'!$B$9,Paramètres!$A$1:$I$89,3,0)*VLOOKUP('Données projet'!$B$9,Paramètres!$A$1:$I$89,5,0)</f>
        <v>3.7334003566485601</v>
      </c>
      <c r="P10" s="14">
        <f t="shared" si="33"/>
        <v>1.4759228557786761</v>
      </c>
      <c r="Q10" s="22">
        <f t="shared" si="2"/>
        <v>9.0729045949774356</v>
      </c>
      <c r="R10" s="62">
        <f t="shared" si="0"/>
        <v>302.40623792831076</v>
      </c>
      <c r="S10" s="62">
        <f ca="1">AVERAGE(OFFSET($R$3,0,0,'Données projet'!$E$9+1,1))-AVERAGE(OFFSET($H$3,0,0,'Données projet'!$E$9+1,1))</f>
        <v>131.58904681787436</v>
      </c>
      <c r="T10" s="62">
        <f t="shared" si="34"/>
        <v>208.65872561216122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3.2856965458621241</v>
      </c>
      <c r="AJ10" s="14">
        <f>AI10*VLOOKUP('Données projet'!$B$10,Paramètres!$A$1:$I$89,3,0)*VLOOKUP('Données projet'!$B$10,Paramètres!$A$1:$I$89,5,0)</f>
        <v>2.9728982346960495</v>
      </c>
      <c r="AK10" s="14">
        <f t="shared" si="35"/>
        <v>1.2068518235044534</v>
      </c>
      <c r="AL10" s="22">
        <f t="shared" si="4"/>
        <v>7.279731351365875</v>
      </c>
      <c r="AM10" s="62">
        <f t="shared" si="5"/>
        <v>300.61306468469917</v>
      </c>
      <c r="AN10" s="62">
        <f ca="1">AVERAGE(OFFSET($AM$3,0,0,'Données projet'!$E$10+1,1))-AVERAGE(OFFSET($H$3,0,0,'Données projet'!$E$10+1,1))</f>
        <v>221.11420634571317</v>
      </c>
      <c r="AO10" s="62">
        <f t="shared" si="36"/>
        <v>133.63266168802033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7.0434782608695654</v>
      </c>
      <c r="BD10" s="13">
        <f>IF('Données projet'!$A$88&gt;35,BD9+BC10-BL9,IF(A10&lt;'Données projet'!$A$88,$BA$205^A10,IF(A10='Données projet'!$A$88,'Données projet'!$B$88,BD9+BC10-BL9)))</f>
        <v>4.7039326111650617</v>
      </c>
      <c r="BE10" s="14">
        <f>BD10*VLOOKUP('Données projet'!$B$11,Paramètres!$A$1:$I$89,3,0)*VLOOKUP('Données projet'!$B$11,Paramètres!$A$1:$I$89,5,0)</f>
        <v>2.6294983296412697</v>
      </c>
      <c r="BF10" s="14">
        <f t="shared" si="37"/>
        <v>1.0828087552070351</v>
      </c>
      <c r="BG10" s="22">
        <f t="shared" si="7"/>
        <v>6.4656015061107972</v>
      </c>
      <c r="BH10" s="62">
        <f t="shared" si="8"/>
        <v>299.79893483944409</v>
      </c>
      <c r="BI10" s="62">
        <f ca="1">AVERAGE(OFFSET($BH$3,0,0,'Données projet'!$E$11+1,1))-AVERAGE(OFFSET($H$3,0,0,'Données projet'!$E$11+1,1))</f>
        <v>277.5990520183687</v>
      </c>
      <c r="BJ10" s="62">
        <f t="shared" si="38"/>
        <v>338.50140415303872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6.166666666666667</v>
      </c>
      <c r="N11" s="14">
        <f>IF('Données projet'!$A$36&gt;35,N10+M11-V10,IF(A11&lt;'Données projet'!$A$36,$K$205^A11,IF(A11='Données projet'!$A$36,'Données projet'!$B$36,N10+M11-V10)))</f>
        <v>8.1102162624343812</v>
      </c>
      <c r="O11" s="14">
        <f>N11*VLOOKUP('Données projet'!$B$9,Paramètres!$A$1:$I$89,3,0)*VLOOKUP('Données projet'!$B$9,Paramètres!$A$1:$I$89,5,0)</f>
        <v>4.8499093249357603</v>
      </c>
      <c r="P11" s="14">
        <f t="shared" si="33"/>
        <v>1.8598002023256139</v>
      </c>
      <c r="Q11" s="22">
        <f t="shared" si="2"/>
        <v>11.686077426646891</v>
      </c>
      <c r="R11" s="62">
        <f t="shared" si="0"/>
        <v>305.01941075998019</v>
      </c>
      <c r="S11" s="62">
        <f ca="1">AVERAGE(OFFSET($R$3,0,0,'Données projet'!$E$9+1,1))-AVERAGE(OFFSET($H$3,0,0,'Données projet'!$E$9+1,1))</f>
        <v>131.58904681787436</v>
      </c>
      <c r="T11" s="62">
        <f t="shared" si="34"/>
        <v>208.65872561216122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3.8943176485047335</v>
      </c>
      <c r="AJ11" s="14">
        <f>AI11*VLOOKUP('Données projet'!$B$10,Paramètres!$A$1:$I$89,3,0)*VLOOKUP('Données projet'!$B$10,Paramètres!$A$1:$I$89,5,0)</f>
        <v>3.5235786083670826</v>
      </c>
      <c r="AK11" s="14">
        <f t="shared" si="35"/>
        <v>1.4023844776234748</v>
      </c>
      <c r="AL11" s="22">
        <f t="shared" si="4"/>
        <v>8.5793857081002205</v>
      </c>
      <c r="AM11" s="62">
        <f t="shared" si="5"/>
        <v>301.91271904143355</v>
      </c>
      <c r="AN11" s="62">
        <f ca="1">AVERAGE(OFFSET($AM$3,0,0,'Données projet'!$E$10+1,1))-AVERAGE(OFFSET($H$3,0,0,'Données projet'!$E$10+1,1))</f>
        <v>221.11420634571317</v>
      </c>
      <c r="AO11" s="62">
        <f t="shared" si="36"/>
        <v>133.63266168802033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7.0434782608695654</v>
      </c>
      <c r="BD11" s="13">
        <f>IF('Données projet'!$A$88&gt;35,BD10+BC11-BL10,IF(A11&lt;'Données projet'!$A$88,$BA$205^A11,IF(A11='Données projet'!$A$88,'Données projet'!$B$88,BD10+BC11-BL10)))</f>
        <v>5.8684980090540737</v>
      </c>
      <c r="BE11" s="14">
        <f>BD11*VLOOKUP('Données projet'!$B$11,Paramètres!$A$1:$I$89,3,0)*VLOOKUP('Données projet'!$B$11,Paramètres!$A$1:$I$89,5,0)</f>
        <v>3.2804903870612274</v>
      </c>
      <c r="BF11" s="14">
        <f t="shared" si="37"/>
        <v>1.3165445559725206</v>
      </c>
      <c r="BG11" s="22">
        <f t="shared" si="7"/>
        <v>8.0065025257837785</v>
      </c>
      <c r="BH11" s="62">
        <f t="shared" si="8"/>
        <v>301.3398358591171</v>
      </c>
      <c r="BI11" s="62">
        <f ca="1">AVERAGE(OFFSET($BH$3,0,0,'Données projet'!$E$11+1,1))-AVERAGE(OFFSET($H$3,0,0,'Données projet'!$E$11+1,1))</f>
        <v>277.5990520183687</v>
      </c>
      <c r="BJ11" s="62">
        <f t="shared" si="38"/>
        <v>338.50140415303872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6.166666666666667</v>
      </c>
      <c r="N12" s="14">
        <f>IF('Données projet'!$A$36&gt;35,N11+M12-V11,IF(A12&lt;'Données projet'!$A$36,$K$205^A12,IF(A12='Données projet'!$A$36,'Données projet'!$B$36,N11+M12-V11)))</f>
        <v>10.535653752852737</v>
      </c>
      <c r="O12" s="14">
        <f>N12*VLOOKUP('Données projet'!$B$9,Paramètres!$A$1:$I$89,3,0)*VLOOKUP('Données projet'!$B$9,Paramètres!$A$1:$I$89,5,0)</f>
        <v>6.3003209442059376</v>
      </c>
      <c r="P12" s="14">
        <f t="shared" si="33"/>
        <v>2.3435213968182298</v>
      </c>
      <c r="Q12" s="22">
        <f t="shared" si="2"/>
        <v>15.054692077283761</v>
      </c>
      <c r="R12" s="62">
        <f t="shared" si="0"/>
        <v>308.38802541061705</v>
      </c>
      <c r="S12" s="62">
        <f ca="1">AVERAGE(OFFSET($R$3,0,0,'Données projet'!$E$9+1,1))-AVERAGE(OFFSET($H$3,0,0,'Données projet'!$E$9+1,1))</f>
        <v>131.58904681787436</v>
      </c>
      <c r="T12" s="62">
        <f t="shared" si="34"/>
        <v>208.65872561216122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4.6156757740012635</v>
      </c>
      <c r="AJ12" s="14">
        <f>AI12*VLOOKUP('Données projet'!$B$10,Paramètres!$A$1:$I$89,3,0)*VLOOKUP('Données projet'!$B$10,Paramètres!$A$1:$I$89,5,0)</f>
        <v>4.176263440316343</v>
      </c>
      <c r="AK12" s="14">
        <f t="shared" si="35"/>
        <v>1.6295970928464274</v>
      </c>
      <c r="AL12" s="22">
        <f t="shared" si="4"/>
        <v>10.111873761925157</v>
      </c>
      <c r="AM12" s="62">
        <f t="shared" si="5"/>
        <v>303.44520709525847</v>
      </c>
      <c r="AN12" s="62">
        <f ca="1">AVERAGE(OFFSET($AM$3,0,0,'Données projet'!$E$10+1,1))-AVERAGE(OFFSET($H$3,0,0,'Données projet'!$E$10+1,1))</f>
        <v>221.11420634571317</v>
      </c>
      <c r="AO12" s="62">
        <f t="shared" si="36"/>
        <v>133.63266168802033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7.0434782608695654</v>
      </c>
      <c r="BD12" s="13">
        <f>IF('Données projet'!$A$88&gt;35,BD11+BC12-BL11,IF(A12&lt;'Données projet'!$A$88,$BA$205^A12,IF(A12='Données projet'!$A$88,'Données projet'!$B$88,BD11+BC12-BL11)))</f>
        <v>7.3213780317617614</v>
      </c>
      <c r="BE12" s="14">
        <f>BD12*VLOOKUP('Données projet'!$B$11,Paramètres!$A$1:$I$89,3,0)*VLOOKUP('Données projet'!$B$11,Paramètres!$A$1:$I$89,5,0)</f>
        <v>4.0926503197548252</v>
      </c>
      <c r="BF12" s="14">
        <f t="shared" si="37"/>
        <v>1.6007347184124618</v>
      </c>
      <c r="BG12" s="22">
        <f t="shared" si="7"/>
        <v>9.9159789414746928</v>
      </c>
      <c r="BH12" s="62">
        <f t="shared" si="8"/>
        <v>303.24931227480801</v>
      </c>
      <c r="BI12" s="62">
        <f ca="1">AVERAGE(OFFSET($BH$3,0,0,'Données projet'!$E$11+1,1))-AVERAGE(OFFSET($H$3,0,0,'Données projet'!$E$11+1,1))</f>
        <v>277.5990520183687</v>
      </c>
      <c r="BJ12" s="62">
        <f t="shared" si="38"/>
        <v>338.50140415303872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6.166666666666667</v>
      </c>
      <c r="N13" s="14">
        <f>IF('Données projet'!$A$36&gt;35,N12+M13-V12,IF(A13&lt;'Données projet'!$A$36,$K$205^A13,IF(A13='Données projet'!$A$36,'Données projet'!$B$36,N12+M13-V12)))</f>
        <v>13.686441447207715</v>
      </c>
      <c r="O13" s="14">
        <f>N13*VLOOKUP('Données projet'!$B$9,Paramètres!$A$1:$I$89,3,0)*VLOOKUP('Données projet'!$B$9,Paramètres!$A$1:$I$89,5,0)</f>
        <v>8.1844919854302152</v>
      </c>
      <c r="P13" s="14">
        <f t="shared" si="33"/>
        <v>2.9530551348887908</v>
      </c>
      <c r="Q13" s="22">
        <f t="shared" si="2"/>
        <v>19.397894567888933</v>
      </c>
      <c r="R13" s="62">
        <f t="shared" si="0"/>
        <v>312.73122790122227</v>
      </c>
      <c r="S13" s="62">
        <f ca="1">AVERAGE(OFFSET($R$3,0,0,'Données projet'!$E$9+1,1))-AVERAGE(OFFSET($H$3,0,0,'Données projet'!$E$9+1,1))</f>
        <v>131.58904681787436</v>
      </c>
      <c r="T13" s="62">
        <f t="shared" si="34"/>
        <v>208.65872561216122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5.4706535967558398</v>
      </c>
      <c r="AJ13" s="14">
        <f>AI13*VLOOKUP('Données projet'!$B$10,Paramètres!$A$1:$I$89,3,0)*VLOOKUP('Données projet'!$B$10,Paramètres!$A$1:$I$89,5,0)</f>
        <v>4.9498473743446834</v>
      </c>
      <c r="AK13" s="14">
        <f t="shared" si="35"/>
        <v>1.8936224176652101</v>
      </c>
      <c r="AL13" s="22">
        <f t="shared" si="4"/>
        <v>11.919043221083896</v>
      </c>
      <c r="AM13" s="62">
        <f t="shared" si="5"/>
        <v>305.2523765544172</v>
      </c>
      <c r="AN13" s="62">
        <f ca="1">AVERAGE(OFFSET($AM$3,0,0,'Données projet'!$E$10+1,1))-AVERAGE(OFFSET($H$3,0,0,'Données projet'!$E$10+1,1))</f>
        <v>221.11420634571317</v>
      </c>
      <c r="AO13" s="62">
        <f t="shared" si="36"/>
        <v>133.63266168802033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7.0434782608695654</v>
      </c>
      <c r="BD13" s="13">
        <f>IF('Données projet'!$A$88&gt;35,BD12+BC13-BL12,IF(A13&lt;'Données projet'!$A$88,$BA$205^A13,IF(A13='Données projet'!$A$88,'Données projet'!$B$88,BD12+BC13-BL12)))</f>
        <v>9.1339515155776247</v>
      </c>
      <c r="BE13" s="14">
        <f>BD13*VLOOKUP('Données projet'!$B$11,Paramètres!$A$1:$I$89,3,0)*VLOOKUP('Données projet'!$B$11,Paramètres!$A$1:$I$89,5,0)</f>
        <v>5.1058788972078926</v>
      </c>
      <c r="BF13" s="14">
        <f t="shared" si="37"/>
        <v>1.9462703537885475</v>
      </c>
      <c r="BG13" s="22">
        <f t="shared" si="7"/>
        <v>12.282493278818798</v>
      </c>
      <c r="BH13" s="62">
        <f t="shared" si="8"/>
        <v>305.61582661215209</v>
      </c>
      <c r="BI13" s="62">
        <f ca="1">AVERAGE(OFFSET($BH$3,0,0,'Données projet'!$E$11+1,1))-AVERAGE(OFFSET($H$3,0,0,'Données projet'!$E$11+1,1))</f>
        <v>277.5990520183687</v>
      </c>
      <c r="BJ13" s="62">
        <f t="shared" si="38"/>
        <v>338.50140415303872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6.166666666666667</v>
      </c>
      <c r="N14" s="14">
        <f>IF('Données projet'!$A$36&gt;35,N13+M14-V13,IF(A14&lt;'Données projet'!$A$36,$K$205^A14,IF(A14='Données projet'!$A$36,'Données projet'!$B$36,N13+M14-V13)))</f>
        <v>17.779502238968792</v>
      </c>
      <c r="O14" s="14">
        <f>N14*VLOOKUP('Données projet'!$B$9,Paramètres!$A$1:$I$89,3,0)*VLOOKUP('Données projet'!$B$9,Paramètres!$A$1:$I$89,5,0)</f>
        <v>10.632142338903337</v>
      </c>
      <c r="P14" s="14">
        <f t="shared" si="33"/>
        <v>3.7211243906425677</v>
      </c>
      <c r="Q14" s="22">
        <f t="shared" si="2"/>
        <v>24.998606220625785</v>
      </c>
      <c r="R14" s="62">
        <f t="shared" si="0"/>
        <v>318.3319395539591</v>
      </c>
      <c r="S14" s="62">
        <f ca="1">AVERAGE(OFFSET($R$3,0,0,'Données projet'!$E$9+1,1))-AVERAGE(OFFSET($H$3,0,0,'Données projet'!$E$9+1,1))</f>
        <v>131.58904681787436</v>
      </c>
      <c r="T14" s="62">
        <f t="shared" si="34"/>
        <v>208.65872561216122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6.4840019622421199</v>
      </c>
      <c r="AJ14" s="14">
        <f>AI14*VLOOKUP('Données projet'!$B$10,Paramètres!$A$1:$I$89,3,0)*VLOOKUP('Données projet'!$B$10,Paramètres!$A$1:$I$89,5,0)</f>
        <v>5.8667249754366697</v>
      </c>
      <c r="AK14" s="14">
        <f t="shared" si="35"/>
        <v>2.2004248021950543</v>
      </c>
      <c r="AL14" s="22">
        <f t="shared" si="4"/>
        <v>14.050285862708584</v>
      </c>
      <c r="AM14" s="62">
        <f t="shared" si="5"/>
        <v>307.38361919604188</v>
      </c>
      <c r="AN14" s="62">
        <f ca="1">AVERAGE(OFFSET($AM$3,0,0,'Données projet'!$E$10+1,1))-AVERAGE(OFFSET($H$3,0,0,'Données projet'!$E$10+1,1))</f>
        <v>221.11420634571317</v>
      </c>
      <c r="AO14" s="62">
        <f t="shared" si="36"/>
        <v>133.63266168802033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7.0434782608695654</v>
      </c>
      <c r="BD14" s="13">
        <f>IF('Données projet'!$A$88&gt;35,BD13+BC14-BL13,IF(A14&lt;'Données projet'!$A$88,$BA$205^A14,IF(A14='Données projet'!$A$88,'Données projet'!$B$88,BD13+BC14-BL13)))</f>
        <v>11.395268749542637</v>
      </c>
      <c r="BE14" s="14">
        <f>BD14*VLOOKUP('Données projet'!$B$11,Paramètres!$A$1:$I$89,3,0)*VLOOKUP('Données projet'!$B$11,Paramètres!$A$1:$I$89,5,0)</f>
        <v>6.3699552309943348</v>
      </c>
      <c r="BF14" s="14">
        <f t="shared" si="37"/>
        <v>2.3663935357089882</v>
      </c>
      <c r="BG14" s="22">
        <f t="shared" si="7"/>
        <v>15.215807435341619</v>
      </c>
      <c r="BH14" s="62">
        <f t="shared" si="8"/>
        <v>308.54914076867493</v>
      </c>
      <c r="BI14" s="62">
        <f ca="1">AVERAGE(OFFSET($BH$3,0,0,'Données projet'!$E$11+1,1))-AVERAGE(OFFSET($H$3,0,0,'Données projet'!$E$11+1,1))</f>
        <v>277.5990520183687</v>
      </c>
      <c r="BJ14" s="62">
        <f t="shared" si="38"/>
        <v>338.50140415303872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6.166666666666667</v>
      </c>
      <c r="N15" s="14">
        <f>IF('Données projet'!$A$36&gt;35,N14+M15-V14,IF(A15&lt;'Données projet'!$A$36,$K$205^A15,IF(A15='Données projet'!$A$36,'Données projet'!$B$36,N14+M15-V14)))</f>
        <v>23.096631880888861</v>
      </c>
      <c r="O15" s="14">
        <f>N15*VLOOKUP('Données projet'!$B$9,Paramètres!$A$1:$I$89,3,0)*VLOOKUP('Données projet'!$B$9,Paramètres!$A$1:$I$89,5,0)</f>
        <v>13.811785864771538</v>
      </c>
      <c r="P15" s="14">
        <f t="shared" si="33"/>
        <v>4.6889631578641264</v>
      </c>
      <c r="Q15" s="22">
        <f t="shared" si="2"/>
        <v>32.222137881090447</v>
      </c>
      <c r="R15" s="62">
        <f t="shared" si="0"/>
        <v>325.55547121442373</v>
      </c>
      <c r="S15" s="62">
        <f ca="1">AVERAGE(OFFSET($R$3,0,0,'Données projet'!$E$9+1,1))-AVERAGE(OFFSET($H$3,0,0,'Données projet'!$E$9+1,1))</f>
        <v>131.58904681787436</v>
      </c>
      <c r="T15" s="62">
        <f t="shared" si="34"/>
        <v>208.65872561216122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7.685056401906202</v>
      </c>
      <c r="AJ15" s="14">
        <f>AI15*VLOOKUP('Données projet'!$B$10,Paramètres!$A$1:$I$89,3,0)*VLOOKUP('Données projet'!$B$10,Paramètres!$A$1:$I$89,5,0)</f>
        <v>6.9534390324447317</v>
      </c>
      <c r="AK15" s="14">
        <f t="shared" si="35"/>
        <v>2.55693493325087</v>
      </c>
      <c r="AL15" s="22">
        <f t="shared" si="4"/>
        <v>16.563901323586503</v>
      </c>
      <c r="AM15" s="62">
        <f t="shared" si="5"/>
        <v>309.89723465691981</v>
      </c>
      <c r="AN15" s="62">
        <f ca="1">AVERAGE(OFFSET($AM$3,0,0,'Données projet'!$E$10+1,1))-AVERAGE(OFFSET($H$3,0,0,'Données projet'!$E$10+1,1))</f>
        <v>221.11420634571317</v>
      </c>
      <c r="AO15" s="62">
        <f t="shared" si="36"/>
        <v>133.63266168802033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7.0434782608695654</v>
      </c>
      <c r="BD15" s="13">
        <f>IF('Données projet'!$A$88&gt;35,BD14+BC15-BL14,IF(A15&lt;'Données projet'!$A$88,$BA$205^A15,IF(A15='Données projet'!$A$88,'Données projet'!$B$88,BD14+BC15-BL14)))</f>
        <v>14.216426445098254</v>
      </c>
      <c r="BE15" s="14">
        <f>BD15*VLOOKUP('Données projet'!$B$11,Paramètres!$A$1:$I$89,3,0)*VLOOKUP('Données projet'!$B$11,Paramètres!$A$1:$I$89,5,0)</f>
        <v>7.9469823828099235</v>
      </c>
      <c r="BF15" s="14">
        <f t="shared" si="37"/>
        <v>2.8772047803866805</v>
      </c>
      <c r="BG15" s="22">
        <f t="shared" si="7"/>
        <v>18.852125975900751</v>
      </c>
      <c r="BH15" s="62">
        <f t="shared" si="8"/>
        <v>312.18545930923409</v>
      </c>
      <c r="BI15" s="62">
        <f ca="1">AVERAGE(OFFSET($BH$3,0,0,'Données projet'!$E$11+1,1))-AVERAGE(OFFSET($H$3,0,0,'Données projet'!$E$11+1,1))</f>
        <v>277.5990520183687</v>
      </c>
      <c r="BJ15" s="62">
        <f t="shared" si="38"/>
        <v>338.50140415303872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6.166666666666667</v>
      </c>
      <c r="N16" s="14">
        <f>IF('Données projet'!$A$36&gt;35,N15+M16-V15,IF(A16&lt;'Données projet'!$A$36,$K$205^A16,IF(A16='Données projet'!$A$36,'Données projet'!$B$36,N15+M16-V15)))</f>
        <v>30.003899832025432</v>
      </c>
      <c r="O16" s="14">
        <f>N16*VLOOKUP('Données projet'!$B$9,Paramètres!$A$1:$I$89,3,0)*VLOOKUP('Données projet'!$B$9,Paramètres!$A$1:$I$89,5,0)</f>
        <v>17.942332099551209</v>
      </c>
      <c r="P16" s="14">
        <f t="shared" si="33"/>
        <v>5.9085301074846619</v>
      </c>
      <c r="Q16" s="22">
        <f t="shared" si="2"/>
        <v>41.54025167725414</v>
      </c>
      <c r="R16" s="62">
        <f t="shared" si="0"/>
        <v>334.87358501058748</v>
      </c>
      <c r="S16" s="62">
        <f ca="1">AVERAGE(OFFSET($R$3,0,0,'Données projet'!$E$9+1,1))-AVERAGE(OFFSET($H$3,0,0,'Données projet'!$E$9+1,1))</f>
        <v>131.58904681787436</v>
      </c>
      <c r="T16" s="62">
        <f t="shared" si="34"/>
        <v>208.65872561216122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9.1085863706396779</v>
      </c>
      <c r="AJ16" s="14">
        <f>AI16*VLOOKUP('Données projet'!$B$10,Paramètres!$A$1:$I$89,3,0)*VLOOKUP('Données projet'!$B$10,Paramètres!$A$1:$I$89,5,0)</f>
        <v>8.2414489481547797</v>
      </c>
      <c r="AK16" s="14">
        <f t="shared" si="35"/>
        <v>2.971206399035617</v>
      </c>
      <c r="AL16" s="22">
        <f t="shared" si="4"/>
        <v>19.528708063023274</v>
      </c>
      <c r="AM16" s="62">
        <f t="shared" si="5"/>
        <v>312.86204139635657</v>
      </c>
      <c r="AN16" s="62">
        <f ca="1">AVERAGE(OFFSET($AM$3,0,0,'Données projet'!$E$10+1,1))-AVERAGE(OFFSET($H$3,0,0,'Données projet'!$E$10+1,1))</f>
        <v>221.11420634571317</v>
      </c>
      <c r="AO16" s="62">
        <f t="shared" si="36"/>
        <v>133.63266168802033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7.0434782608695654</v>
      </c>
      <c r="BD16" s="13">
        <f>IF('Données projet'!$A$88&gt;35,BD15+BC16-BL15,IF(A16&lt;'Données projet'!$A$88,$BA$205^A16,IF(A16='Données projet'!$A$88,'Données projet'!$B$88,BD15+BC16-BL15)))</f>
        <v>17.736025828877512</v>
      </c>
      <c r="BE16" s="14">
        <f>BD16*VLOOKUP('Données projet'!$B$11,Paramètres!$A$1:$I$89,3,0)*VLOOKUP('Données projet'!$B$11,Paramètres!$A$1:$I$89,5,0)</f>
        <v>9.914438438342529</v>
      </c>
      <c r="BF16" s="14">
        <f t="shared" si="37"/>
        <v>3.4982800719153118</v>
      </c>
      <c r="BG16" s="22">
        <f t="shared" si="7"/>
        <v>23.360484738699075</v>
      </c>
      <c r="BH16" s="62">
        <f t="shared" si="8"/>
        <v>316.6938180720324</v>
      </c>
      <c r="BI16" s="62">
        <f ca="1">AVERAGE(OFFSET($BH$3,0,0,'Données projet'!$E$11+1,1))-AVERAGE(OFFSET($H$3,0,0,'Données projet'!$E$11+1,1))</f>
        <v>277.5990520183687</v>
      </c>
      <c r="BJ16" s="62">
        <f t="shared" si="38"/>
        <v>338.50140415303872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6.166666666666667</v>
      </c>
      <c r="N17" s="14">
        <f>IF('Données projet'!$A$36&gt;35,N16+M17-V16,IF(A17&lt;'Données projet'!$A$36,$K$205^A17,IF(A17='Données projet'!$A$36,'Données projet'!$B$36,N16+M17-V16)))</f>
        <v>38.976852113017742</v>
      </c>
      <c r="O17" s="14">
        <f>N17*VLOOKUP('Données projet'!$B$9,Paramètres!$A$1:$I$89,3,0)*VLOOKUP('Données projet'!$B$9,Paramètres!$A$1:$I$89,5,0)</f>
        <v>23.308157563584611</v>
      </c>
      <c r="P17" s="14">
        <f t="shared" si="33"/>
        <v>7.4452980020757735</v>
      </c>
      <c r="Q17" s="22">
        <f t="shared" si="2"/>
        <v>53.56226844352517</v>
      </c>
      <c r="R17" s="62">
        <f t="shared" si="0"/>
        <v>346.89560177685848</v>
      </c>
      <c r="S17" s="62">
        <f ca="1">AVERAGE(OFFSET($R$3,0,0,'Données projet'!$E$9+1,1))-AVERAGE(OFFSET($H$3,0,0,'Données projet'!$E$9+1,1))</f>
        <v>131.58904681787436</v>
      </c>
      <c r="T17" s="62">
        <f t="shared" si="34"/>
        <v>208.65872561216122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10.795801791490293</v>
      </c>
      <c r="AJ17" s="14">
        <f>AI17*VLOOKUP('Données projet'!$B$10,Paramètres!$A$1:$I$89,3,0)*VLOOKUP('Données projet'!$B$10,Paramètres!$A$1:$I$89,5,0)</f>
        <v>9.7680414609404167</v>
      </c>
      <c r="AK17" s="14">
        <f t="shared" si="35"/>
        <v>3.4525976202477158</v>
      </c>
      <c r="AL17" s="22">
        <f t="shared" si="4"/>
        <v>23.025946399735997</v>
      </c>
      <c r="AM17" s="62">
        <f t="shared" si="5"/>
        <v>316.35927973306929</v>
      </c>
      <c r="AN17" s="62">
        <f ca="1">AVERAGE(OFFSET($AM$3,0,0,'Données projet'!$E$10+1,1))-AVERAGE(OFFSET($H$3,0,0,'Données projet'!$E$10+1,1))</f>
        <v>221.11420634571317</v>
      </c>
      <c r="AO17" s="62">
        <f t="shared" si="36"/>
        <v>133.63266168802033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7.0434782608695654</v>
      </c>
      <c r="BD17" s="13">
        <f>IF('Données projet'!$A$88&gt;35,BD16+BC17-BL16,IF(A17&lt;'Données projet'!$A$88,$BA$205^A17,IF(A17='Données projet'!$A$88,'Données projet'!$B$88,BD16+BC17-BL16)))</f>
        <v>22.126982010382157</v>
      </c>
      <c r="BE17" s="14">
        <f>BD17*VLOOKUP('Données projet'!$B$11,Paramètres!$A$1:$I$89,3,0)*VLOOKUP('Données projet'!$B$11,Paramètres!$A$1:$I$89,5,0)</f>
        <v>12.368982943803626</v>
      </c>
      <c r="BF17" s="14">
        <f t="shared" si="37"/>
        <v>4.253421079022079</v>
      </c>
      <c r="BG17" s="22">
        <f t="shared" si="7"/>
        <v>28.950687006421436</v>
      </c>
      <c r="BH17" s="62">
        <f t="shared" si="8"/>
        <v>322.28402033975476</v>
      </c>
      <c r="BI17" s="62">
        <f ca="1">AVERAGE(OFFSET($BH$3,0,0,'Données projet'!$E$11+1,1))-AVERAGE(OFFSET($H$3,0,0,'Données projet'!$E$11+1,1))</f>
        <v>277.5990520183687</v>
      </c>
      <c r="BJ17" s="62">
        <f t="shared" si="38"/>
        <v>338.50140415303872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6.166666666666667</v>
      </c>
      <c r="N18" s="14">
        <f>IF('Données projet'!$A$36&gt;35,N17+M18-V17,IF(A18&lt;'Données projet'!$A$36,$K$205^A18,IF(A18='Données projet'!$A$36,'Données projet'!$B$36,N17+M18-V17)))</f>
        <v>50.633251315500786</v>
      </c>
      <c r="O18" s="14">
        <f>N18*VLOOKUP('Données projet'!$B$9,Paramètres!$A$1:$I$89,3,0)*VLOOKUP('Données projet'!$B$9,Paramètres!$A$1:$I$89,5,0)</f>
        <v>30.278684286669471</v>
      </c>
      <c r="P18" s="14">
        <f t="shared" si="33"/>
        <v>9.3817686177978814</v>
      </c>
      <c r="Q18" s="22">
        <f t="shared" si="2"/>
        <v>69.075288808613962</v>
      </c>
      <c r="R18" s="62">
        <f t="shared" si="0"/>
        <v>362.40862214194726</v>
      </c>
      <c r="S18" s="62">
        <f ca="1">AVERAGE(OFFSET($R$3,0,0,'Données projet'!$E$9+1,1))-AVERAGE(OFFSET($H$3,0,0,'Données projet'!$E$9+1,1))</f>
        <v>131.58904681787436</v>
      </c>
      <c r="T18" s="62">
        <f t="shared" si="34"/>
        <v>208.65872561216122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12.795546046181913</v>
      </c>
      <c r="AJ18" s="14">
        <f>AI18*VLOOKUP('Données projet'!$B$10,Paramètres!$A$1:$I$89,3,0)*VLOOKUP('Données projet'!$B$10,Paramètres!$A$1:$I$89,5,0)</f>
        <v>11.577410062585395</v>
      </c>
      <c r="AK18" s="14">
        <f t="shared" si="35"/>
        <v>4.0119832574435987</v>
      </c>
      <c r="AL18" s="22">
        <f t="shared" si="4"/>
        <v>27.151526699050493</v>
      </c>
      <c r="AM18" s="62">
        <f t="shared" si="5"/>
        <v>320.48486003238384</v>
      </c>
      <c r="AN18" s="62">
        <f ca="1">AVERAGE(OFFSET($AM$3,0,0,'Données projet'!$E$10+1,1))-AVERAGE(OFFSET($H$3,0,0,'Données projet'!$E$10+1,1))</f>
        <v>221.11420634571317</v>
      </c>
      <c r="AO18" s="62">
        <f t="shared" si="36"/>
        <v>133.63266168802033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7.0434782608695654</v>
      </c>
      <c r="BD18" s="13">
        <f>IF('Données projet'!$A$88&gt;35,BD17+BC18-BL17,IF(A18&lt;'Données projet'!$A$88,$BA$205^A18,IF(A18='Données projet'!$A$88,'Données projet'!$B$88,BD17+BC18-BL17)))</f>
        <v>27.605019163346693</v>
      </c>
      <c r="BE18" s="14">
        <f>BD18*VLOOKUP('Données projet'!$B$11,Paramètres!$A$1:$I$89,3,0)*VLOOKUP('Données projet'!$B$11,Paramètres!$A$1:$I$89,5,0)</f>
        <v>15.431205712310803</v>
      </c>
      <c r="BF18" s="14">
        <f t="shared" si="37"/>
        <v>5.1715673140956353</v>
      </c>
      <c r="BG18" s="22">
        <f t="shared" si="7"/>
        <v>35.883163020991212</v>
      </c>
      <c r="BH18" s="62">
        <f t="shared" si="8"/>
        <v>329.21649635432453</v>
      </c>
      <c r="BI18" s="62">
        <f ca="1">AVERAGE(OFFSET($BH$3,0,0,'Données projet'!$E$11+1,1))-AVERAGE(OFFSET($H$3,0,0,'Données projet'!$E$11+1,1))</f>
        <v>277.5990520183687</v>
      </c>
      <c r="BJ18" s="62">
        <f t="shared" si="38"/>
        <v>338.50140415303872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6.166666666666667</v>
      </c>
      <c r="N19" s="14">
        <f>IF('Données projet'!$A$36&gt;35,N18+M19-V18,IF(A19&lt;'Données projet'!$A$36,$K$205^A19,IF(A19='Données projet'!$A$36,'Données projet'!$B$36,N18+M19-V18)))</f>
        <v>65.775607823455104</v>
      </c>
      <c r="O19" s="14">
        <f>N19*VLOOKUP('Données projet'!$B$9,Paramètres!$A$1:$I$89,3,0)*VLOOKUP('Données projet'!$B$9,Paramètres!$A$1:$I$89,5,0)</f>
        <v>39.333813478426158</v>
      </c>
      <c r="P19" s="14">
        <f t="shared" si="33"/>
        <v>11.821901873283993</v>
      </c>
      <c r="Q19" s="22">
        <f t="shared" si="2"/>
        <v>89.096204237561849</v>
      </c>
      <c r="R19" s="62">
        <f t="shared" si="0"/>
        <v>382.42953757089515</v>
      </c>
      <c r="S19" s="62">
        <f ca="1">AVERAGE(OFFSET($R$3,0,0,'Données projet'!$E$9+1,1))-AVERAGE(OFFSET($H$3,0,0,'Données projet'!$E$9+1,1))</f>
        <v>131.58904681787436</v>
      </c>
      <c r="T19" s="62">
        <f t="shared" si="34"/>
        <v>208.65872561216122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15.165709947455436</v>
      </c>
      <c r="AJ19" s="14">
        <f>AI19*VLOOKUP('Données projet'!$B$10,Paramètres!$A$1:$I$89,3,0)*VLOOKUP('Données projet'!$B$10,Paramètres!$A$1:$I$89,5,0)</f>
        <v>13.721934360457679</v>
      </c>
      <c r="AK19" s="14">
        <f t="shared" si="35"/>
        <v>4.6619998703622194</v>
      </c>
      <c r="AL19" s="22">
        <f t="shared" si="4"/>
        <v>32.018685452011319</v>
      </c>
      <c r="AM19" s="62">
        <f t="shared" si="5"/>
        <v>325.35201878534463</v>
      </c>
      <c r="AN19" s="62">
        <f ca="1">AVERAGE(OFFSET($AM$3,0,0,'Données projet'!$E$10+1,1))-AVERAGE(OFFSET($H$3,0,0,'Données projet'!$E$10+1,1))</f>
        <v>221.11420634571317</v>
      </c>
      <c r="AO19" s="62">
        <f t="shared" si="36"/>
        <v>133.63266168802033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7.0434782608695654</v>
      </c>
      <c r="BD19" s="13">
        <f>IF('Données projet'!$A$88&gt;35,BD18+BC19-BL18,IF(A19&lt;'Données projet'!$A$88,$BA$205^A19,IF(A19='Données projet'!$A$88,'Données projet'!$B$88,BD18+BC19-BL18)))</f>
        <v>34.439268882271627</v>
      </c>
      <c r="BE19" s="14">
        <f>BD19*VLOOKUP('Données projet'!$B$11,Paramètres!$A$1:$I$89,3,0)*VLOOKUP('Données projet'!$B$11,Paramètres!$A$1:$I$89,5,0)</f>
        <v>19.251551305189839</v>
      </c>
      <c r="BF19" s="14">
        <f t="shared" si="37"/>
        <v>6.2879051914538895</v>
      </c>
      <c r="BG19" s="22">
        <f t="shared" si="7"/>
        <v>44.481220064987831</v>
      </c>
      <c r="BH19" s="62">
        <f t="shared" si="8"/>
        <v>337.81455339832115</v>
      </c>
      <c r="BI19" s="62">
        <f ca="1">AVERAGE(OFFSET($BH$3,0,0,'Données projet'!$E$11+1,1))-AVERAGE(OFFSET($H$3,0,0,'Données projet'!$E$11+1,1))</f>
        <v>277.5990520183687</v>
      </c>
      <c r="BJ19" s="62">
        <f t="shared" si="38"/>
        <v>338.50140415303872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6.166666666666667</v>
      </c>
      <c r="N20" s="14">
        <f>IF('Données projet'!$A$36&gt;35,N19+M20-V19,IF(A20&lt;'Données projet'!$A$36,$K$205^A20,IF(A20='Données projet'!$A$36,'Données projet'!$B$36,N19+M20-V19)))</f>
        <v>85.44643040176409</v>
      </c>
      <c r="O20" s="14">
        <f>N20*VLOOKUP('Données projet'!$B$9,Paramètres!$A$1:$I$89,3,0)*VLOOKUP('Données projet'!$B$9,Paramètres!$A$1:$I$89,5,0)</f>
        <v>51.096965380254936</v>
      </c>
      <c r="P20" s="14">
        <f t="shared" si="33"/>
        <v>14.896696944372083</v>
      </c>
      <c r="Q20" s="22">
        <f t="shared" si="2"/>
        <v>114.93896188205872</v>
      </c>
      <c r="R20" s="62">
        <f t="shared" si="0"/>
        <v>408.27229521539203</v>
      </c>
      <c r="S20" s="62">
        <f ca="1">AVERAGE(OFFSET($R$3,0,0,'Données projet'!$E$9+1,1))-AVERAGE(OFFSET($H$3,0,0,'Données projet'!$E$9+1,1))</f>
        <v>131.58904681787436</v>
      </c>
      <c r="T20" s="62">
        <f t="shared" si="34"/>
        <v>208.65872561216122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17.974907626468866</v>
      </c>
      <c r="AJ20" s="14">
        <f>AI20*VLOOKUP('Données projet'!$B$10,Paramètres!$A$1:$I$89,3,0)*VLOOKUP('Données projet'!$B$10,Paramètres!$A$1:$I$89,5,0)</f>
        <v>16.263696420429028</v>
      </c>
      <c r="AK20" s="14">
        <f t="shared" si="35"/>
        <v>5.4173313786723556</v>
      </c>
      <c r="AL20" s="22">
        <f t="shared" si="4"/>
        <v>37.761123416768235</v>
      </c>
      <c r="AM20" s="62">
        <f t="shared" si="5"/>
        <v>331.09445675010153</v>
      </c>
      <c r="AN20" s="62">
        <f ca="1">AVERAGE(OFFSET($AM$3,0,0,'Données projet'!$E$10+1,1))-AVERAGE(OFFSET($H$3,0,0,'Données projet'!$E$10+1,1))</f>
        <v>221.11420634571317</v>
      </c>
      <c r="AO20" s="62">
        <f t="shared" si="36"/>
        <v>133.63266168802033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7.0434782608695654</v>
      </c>
      <c r="BD20" s="13">
        <f>IF('Données projet'!$A$88&gt;35,BD19+BC20-BL19,IF(A20&lt;'Données projet'!$A$88,$BA$205^A20,IF(A20='Données projet'!$A$88,'Données projet'!$B$88,BD19+BC20-BL19)))</f>
        <v>42.965492402926131</v>
      </c>
      <c r="BE20" s="14">
        <f>BD20*VLOOKUP('Données projet'!$B$11,Paramètres!$A$1:$I$89,3,0)*VLOOKUP('Données projet'!$B$11,Paramètres!$A$1:$I$89,5,0)</f>
        <v>24.017710253235709</v>
      </c>
      <c r="BF20" s="14">
        <f t="shared" si="37"/>
        <v>7.6452164876494173</v>
      </c>
      <c r="BG20" s="22">
        <f t="shared" si="7"/>
        <v>55.146264073708259</v>
      </c>
      <c r="BH20" s="62">
        <f t="shared" si="8"/>
        <v>348.47959740704158</v>
      </c>
      <c r="BI20" s="62">
        <f ca="1">AVERAGE(OFFSET($BH$3,0,0,'Données projet'!$E$11+1,1))-AVERAGE(OFFSET($H$3,0,0,'Données projet'!$E$11+1,1))</f>
        <v>277.5990520183687</v>
      </c>
      <c r="BJ20" s="62">
        <f t="shared" si="38"/>
        <v>338.50140415303872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111</v>
      </c>
      <c r="L21" s="13">
        <f>VLOOKUP(A21,'Données projet'!$A$35:$I$55,9,0)</f>
        <v>6.166666666666667</v>
      </c>
      <c r="M21" s="13">
        <f t="array" ref="M21">INDEX(L:L,MIN(IF(ISNUMBER(L21:L217),ROW(L21:L217),"")))</f>
        <v>6.166666666666667</v>
      </c>
      <c r="N21" s="14">
        <f>IF('Données projet'!$A$36&gt;35,N20+M21-V20,IF(A21&lt;'Données projet'!$A$36,$K$205^A21,IF(A21='Données projet'!$A$36,'Données projet'!$B$36,N20+M21-V20)))</f>
        <v>111</v>
      </c>
      <c r="O21" s="14">
        <f>N21*VLOOKUP('Données projet'!$B$9,Paramètres!$A$1:$I$89,3,0)*VLOOKUP('Données projet'!$B$9,Paramètres!$A$1:$I$89,5,0)</f>
        <v>66.378</v>
      </c>
      <c r="P21" s="14">
        <f t="shared" si="33"/>
        <v>18.771224988253085</v>
      </c>
      <c r="Q21" s="22">
        <f t="shared" si="2"/>
        <v>148.30156685454077</v>
      </c>
      <c r="R21" s="62">
        <f t="shared" si="0"/>
        <v>441.63490018787411</v>
      </c>
      <c r="S21" s="62">
        <f ca="1">AVERAGE(OFFSET($R$3,0,0,'Données projet'!$E$9+1,1))-AVERAGE(OFFSET($H$3,0,0,'Données projet'!$E$9+1,1))</f>
        <v>131.58904681787436</v>
      </c>
      <c r="T21" s="62">
        <f t="shared" si="34"/>
        <v>208.65872561216122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27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1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18.281022675862321</v>
      </c>
      <c r="AC21" s="24">
        <f t="shared" si="3"/>
        <v>18.281022675862321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21.304462850702166</v>
      </c>
      <c r="AJ21" s="14">
        <f>AI21*VLOOKUP('Données projet'!$B$10,Paramètres!$A$1:$I$89,3,0)*VLOOKUP('Données projet'!$B$10,Paramètres!$A$1:$I$89,5,0)</f>
        <v>19.276277987315318</v>
      </c>
      <c r="AK21" s="14">
        <f t="shared" si="35"/>
        <v>6.2950407727205615</v>
      </c>
      <c r="AL21" s="22">
        <f t="shared" si="4"/>
        <v>44.536713507062494</v>
      </c>
      <c r="AM21" s="62">
        <f t="shared" si="5"/>
        <v>337.87004684039579</v>
      </c>
      <c r="AN21" s="62">
        <f ca="1">AVERAGE(OFFSET($AM$3,0,0,'Données projet'!$E$10+1,1))-AVERAGE(OFFSET($H$3,0,0,'Données projet'!$E$10+1,1))</f>
        <v>221.11420634571317</v>
      </c>
      <c r="AO21" s="62">
        <f t="shared" si="36"/>
        <v>133.63266168802033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7.0434782608695654</v>
      </c>
      <c r="BD21" s="13">
        <f>IF('Données projet'!$A$88&gt;35,BD20+BC21-BL20,IF(A21&lt;'Données projet'!$A$88,$BA$205^A21,IF(A21='Données projet'!$A$88,'Données projet'!$B$88,BD20+BC21-BL20)))</f>
        <v>53.602576283963728</v>
      </c>
      <c r="BE21" s="14">
        <f>BD21*VLOOKUP('Données projet'!$B$11,Paramètres!$A$1:$I$89,3,0)*VLOOKUP('Données projet'!$B$11,Paramètres!$A$1:$I$89,5,0)</f>
        <v>29.963840142735723</v>
      </c>
      <c r="BF21" s="14">
        <f t="shared" si="37"/>
        <v>9.2955178812916941</v>
      </c>
      <c r="BG21" s="22">
        <f t="shared" si="7"/>
        <v>68.376715225181087</v>
      </c>
      <c r="BH21" s="62">
        <f t="shared" si="8"/>
        <v>361.71004855851442</v>
      </c>
      <c r="BI21" s="62">
        <f ca="1">AVERAGE(OFFSET($BH$3,0,0,'Données projet'!$E$11+1,1))-AVERAGE(OFFSET($H$3,0,0,'Données projet'!$E$11+1,1))</f>
        <v>277.5990520183687</v>
      </c>
      <c r="BJ21" s="62">
        <f t="shared" si="38"/>
        <v>338.50140415303872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13.666666666666666</v>
      </c>
      <c r="N22" s="14">
        <f>IF('Données projet'!$A$36&gt;35,N21+M22-V21,IF(A22&lt;'Données projet'!$A$36,$K$205^A22,IF(A22='Données projet'!$A$36,'Données projet'!$B$36,N21+M22-V21)))</f>
        <v>97.666666666666671</v>
      </c>
      <c r="O22" s="14">
        <f>N22*VLOOKUP('Données projet'!$B$9,Paramètres!$A$1:$I$89,3,0)*VLOOKUP('Données projet'!$B$9,Paramètres!$A$1:$I$89,5,0)</f>
        <v>58.404666666666671</v>
      </c>
      <c r="P22" s="14">
        <f t="shared" si="33"/>
        <v>16.764288254088292</v>
      </c>
      <c r="Q22" s="22">
        <f t="shared" si="2"/>
        <v>130.91926315364825</v>
      </c>
      <c r="R22" s="62">
        <f t="shared" si="0"/>
        <v>424.25259648698159</v>
      </c>
      <c r="S22" s="62">
        <f ca="1">AVERAGE(OFFSET($R$3,0,0,'Données projet'!$E$9+1,1))-AVERAGE(OFFSET($H$3,0,0,'Données projet'!$E$9+1,1))</f>
        <v>131.58904681787436</v>
      </c>
      <c r="T22" s="62">
        <f t="shared" si="34"/>
        <v>208.65872561216122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12.926635101127292</v>
      </c>
      <c r="AC22" s="24">
        <f t="shared" si="3"/>
        <v>12.926635101127292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25.250763274498809</v>
      </c>
      <c r="AJ22" s="14">
        <f>AI22*VLOOKUP('Données projet'!$B$10,Paramètres!$A$1:$I$89,3,0)*VLOOKUP('Données projet'!$B$10,Paramètres!$A$1:$I$89,5,0)</f>
        <v>22.846890610766522</v>
      </c>
      <c r="AK22" s="14">
        <f t="shared" si="35"/>
        <v>7.3149555676481315</v>
      </c>
      <c r="AL22" s="22">
        <f t="shared" si="4"/>
        <v>52.531882094072188</v>
      </c>
      <c r="AM22" s="62">
        <f t="shared" si="5"/>
        <v>345.86521542740547</v>
      </c>
      <c r="AN22" s="62">
        <f ca="1">AVERAGE(OFFSET($AM$3,0,0,'Données projet'!$E$10+1,1))-AVERAGE(OFFSET($H$3,0,0,'Données projet'!$E$10+1,1))</f>
        <v>221.11420634571317</v>
      </c>
      <c r="AO22" s="62">
        <f t="shared" si="36"/>
        <v>133.63266168802033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7.0434782608695654</v>
      </c>
      <c r="BD22" s="13">
        <f>IF('Données projet'!$A$88&gt;35,BD21+BC22-BL21,IF(A22&lt;'Données projet'!$A$88,$BA$205^A22,IF(A22='Données projet'!$A$88,'Données projet'!$B$88,BD21+BC22-BL21)))</f>
        <v>66.87311196932707</v>
      </c>
      <c r="BE22" s="14">
        <f>BD22*VLOOKUP('Données projet'!$B$11,Paramètres!$A$1:$I$89,3,0)*VLOOKUP('Données projet'!$B$11,Paramètres!$A$1:$I$89,5,0)</f>
        <v>37.382069590853831</v>
      </c>
      <c r="BF22" s="14">
        <f t="shared" si="37"/>
        <v>11.302054404999595</v>
      </c>
      <c r="BG22" s="22">
        <f t="shared" si="7"/>
        <v>84.791515959444709</v>
      </c>
      <c r="BH22" s="62">
        <f t="shared" si="8"/>
        <v>378.12484929277804</v>
      </c>
      <c r="BI22" s="62">
        <f ca="1">AVERAGE(OFFSET($BH$3,0,0,'Données projet'!$E$11+1,1))-AVERAGE(OFFSET($H$3,0,0,'Données projet'!$E$11+1,1))</f>
        <v>277.5990520183687</v>
      </c>
      <c r="BJ22" s="62">
        <f t="shared" si="38"/>
        <v>338.50140415303872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13.666666666666666</v>
      </c>
      <c r="N23" s="14">
        <f>IF('Données projet'!$A$36&gt;35,N22+M23-V22,IF(A23&lt;'Données projet'!$A$36,$K$205^A23,IF(A23='Données projet'!$A$36,'Données projet'!$B$36,N22+M23-V22)))</f>
        <v>111.33333333333334</v>
      </c>
      <c r="O23" s="14">
        <f>N23*VLOOKUP('Données projet'!$B$9,Paramètres!$A$1:$I$89,3,0)*VLOOKUP('Données projet'!$B$9,Paramètres!$A$1:$I$89,5,0)</f>
        <v>66.577333333333343</v>
      </c>
      <c r="P23" s="14">
        <f t="shared" si="33"/>
        <v>18.821024864454692</v>
      </c>
      <c r="Q23" s="22">
        <f t="shared" si="2"/>
        <v>148.73547386114751</v>
      </c>
      <c r="R23" s="62">
        <f t="shared" si="0"/>
        <v>442.06880719448083</v>
      </c>
      <c r="S23" s="62">
        <f ca="1">AVERAGE(OFFSET($R$3,0,0,'Données projet'!$E$9+1,1))-AVERAGE(OFFSET($H$3,0,0,'Données projet'!$E$9+1,1))</f>
        <v>131.58904681787436</v>
      </c>
      <c r="T23" s="62">
        <f t="shared" si="34"/>
        <v>208.65872561216122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9.1405113379311622</v>
      </c>
      <c r="AC23" s="24">
        <f t="shared" si="3"/>
        <v>9.1405113379311622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29.92805077569761</v>
      </c>
      <c r="AJ23" s="14">
        <f>AI23*VLOOKUP('Données projet'!$B$10,Paramètres!$A$1:$I$89,3,0)*VLOOKUP('Données projet'!$B$10,Paramètres!$A$1:$I$89,5,0)</f>
        <v>27.078900341851195</v>
      </c>
      <c r="AK23" s="14">
        <f t="shared" si="35"/>
        <v>8.5001157083119736</v>
      </c>
      <c r="AL23" s="22">
        <f t="shared" si="4"/>
        <v>61.966786287367512</v>
      </c>
      <c r="AM23" s="62">
        <f t="shared" si="5"/>
        <v>355.3001196207008</v>
      </c>
      <c r="AN23" s="62">
        <f ca="1">AVERAGE(OFFSET($AM$3,0,0,'Données projet'!$E$10+1,1))-AVERAGE(OFFSET($H$3,0,0,'Données projet'!$E$10+1,1))</f>
        <v>221.11420634571317</v>
      </c>
      <c r="AO23" s="62">
        <f t="shared" si="36"/>
        <v>133.63266168802033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7.0434782608695654</v>
      </c>
      <c r="BD23" s="13">
        <f>IF('Données projet'!$A$88&gt;35,BD22+BC23-BL22,IF(A23&lt;'Données projet'!$A$88,$BA$205^A23,IF(A23='Données projet'!$A$88,'Données projet'!$B$88,BD22+BC23-BL22)))</f>
        <v>83.429070288922773</v>
      </c>
      <c r="BE23" s="14">
        <f>BD23*VLOOKUP('Données projet'!$B$11,Paramètres!$A$1:$I$89,3,0)*VLOOKUP('Données projet'!$B$11,Paramètres!$A$1:$I$89,5,0)</f>
        <v>46.636850291507827</v>
      </c>
      <c r="BF23" s="14">
        <f t="shared" si="37"/>
        <v>13.741723205186346</v>
      </c>
      <c r="BG23" s="22">
        <f t="shared" si="7"/>
        <v>105.15934884007568</v>
      </c>
      <c r="BH23" s="62">
        <f t="shared" si="8"/>
        <v>398.49268217340898</v>
      </c>
      <c r="BI23" s="62">
        <f ca="1">AVERAGE(OFFSET($BH$3,0,0,'Données projet'!$E$11+1,1))-AVERAGE(OFFSET($H$3,0,0,'Données projet'!$E$11+1,1))</f>
        <v>277.5990520183687</v>
      </c>
      <c r="BJ23" s="62">
        <f t="shared" si="38"/>
        <v>338.50140415303872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13.666666666666666</v>
      </c>
      <c r="N24" s="14">
        <f>IF('Données projet'!$A$36&gt;35,N23+M24-V23,IF(A24&lt;'Données projet'!$A$36,$K$205^A24,IF(A24='Données projet'!$A$36,'Données projet'!$B$36,N23+M24-V23)))</f>
        <v>125.00000000000001</v>
      </c>
      <c r="O24" s="14">
        <f>N24*VLOOKUP('Données projet'!$B$9,Paramètres!$A$1:$I$89,3,0)*VLOOKUP('Données projet'!$B$9,Paramètres!$A$1:$I$89,5,0)</f>
        <v>74.750000000000014</v>
      </c>
      <c r="P24" s="14">
        <f t="shared" si="33"/>
        <v>20.848505019312213</v>
      </c>
      <c r="Q24" s="22">
        <f t="shared" si="2"/>
        <v>166.50072957530213</v>
      </c>
      <c r="R24" s="62">
        <f t="shared" si="0"/>
        <v>459.83406290863547</v>
      </c>
      <c r="S24" s="62">
        <f ca="1">AVERAGE(OFFSET($R$3,0,0,'Données projet'!$E$9+1,1))-AVERAGE(OFFSET($H$3,0,0,'Données projet'!$E$9+1,1))</f>
        <v>131.58904681787436</v>
      </c>
      <c r="T24" s="62">
        <f t="shared" si="34"/>
        <v>208.65872561216122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6.4633175505636471</v>
      </c>
      <c r="AC24" s="24">
        <f t="shared" si="3"/>
        <v>6.4633175505636471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</v>
      </c>
      <c r="AI24" s="14">
        <f>IF('Données projet'!$A$62&gt;35,AI23+AH24-AQ23,IF(A24&lt;'Données projet'!$A$62,$AF$205^A24,IF(A24='Données projet'!$A$62,'Données projet'!$B$62,AI23+AH24-AQ23)))</f>
        <v>35.471728656111772</v>
      </c>
      <c r="AJ24" s="14">
        <f>AI24*VLOOKUP('Données projet'!$B$10,Paramètres!$A$1:$I$89,3,0)*VLOOKUP('Données projet'!$B$10,Paramètres!$A$1:$I$89,5,0)</f>
        <v>32.094820088049929</v>
      </c>
      <c r="AK24" s="14">
        <f t="shared" si="35"/>
        <v>9.8772940432120837</v>
      </c>
      <c r="AL24" s="22">
        <f t="shared" si="4"/>
        <v>73.101432111948</v>
      </c>
      <c r="AM24" s="62">
        <f t="shared" si="5"/>
        <v>366.4347654452813</v>
      </c>
      <c r="AN24" s="62">
        <f ca="1">AVERAGE(OFFSET($AM$3,0,0,'Données projet'!$E$10+1,1))-AVERAGE(OFFSET($H$3,0,0,'Données projet'!$E$10+1,1))</f>
        <v>221.11420634571317</v>
      </c>
      <c r="AO24" s="62">
        <f t="shared" si="36"/>
        <v>133.63266168802033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7.0434782608695654</v>
      </c>
      <c r="BD24" s="13">
        <f>IF('Données projet'!$A$88&gt;35,BD23+BC24-BL23,IF(A24&lt;'Données projet'!$A$88,$BA$205^A24,IF(A24='Données projet'!$A$88,'Données projet'!$B$88,BD23+BC24-BL23)))</f>
        <v>104.08383226529931</v>
      </c>
      <c r="BE24" s="14">
        <f>BD24*VLOOKUP('Données projet'!$B$11,Paramètres!$A$1:$I$89,3,0)*VLOOKUP('Données projet'!$B$11,Paramètres!$A$1:$I$89,5,0)</f>
        <v>58.182862236302313</v>
      </c>
      <c r="BF24" s="14">
        <f t="shared" si="37"/>
        <v>16.708020496204991</v>
      </c>
      <c r="BG24" s="22">
        <f t="shared" si="7"/>
        <v>130.43495409245023</v>
      </c>
      <c r="BH24" s="62">
        <f t="shared" si="8"/>
        <v>423.76828742578357</v>
      </c>
      <c r="BI24" s="62">
        <f ca="1">AVERAGE(OFFSET($BH$3,0,0,'Données projet'!$E$11+1,1))-AVERAGE(OFFSET($H$3,0,0,'Données projet'!$E$11+1,1))</f>
        <v>277.5990520183687</v>
      </c>
      <c r="BJ24" s="62">
        <f t="shared" si="38"/>
        <v>338.50140415303872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13.666666666666666</v>
      </c>
      <c r="N25" s="14">
        <f>IF('Données projet'!$A$36&gt;35,N24+M25-V24,IF(A25&lt;'Données projet'!$A$36,$K$205^A25,IF(A25='Données projet'!$A$36,'Données projet'!$B$36,N24+M25-V24)))</f>
        <v>138.66666666666669</v>
      </c>
      <c r="O25" s="14">
        <f>N25*VLOOKUP('Données projet'!$B$9,Paramètres!$A$1:$I$89,3,0)*VLOOKUP('Données projet'!$B$9,Paramètres!$A$1:$I$89,5,0)</f>
        <v>82.922666666666686</v>
      </c>
      <c r="P25" s="14">
        <f t="shared" si="33"/>
        <v>22.850292162919715</v>
      </c>
      <c r="Q25" s="22">
        <f t="shared" si="2"/>
        <v>184.22123662819629</v>
      </c>
      <c r="R25" s="62">
        <f t="shared" si="0"/>
        <v>477.55456996152964</v>
      </c>
      <c r="S25" s="62">
        <f ca="1">AVERAGE(OFFSET($R$3,0,0,'Données projet'!$E$9+1,1))-AVERAGE(OFFSET($H$3,0,0,'Données projet'!$E$9+1,1))</f>
        <v>131.58904681787436</v>
      </c>
      <c r="T25" s="62">
        <f t="shared" si="34"/>
        <v>208.65872561216122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4.5702556689655811</v>
      </c>
      <c r="AC25" s="24">
        <f t="shared" si="3"/>
        <v>4.5702556689655811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</v>
      </c>
      <c r="AI25" s="14">
        <f>IF('Données projet'!$A$62&gt;35,AI24+AH25-AQ24,IF(A25&lt;'Données projet'!$A$62,$AF$205^A25,IF(A25='Données projet'!$A$62,'Données projet'!$B$62,AI24+AH25-AQ24)))</f>
        <v>42.042281446359659</v>
      </c>
      <c r="AJ25" s="14">
        <f>AI25*VLOOKUP('Données projet'!$B$10,Paramètres!$A$1:$I$89,3,0)*VLOOKUP('Données projet'!$B$10,Paramètres!$A$1:$I$89,5,0)</f>
        <v>38.039856252666219</v>
      </c>
      <c r="AK25" s="14">
        <f t="shared" si="35"/>
        <v>11.477601124967212</v>
      </c>
      <c r="AL25" s="22">
        <f t="shared" si="4"/>
        <v>86.242904932711554</v>
      </c>
      <c r="AM25" s="62">
        <f t="shared" si="5"/>
        <v>379.57623826604487</v>
      </c>
      <c r="AN25" s="62">
        <f ca="1">AVERAGE(OFFSET($AM$3,0,0,'Données projet'!$E$10+1,1))-AVERAGE(OFFSET($H$3,0,0,'Données projet'!$E$10+1,1))</f>
        <v>221.11420634571317</v>
      </c>
      <c r="AO25" s="62">
        <f t="shared" si="36"/>
        <v>133.63266168802033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7.0434782608695654</v>
      </c>
      <c r="BD25" s="13">
        <f>IF('Données projet'!$A$88&gt;35,BD24+BC25-BL24,IF(A25&lt;'Données projet'!$A$88,$BA$205^A25,IF(A25='Données projet'!$A$88,'Données projet'!$B$88,BD24+BC25-BL24)))</f>
        <v>129.852149874303</v>
      </c>
      <c r="BE25" s="14">
        <f>BD25*VLOOKUP('Données projet'!$B$11,Paramètres!$A$1:$I$89,3,0)*VLOOKUP('Données projet'!$B$11,Paramètres!$A$1:$I$89,5,0)</f>
        <v>72.587351779735371</v>
      </c>
      <c r="BF25" s="14">
        <f t="shared" si="37"/>
        <v>20.314624645928472</v>
      </c>
      <c r="BG25" s="22">
        <f t="shared" si="7"/>
        <v>161.80427560803119</v>
      </c>
      <c r="BH25" s="62">
        <f t="shared" si="8"/>
        <v>455.13760894136453</v>
      </c>
      <c r="BI25" s="62">
        <f ca="1">AVERAGE(OFFSET($BH$3,0,0,'Données projet'!$E$11+1,1))-AVERAGE(OFFSET($H$3,0,0,'Données projet'!$E$11+1,1))</f>
        <v>277.5990520183687</v>
      </c>
      <c r="BJ25" s="62">
        <f t="shared" si="38"/>
        <v>338.50140415303872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13.666666666666666</v>
      </c>
      <c r="N26" s="14">
        <f>IF('Données projet'!$A$36&gt;35,N25+M26-V25,IF(A26&lt;'Données projet'!$A$36,$K$205^A26,IF(A26='Données projet'!$A$36,'Données projet'!$B$36,N25+M26-V25)))</f>
        <v>152.33333333333334</v>
      </c>
      <c r="O26" s="14">
        <f>N26*VLOOKUP('Données projet'!$B$9,Paramètres!$A$1:$I$89,3,0)*VLOOKUP('Données projet'!$B$9,Paramètres!$A$1:$I$89,5,0)</f>
        <v>91.095333333333343</v>
      </c>
      <c r="P26" s="14">
        <f t="shared" si="33"/>
        <v>24.829206746042935</v>
      </c>
      <c r="Q26" s="22">
        <f t="shared" si="2"/>
        <v>201.90190730491364</v>
      </c>
      <c r="R26" s="62">
        <f t="shared" si="0"/>
        <v>495.23524063824698</v>
      </c>
      <c r="S26" s="62">
        <f ca="1">AVERAGE(OFFSET($R$3,0,0,'Données projet'!$E$9+1,1))-AVERAGE(OFFSET($H$3,0,0,'Données projet'!$E$9+1,1))</f>
        <v>131.58904681787436</v>
      </c>
      <c r="T26" s="62">
        <f t="shared" si="34"/>
        <v>208.65872561216122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3.2316587752818235</v>
      </c>
      <c r="AC26" s="24">
        <f t="shared" si="3"/>
        <v>3.2316587752818235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</v>
      </c>
      <c r="AI26" s="14">
        <f>IF('Données projet'!$A$62&gt;35,AI25+AH26-AQ25,IF(A26&lt;'Données projet'!$A$62,$AF$205^A26,IF(A26='Données projet'!$A$62,'Données projet'!$B$62,AI25+AH26-AQ25)))</f>
        <v>49.82992078990118</v>
      </c>
      <c r="AJ26" s="14">
        <f>AI26*VLOOKUP('Données projet'!$B$10,Paramètres!$A$1:$I$89,3,0)*VLOOKUP('Données projet'!$B$10,Paramètres!$A$1:$I$89,5,0)</f>
        <v>45.086112330702591</v>
      </c>
      <c r="AK26" s="14">
        <f t="shared" si="35"/>
        <v>13.337187999822708</v>
      </c>
      <c r="AL26" s="22">
        <f t="shared" si="4"/>
        <v>101.75391474233156</v>
      </c>
      <c r="AM26" s="62">
        <f t="shared" si="5"/>
        <v>395.08724807566489</v>
      </c>
      <c r="AN26" s="62">
        <f ca="1">AVERAGE(OFFSET($AM$3,0,0,'Données projet'!$E$10+1,1))-AVERAGE(OFFSET($H$3,0,0,'Données projet'!$E$10+1,1))</f>
        <v>221.11420634571317</v>
      </c>
      <c r="AO26" s="62">
        <f t="shared" si="36"/>
        <v>133.63266168802033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>
        <f>VLOOKUP(A26,'Données projet'!$A$87:$I$107,2,0)</f>
        <v>162</v>
      </c>
      <c r="BB26" s="13">
        <f>VLOOKUP(A26,'Données projet'!$A$87:$I$107,9,0)</f>
        <v>7.0434782608695654</v>
      </c>
      <c r="BC26" s="13">
        <f t="array" ref="BC26">INDEX(BB:BB,MIN(IF(ISNUMBER(BB26:BB222),ROW(BB26:BB222),"")))</f>
        <v>7.0434782608695654</v>
      </c>
      <c r="BD26" s="13">
        <f>IF('Données projet'!$A$88&gt;35,BD25+BC26-BL25,IF(A26&lt;'Données projet'!$A$88,$BA$205^A26,IF(A26='Données projet'!$A$88,'Données projet'!$B$88,BD25+BC26-BL25)))</f>
        <v>162</v>
      </c>
      <c r="BE26" s="14">
        <f>BD26*VLOOKUP('Données projet'!$B$11,Paramètres!$A$1:$I$89,3,0)*VLOOKUP('Données projet'!$B$11,Paramètres!$A$1:$I$89,5,0)</f>
        <v>90.557999999999993</v>
      </c>
      <c r="BF26" s="14">
        <f t="shared" si="37"/>
        <v>24.699752708509138</v>
      </c>
      <c r="BG26" s="22">
        <f t="shared" si="7"/>
        <v>200.74058596732007</v>
      </c>
      <c r="BH26" s="62">
        <f t="shared" si="8"/>
        <v>494.07391930065342</v>
      </c>
      <c r="BI26" s="62">
        <f ca="1">AVERAGE(OFFSET($BH$3,0,0,'Données projet'!$E$11+1,1))-AVERAGE(OFFSET($H$3,0,0,'Données projet'!$E$11+1,1))</f>
        <v>277.5990520183687</v>
      </c>
      <c r="BJ26" s="62">
        <f t="shared" si="38"/>
        <v>338.50140415303872</v>
      </c>
      <c r="BK26" s="16">
        <f>IF(ISNA(VLOOKUP(A26,'Données projet'!$A$87:$I$107,3,0)),0,VLOOKUP(A26,'Données projet'!$A$87:$I$107,3,0))</f>
        <v>1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166</v>
      </c>
      <c r="L27" s="13">
        <f>VLOOKUP(A27,'Données projet'!$A$35:$I$55,9,0)</f>
        <v>13.666666666666666</v>
      </c>
      <c r="M27" s="13">
        <f t="array" ref="M27">INDEX(L:L,MIN(IF(ISNUMBER(L27:L223),ROW(L27:L223),"")))</f>
        <v>13.666666666666666</v>
      </c>
      <c r="N27" s="14">
        <f>IF('Données projet'!$A$36&gt;35,N26+M27-V26,IF(A27&lt;'Données projet'!$A$36,$K$205^A27,IF(A27='Données projet'!$A$36,'Données projet'!$B$36,N26+M27-V26)))</f>
        <v>166</v>
      </c>
      <c r="O27" s="14">
        <f>N27*VLOOKUP('Données projet'!$B$9,Paramètres!$A$1:$I$89,3,0)*VLOOKUP('Données projet'!$B$9,Paramètres!$A$1:$I$89,5,0)</f>
        <v>99.268000000000001</v>
      </c>
      <c r="P27" s="14">
        <f t="shared" si="33"/>
        <v>26.78753414535981</v>
      </c>
      <c r="Q27" s="22">
        <f t="shared" si="2"/>
        <v>219.54672196983498</v>
      </c>
      <c r="R27" s="62">
        <f t="shared" si="0"/>
        <v>512.88005530316832</v>
      </c>
      <c r="S27" s="62">
        <f ca="1">AVERAGE(OFFSET($R$3,0,0,'Données projet'!$E$9+1,1))-AVERAGE(OFFSET($H$3,0,0,'Données projet'!$E$9+1,1))</f>
        <v>131.58904681787436</v>
      </c>
      <c r="T27" s="62">
        <f t="shared" si="34"/>
        <v>208.65872561216122</v>
      </c>
      <c r="U27" s="16">
        <f>IF(ISNA(VLOOKUP(A27,'Données projet'!$A$35:$I$55,3,0)),0,VLOOKUP(A27,'Données projet'!$A$35:$I$55,3,0))</f>
        <v>2</v>
      </c>
      <c r="V27" s="16">
        <f>IF(ISNA(VLOOKUP(A27,'Données projet'!$A$35:$I$55,4,0)),0,VLOOKUP(A27,'Données projet'!$A$35:$I$55,4,0))</f>
        <v>38</v>
      </c>
      <c r="W27" s="17">
        <f>IF(ISNA(VLOOKUP(A27,'Données projet'!$A$35:$I$55,5,0)),0%,VLOOKUP(A27,'Données projet'!$A$35:$I$55,5,0)*VLOOKUP('Données projet'!$B$9,Paramètres!$A$1:$I$89,7,0))</f>
        <v>0.13500000000000001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0.7</v>
      </c>
      <c r="Z27" s="23">
        <f>EXP(-LN(2)/35)*Z26+(1-EXP(-LN(2)/35))/(LN(2)/35)*V27*W27*VLOOKUP('Données projet'!$B$9,Paramètres!$A$1:$I$89,3,0)*0.475*44/12</f>
        <v>4.0695548425300956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20.295320544776779</v>
      </c>
      <c r="AC27" s="24">
        <f t="shared" si="3"/>
        <v>24.364875387306874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</v>
      </c>
      <c r="AI27" s="14">
        <f>IF('Données projet'!$A$62&gt;35,AI26+AH27-AQ26,IF(A27&lt;'Données projet'!$A$62,$AF$205^A27,IF(A27='Données projet'!$A$62,'Données projet'!$B$62,AI26+AH27-AQ26)))</f>
        <v>59.060091900479499</v>
      </c>
      <c r="AJ27" s="14">
        <f>AI27*VLOOKUP('Données projet'!$B$10,Paramètres!$A$1:$I$89,3,0)*VLOOKUP('Données projet'!$B$10,Paramètres!$A$1:$I$89,5,0)</f>
        <v>53.437571151553847</v>
      </c>
      <c r="AK27" s="14">
        <f t="shared" si="35"/>
        <v>15.498062862253629</v>
      </c>
      <c r="AL27" s="22">
        <f t="shared" si="4"/>
        <v>120.06289590738133</v>
      </c>
      <c r="AM27" s="62">
        <f t="shared" si="5"/>
        <v>413.39622924071466</v>
      </c>
      <c r="AN27" s="62">
        <f ca="1">AVERAGE(OFFSET($AM$3,0,0,'Données projet'!$E$10+1,1))-AVERAGE(OFFSET($H$3,0,0,'Données projet'!$E$10+1,1))</f>
        <v>221.11420634571317</v>
      </c>
      <c r="AO27" s="62">
        <f t="shared" si="36"/>
        <v>133.63266168802033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28</v>
      </c>
      <c r="BD27" s="13">
        <f>IF('Données projet'!$A$88&gt;35,BD26+BC27-BL26,IF(A27&lt;'Données projet'!$A$88,$BA$205^A27,IF(A27='Données projet'!$A$88,'Données projet'!$B$88,BD26+BC27-BL26)))</f>
        <v>190</v>
      </c>
      <c r="BE27" s="14">
        <f>BD27*VLOOKUP('Données projet'!$B$11,Paramètres!$A$1:$I$89,3,0)*VLOOKUP('Données projet'!$B$11,Paramètres!$A$1:$I$89,5,0)</f>
        <v>106.21000000000001</v>
      </c>
      <c r="BF27" s="14">
        <f t="shared" si="37"/>
        <v>28.436217026228483</v>
      </c>
      <c r="BG27" s="22">
        <f t="shared" si="7"/>
        <v>234.50882798734798</v>
      </c>
      <c r="BH27" s="62">
        <f t="shared" si="8"/>
        <v>527.84216132068127</v>
      </c>
      <c r="BI27" s="62">
        <f ca="1">AVERAGE(OFFSET($BH$3,0,0,'Données projet'!$E$11+1,1))-AVERAGE(OFFSET($H$3,0,0,'Données projet'!$E$11+1,1))</f>
        <v>277.5990520183687</v>
      </c>
      <c r="BJ27" s="62">
        <f t="shared" si="38"/>
        <v>338.50140415303872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12.833333333333334</v>
      </c>
      <c r="N28" s="14">
        <f>IF('Données projet'!$A$36&gt;35,N27+M28-V27,IF(A28&lt;'Données projet'!$A$36,$K$205^A28,IF(A28='Données projet'!$A$36,'Données projet'!$B$36,N27+M28-V27)))</f>
        <v>140.83333333333334</v>
      </c>
      <c r="O28" s="14">
        <f>N28*VLOOKUP('Données projet'!$B$9,Paramètres!$A$1:$I$89,3,0)*VLOOKUP('Données projet'!$B$9,Paramètres!$A$1:$I$89,5,0)</f>
        <v>84.218333333333348</v>
      </c>
      <c r="P28" s="14">
        <f t="shared" si="33"/>
        <v>23.165483776806148</v>
      </c>
      <c r="Q28" s="22">
        <f t="shared" si="2"/>
        <v>187.0268148001596</v>
      </c>
      <c r="R28" s="62">
        <f t="shared" si="0"/>
        <v>480.36014813349288</v>
      </c>
      <c r="S28" s="62">
        <f ca="1">AVERAGE(OFFSET($R$3,0,0,'Données projet'!$E$9+1,1))-AVERAGE(OFFSET($H$3,0,0,'Données projet'!$E$9+1,1))</f>
        <v>131.58904681787436</v>
      </c>
      <c r="T28" s="62">
        <f t="shared" si="34"/>
        <v>208.65872561216122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3.9897533542514392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14.350958783566318</v>
      </c>
      <c r="AC28" s="24">
        <f t="shared" si="3"/>
        <v>18.340712137817757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70</v>
      </c>
      <c r="AG28" s="13">
        <f>VLOOKUP(A28,'Données projet'!$A$61:$I$81,9,0)</f>
        <v>2.8</v>
      </c>
      <c r="AH28" s="13">
        <f t="array" ref="AH28">INDEX(AG:AG,MIN(IF(ISNUMBER(AG28:AG224),ROW(AG28:AG224),"")))</f>
        <v>2.8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435.00927803996467</v>
      </c>
      <c r="AN28" s="62">
        <f ca="1">AVERAGE(OFFSET($AM$3,0,0,'Données projet'!$E$10+1,1))-AVERAGE(OFFSET($H$3,0,0,'Données projet'!$E$10+1,1))</f>
        <v>221.11420634571317</v>
      </c>
      <c r="AO28" s="62">
        <f t="shared" si="36"/>
        <v>133.63266168802033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218</v>
      </c>
      <c r="BB28" s="13">
        <f>VLOOKUP(A28,'Données projet'!$A$87:$I$107,9,0)</f>
        <v>28</v>
      </c>
      <c r="BC28" s="13">
        <f t="array" ref="BC28">INDEX(BB:BB,MIN(IF(ISNUMBER(BB28:BB224),ROW(BB28:BB224),"")))</f>
        <v>28</v>
      </c>
      <c r="BD28" s="13">
        <f>IF('Données projet'!$A$88&gt;35,BD27+BC28-BL27,IF(A28&lt;'Données projet'!$A$88,$BA$205^A28,IF(A28='Données projet'!$A$88,'Données projet'!$B$88,BD27+BC28-BL27)))</f>
        <v>218</v>
      </c>
      <c r="BE28" s="14">
        <f>BD28*VLOOKUP('Données projet'!$B$11,Paramètres!$A$1:$I$89,3,0)*VLOOKUP('Données projet'!$B$11,Paramètres!$A$1:$I$89,5,0)</f>
        <v>121.86199999999999</v>
      </c>
      <c r="BF28" s="14">
        <f t="shared" si="37"/>
        <v>32.108890276712884</v>
      </c>
      <c r="BG28" s="22">
        <f t="shared" si="7"/>
        <v>268.16596723194158</v>
      </c>
      <c r="BH28" s="62">
        <f t="shared" si="8"/>
        <v>561.49930056527489</v>
      </c>
      <c r="BI28" s="62">
        <f ca="1">AVERAGE(OFFSET($BH$3,0,0,'Données projet'!$E$11+1,1))-AVERAGE(OFFSET($H$3,0,0,'Données projet'!$E$11+1,1))</f>
        <v>277.5990520183687</v>
      </c>
      <c r="BJ28" s="62">
        <f t="shared" si="38"/>
        <v>338.50140415303872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14</v>
      </c>
      <c r="BM28" s="17">
        <f>IF(ISNA(VLOOKUP(A28,'Données projet'!$A$87:$I$107,5,0)),0%,VLOOKUP(A28,'Données projet'!$A$87:$I$107,5,0)*VLOOKUP('Données projet'!$B$11,Paramètres!$A$1:$I$89,7,0))</f>
        <v>8.2500000000000004E-2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0.85</v>
      </c>
      <c r="BP28" s="23">
        <f>EXP(-LN(2)/35)*BP27+(1-EXP(-LN(2)/35))/(LN(2)/35)*BL28*BM28*VLOOKUP('Données projet'!$B$11,Paramètres!$A$1:$I$89,3,0)*0.475*44/12</f>
        <v>0.85648970783226186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7.531722466375804</v>
      </c>
      <c r="BS28" s="24">
        <f t="shared" si="9"/>
        <v>8.388212174208066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12.833333333333334</v>
      </c>
      <c r="N29" s="14">
        <f>IF('Données projet'!$A$36&gt;35,N28+M29-V28,IF(A29&lt;'Données projet'!$A$36,$K$205^A29,IF(A29='Données projet'!$A$36,'Données projet'!$B$36,N28+M29-V28)))</f>
        <v>153.66666666666669</v>
      </c>
      <c r="O29" s="14">
        <f>N29*VLOOKUP('Données projet'!$B$9,Paramètres!$A$1:$I$89,3,0)*VLOOKUP('Données projet'!$B$9,Paramètres!$A$1:$I$89,5,0)</f>
        <v>91.892666666666685</v>
      </c>
      <c r="P29" s="14">
        <f t="shared" si="33"/>
        <v>25.021136263266175</v>
      </c>
      <c r="Q29" s="22">
        <f t="shared" si="2"/>
        <v>203.62487343629971</v>
      </c>
      <c r="R29" s="62">
        <f t="shared" si="0"/>
        <v>496.95820676963302</v>
      </c>
      <c r="S29" s="62">
        <f ca="1">AVERAGE(OFFSET($R$3,0,0,'Données projet'!$E$9+1,1))-AVERAGE(OFFSET($H$3,0,0,'Données projet'!$E$9+1,1))</f>
        <v>131.58904681787436</v>
      </c>
      <c r="T29" s="62">
        <f t="shared" si="34"/>
        <v>208.65872561216122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3.9115167244838256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10.147660272388391</v>
      </c>
      <c r="AC29" s="24">
        <f t="shared" si="3"/>
        <v>14.059176996872218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433.03716177838555</v>
      </c>
      <c r="AN29" s="62">
        <f ca="1">AVERAGE(OFFSET($AM$3,0,0,'Données projet'!$E$10+1,1))-AVERAGE(OFFSET($H$3,0,0,'Données projet'!$E$10+1,1))</f>
        <v>221.11420634571317</v>
      </c>
      <c r="AO29" s="62">
        <f t="shared" si="36"/>
        <v>133.63266168802033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24.8</v>
      </c>
      <c r="BD29" s="13">
        <f>IF('Données projet'!$A$88&gt;35,BD28+BC29-BL28,IF(A29&lt;'Données projet'!$A$88,$BA$205^A29,IF(A29='Données projet'!$A$88,'Données projet'!$B$88,BD28+BC29-BL28)))</f>
        <v>228.8</v>
      </c>
      <c r="BE29" s="14">
        <f>BD29*VLOOKUP('Données projet'!$B$11,Paramètres!$A$1:$I$89,3,0)*VLOOKUP('Données projet'!$B$11,Paramètres!$A$1:$I$89,5,0)</f>
        <v>127.89920000000001</v>
      </c>
      <c r="BF29" s="14">
        <f t="shared" si="37"/>
        <v>33.510466808314675</v>
      </c>
      <c r="BG29" s="22">
        <f t="shared" si="7"/>
        <v>281.12183635781474</v>
      </c>
      <c r="BH29" s="62">
        <f t="shared" si="8"/>
        <v>574.45516969114806</v>
      </c>
      <c r="BI29" s="62">
        <f ca="1">AVERAGE(OFFSET($BH$3,0,0,'Données projet'!$E$11+1,1))-AVERAGE(OFFSET($H$3,0,0,'Données projet'!$E$11+1,1))</f>
        <v>277.5990520183687</v>
      </c>
      <c r="BJ29" s="62">
        <f t="shared" si="38"/>
        <v>338.50140415303872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0.83969446706880957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5.3257320299893998</v>
      </c>
      <c r="BS29" s="24">
        <f t="shared" si="9"/>
        <v>6.1654264970582098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12.833333333333334</v>
      </c>
      <c r="N30" s="14">
        <f>IF('Données projet'!$A$36&gt;35,N29+M30-V29,IF(A30&lt;'Données projet'!$A$36,$K$205^A30,IF(A30='Données projet'!$A$36,'Données projet'!$B$36,N29+M30-V29)))</f>
        <v>166.50000000000003</v>
      </c>
      <c r="O30" s="14">
        <f>N30*VLOOKUP('Données projet'!$B$9,Paramètres!$A$1:$I$89,3,0)*VLOOKUP('Données projet'!$B$9,Paramètres!$A$1:$I$89,5,0)</f>
        <v>99.567000000000021</v>
      </c>
      <c r="P30" s="14">
        <f t="shared" si="33"/>
        <v>26.858815231289142</v>
      </c>
      <c r="Q30" s="22">
        <f t="shared" si="2"/>
        <v>220.19162819449528</v>
      </c>
      <c r="R30" s="62">
        <f t="shared" si="0"/>
        <v>513.52496152782862</v>
      </c>
      <c r="S30" s="62">
        <f ca="1">AVERAGE(OFFSET($R$3,0,0,'Données projet'!$E$9+1,1))-AVERAGE(OFFSET($H$3,0,0,'Données projet'!$E$9+1,1))</f>
        <v>131.58904681787436</v>
      </c>
      <c r="T30" s="62">
        <f t="shared" si="34"/>
        <v>208.65872561216122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3.8348142673063226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7.1754793917831599</v>
      </c>
      <c r="AC30" s="24">
        <f t="shared" si="3"/>
        <v>11.010293659089482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446.82850104024965</v>
      </c>
      <c r="AN30" s="62">
        <f ca="1">AVERAGE(OFFSET($AM$3,0,0,'Données projet'!$E$10+1,1))-AVERAGE(OFFSET($H$3,0,0,'Données projet'!$E$10+1,1))</f>
        <v>221.11420634571317</v>
      </c>
      <c r="AO30" s="62">
        <f t="shared" si="36"/>
        <v>133.63266168802033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24.8</v>
      </c>
      <c r="BD30" s="13">
        <f>IF('Données projet'!$A$88&gt;35,BD29+BC30-BL29,IF(A30&lt;'Données projet'!$A$88,$BA$205^A30,IF(A30='Données projet'!$A$88,'Données projet'!$B$88,BD29+BC30-BL29)))</f>
        <v>253.60000000000002</v>
      </c>
      <c r="BE30" s="14">
        <f>BD30*VLOOKUP('Données projet'!$B$11,Paramètres!$A$1:$I$89,3,0)*VLOOKUP('Données projet'!$B$11,Paramètres!$A$1:$I$89,5,0)</f>
        <v>141.76240000000001</v>
      </c>
      <c r="BF30" s="14">
        <f t="shared" si="37"/>
        <v>36.70045216027021</v>
      </c>
      <c r="BG30" s="22">
        <f t="shared" si="7"/>
        <v>310.82280084580395</v>
      </c>
      <c r="BH30" s="62">
        <f t="shared" si="8"/>
        <v>604.15613417913733</v>
      </c>
      <c r="BI30" s="62">
        <f ca="1">AVERAGE(OFFSET($BH$3,0,0,'Données projet'!$E$11+1,1))-AVERAGE(OFFSET($H$3,0,0,'Données projet'!$E$11+1,1))</f>
        <v>277.5990520183687</v>
      </c>
      <c r="BJ30" s="62">
        <f t="shared" si="38"/>
        <v>338.50140415303872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0.82322857073264322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3.7658612331879024</v>
      </c>
      <c r="BS30" s="24">
        <f t="shared" si="9"/>
        <v>4.5890898039205457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12.833333333333334</v>
      </c>
      <c r="N31" s="14">
        <f>IF('Données projet'!$A$36&gt;35,N30+M31-V30,IF(A31&lt;'Données projet'!$A$36,$K$205^A31,IF(A31='Données projet'!$A$36,'Données projet'!$B$36,N30+M31-V30)))</f>
        <v>179.33333333333337</v>
      </c>
      <c r="O31" s="14">
        <f>N31*VLOOKUP('Données projet'!$B$9,Paramètres!$A$1:$I$89,3,0)*VLOOKUP('Données projet'!$B$9,Paramètres!$A$1:$I$89,5,0)</f>
        <v>107.24133333333336</v>
      </c>
      <c r="P31" s="14">
        <f t="shared" si="33"/>
        <v>28.680063538962813</v>
      </c>
      <c r="Q31" s="22">
        <f t="shared" si="2"/>
        <v>236.72976621924911</v>
      </c>
      <c r="R31" s="62">
        <f t="shared" si="0"/>
        <v>530.06309955258246</v>
      </c>
      <c r="S31" s="62">
        <f ca="1">AVERAGE(OFFSET($R$3,0,0,'Données projet'!$E$9+1,1))-AVERAGE(OFFSET($H$3,0,0,'Données projet'!$E$9+1,1))</f>
        <v>131.58904681787436</v>
      </c>
      <c r="T31" s="62">
        <f t="shared" si="34"/>
        <v>208.65872561216122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3.7596158985301908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5.0738301361941964</v>
      </c>
      <c r="AC31" s="24">
        <f t="shared" si="3"/>
        <v>8.8334460347243873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460.59036088427666</v>
      </c>
      <c r="AN31" s="62">
        <f ca="1">AVERAGE(OFFSET($AM$3,0,0,'Données projet'!$E$10+1,1))-AVERAGE(OFFSET($H$3,0,0,'Données projet'!$E$10+1,1))</f>
        <v>221.11420634571317</v>
      </c>
      <c r="AO31" s="62">
        <f t="shared" si="36"/>
        <v>133.63266168802033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24.8</v>
      </c>
      <c r="BD31" s="13">
        <f>IF('Données projet'!$A$88&gt;35,BD30+BC31-BL30,IF(A31&lt;'Données projet'!$A$88,$BA$205^A31,IF(A31='Données projet'!$A$88,'Données projet'!$B$88,BD30+BC31-BL30)))</f>
        <v>278.40000000000003</v>
      </c>
      <c r="BE31" s="14">
        <f>BD31*VLOOKUP('Données projet'!$B$11,Paramètres!$A$1:$I$89,3,0)*VLOOKUP('Données projet'!$B$11,Paramètres!$A$1:$I$89,5,0)</f>
        <v>155.62560000000002</v>
      </c>
      <c r="BF31" s="14">
        <f t="shared" si="37"/>
        <v>39.854271109683154</v>
      </c>
      <c r="BG31" s="22">
        <f t="shared" si="7"/>
        <v>340.46077551603156</v>
      </c>
      <c r="BH31" s="62">
        <f t="shared" si="8"/>
        <v>633.79410884936487</v>
      </c>
      <c r="BI31" s="62">
        <f ca="1">AVERAGE(OFFSET($BH$3,0,0,'Données projet'!$E$11+1,1))-AVERAGE(OFFSET($H$3,0,0,'Données projet'!$E$11+1,1))</f>
        <v>277.5990520183687</v>
      </c>
      <c r="BJ31" s="62">
        <f t="shared" si="38"/>
        <v>338.50140415303872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0.80708556058042402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2.6628660149947003</v>
      </c>
      <c r="BS31" s="24">
        <f t="shared" si="9"/>
        <v>3.4699515755751245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12.833333333333334</v>
      </c>
      <c r="N32" s="14">
        <f>IF('Données projet'!$A$36&gt;35,N31+M32-V31,IF(A32&lt;'Données projet'!$A$36,$K$205^A32,IF(A32='Données projet'!$A$36,'Données projet'!$B$36,N31+M32-V31)))</f>
        <v>192.16666666666671</v>
      </c>
      <c r="O32" s="14">
        <f>N32*VLOOKUP('Données projet'!$B$9,Paramètres!$A$1:$I$89,3,0)*VLOOKUP('Données projet'!$B$9,Paramètres!$A$1:$I$89,5,0)</f>
        <v>114.9156666666667</v>
      </c>
      <c r="P32" s="14">
        <f t="shared" si="33"/>
        <v>30.486190713157598</v>
      </c>
      <c r="Q32" s="22">
        <f t="shared" si="2"/>
        <v>253.24156826986064</v>
      </c>
      <c r="R32" s="62">
        <f t="shared" si="0"/>
        <v>546.57490160319389</v>
      </c>
      <c r="S32" s="62">
        <f ca="1">AVERAGE(OFFSET($R$3,0,0,'Données projet'!$E$9+1,1))-AVERAGE(OFFSET($H$3,0,0,'Données projet'!$E$9+1,1))</f>
        <v>131.58904681787436</v>
      </c>
      <c r="T32" s="62">
        <f t="shared" si="34"/>
        <v>208.65872561216122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3.6858921238992832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3.5877396958915804</v>
      </c>
      <c r="AC32" s="24">
        <f t="shared" si="3"/>
        <v>7.2736318197908636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474.32551019191953</v>
      </c>
      <c r="AN32" s="62">
        <f ca="1">AVERAGE(OFFSET($AM$3,0,0,'Données projet'!$E$10+1,1))-AVERAGE(OFFSET($H$3,0,0,'Données projet'!$E$10+1,1))</f>
        <v>221.11420634571317</v>
      </c>
      <c r="AO32" s="62">
        <f t="shared" si="36"/>
        <v>133.63266168802033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24.8</v>
      </c>
      <c r="BD32" s="13">
        <f>IF('Données projet'!$A$88&gt;35,BD31+BC32-BL31,IF(A32&lt;'Données projet'!$A$88,$BA$205^A32,IF(A32='Données projet'!$A$88,'Données projet'!$B$88,BD31+BC32-BL31)))</f>
        <v>303.20000000000005</v>
      </c>
      <c r="BE32" s="14">
        <f>BD32*VLOOKUP('Données projet'!$B$11,Paramètres!$A$1:$I$89,3,0)*VLOOKUP('Données projet'!$B$11,Paramètres!$A$1:$I$89,5,0)</f>
        <v>169.48880000000003</v>
      </c>
      <c r="BF32" s="14">
        <f t="shared" si="37"/>
        <v>42.975511730949684</v>
      </c>
      <c r="BG32" s="22">
        <f t="shared" si="7"/>
        <v>370.04200959807071</v>
      </c>
      <c r="BH32" s="62">
        <f t="shared" si="8"/>
        <v>663.37534293140402</v>
      </c>
      <c r="BI32" s="62">
        <f ca="1">AVERAGE(OFFSET($BH$3,0,0,'Données projet'!$E$11+1,1))-AVERAGE(OFFSET($H$3,0,0,'Données projet'!$E$11+1,1))</f>
        <v>277.5990520183687</v>
      </c>
      <c r="BJ32" s="62">
        <f t="shared" si="38"/>
        <v>338.50140415303872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0.79125910501102592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1.8829306165939514</v>
      </c>
      <c r="BS32" s="24">
        <f t="shared" si="9"/>
        <v>2.6741897216049773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205</v>
      </c>
      <c r="L33" s="13">
        <f>VLOOKUP(A33,'Données projet'!$A$35:$I$55,9,0)</f>
        <v>12.833333333333334</v>
      </c>
      <c r="M33" s="13">
        <f t="array" ref="M33">INDEX(L:L,MIN(IF(ISNUMBER(L33:L229),ROW(L33:L229),"")))</f>
        <v>12.833333333333334</v>
      </c>
      <c r="N33" s="14">
        <f>IF('Données projet'!$A$36&gt;35,N32+M33-V32,IF(A33&lt;'Données projet'!$A$36,$K$205^A33,IF(A33='Données projet'!$A$36,'Données projet'!$B$36,N32+M33-V32)))</f>
        <v>205.00000000000006</v>
      </c>
      <c r="O33" s="14">
        <f>N33*VLOOKUP('Données projet'!$B$9,Paramètres!$A$1:$I$89,3,0)*VLOOKUP('Données projet'!$B$9,Paramètres!$A$1:$I$89,5,0)</f>
        <v>122.59000000000003</v>
      </c>
      <c r="P33" s="14">
        <f t="shared" si="33"/>
        <v>32.278321478706822</v>
      </c>
      <c r="Q33" s="22">
        <f t="shared" si="2"/>
        <v>269.72899324208112</v>
      </c>
      <c r="R33" s="62">
        <f t="shared" si="0"/>
        <v>563.06232657541443</v>
      </c>
      <c r="S33" s="62">
        <f ca="1">AVERAGE(OFFSET($R$3,0,0,'Données projet'!$E$9+1,1))-AVERAGE(OFFSET($H$3,0,0,'Données projet'!$E$9+1,1))</f>
        <v>131.58904681787436</v>
      </c>
      <c r="T33" s="62">
        <f t="shared" si="34"/>
        <v>208.65872561216122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47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10.324809732746896</v>
      </c>
      <c r="AA33" s="23">
        <f>EXP(-LN(2)/25)*AA32+(1-EXP(-LN(2)/25))/(LN(2)/25)*Calculateur!V33*Calculateur!X33*VLOOKUP('Données projet'!$B$9,Paramètres!$A$1:$I$89,3,0)*0.475*44/12</f>
        <v>3.3423855852837776</v>
      </c>
      <c r="AB33" s="23">
        <f>EXP(-LN(2)/2)*AB32+(1-EXP(-LN(2)/2))/(LN(2)/2)*V33*Y33*VLOOKUP('Données projet'!$B$9,Paramètres!$A$1:$I$89,3,0)*0.475*44/12</f>
        <v>15.265923449808641</v>
      </c>
      <c r="AC33" s="24">
        <f t="shared" si="3"/>
        <v>28.933118767839314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221.11420634571317</v>
      </c>
      <c r="AO33" s="62">
        <f t="shared" si="36"/>
        <v>133.63266168802033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328</v>
      </c>
      <c r="BB33" s="13">
        <f>VLOOKUP(A33,'Données projet'!$A$87:$I$107,9,0)</f>
        <v>24.8</v>
      </c>
      <c r="BC33" s="13">
        <f t="array" ref="BC33">INDEX(BB:BB,MIN(IF(ISNUMBER(BB33:BB229),ROW(BB33:BB229),"")))</f>
        <v>24.8</v>
      </c>
      <c r="BD33" s="13">
        <f>IF('Données projet'!$A$88&gt;35,BD32+BC33-BL32,IF(A33&lt;'Données projet'!$A$88,$BA$205^A33,IF(A33='Données projet'!$A$88,'Données projet'!$B$88,BD32+BC33-BL32)))</f>
        <v>328.00000000000006</v>
      </c>
      <c r="BE33" s="14">
        <f>BD33*VLOOKUP('Données projet'!$B$11,Paramètres!$A$1:$I$89,3,0)*VLOOKUP('Données projet'!$B$11,Paramètres!$A$1:$I$89,5,0)</f>
        <v>183.35200000000003</v>
      </c>
      <c r="BF33" s="14">
        <f t="shared" si="37"/>
        <v>46.06714169356475</v>
      </c>
      <c r="BG33" s="22">
        <f t="shared" si="7"/>
        <v>399.57167178295862</v>
      </c>
      <c r="BH33" s="62">
        <f t="shared" si="8"/>
        <v>692.90500511629193</v>
      </c>
      <c r="BI33" s="62">
        <f ca="1">AVERAGE(OFFSET($BH$3,0,0,'Données projet'!$E$11+1,1))-AVERAGE(OFFSET($H$3,0,0,'Données projet'!$E$11+1,1))</f>
        <v>277.5990520183687</v>
      </c>
      <c r="BJ33" s="62">
        <f t="shared" si="38"/>
        <v>338.50140415303872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0.13750000000000001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0.75</v>
      </c>
      <c r="BP33" s="23">
        <f>EXP(-LN(2)/35)*BP32+(1-EXP(-LN(2)/35))/(LN(2)/35)*BL33*BM33*VLOOKUP('Données projet'!$B$11,Paramètres!$A$1:$I$89,3,0)*0.475*44/12</f>
        <v>5.0581915357434699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21.268345418492125</v>
      </c>
      <c r="BS33" s="24">
        <f t="shared" si="9"/>
        <v>26.326536954235593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10.7</v>
      </c>
      <c r="N34" s="14">
        <f>IF('Données projet'!$A$36&gt;35,N33+M34-V33,IF(A34&lt;'Données projet'!$A$36,$K$205^A34,IF(A34='Données projet'!$A$36,'Données projet'!$B$36,N33+M34-V33)))</f>
        <v>168.70000000000005</v>
      </c>
      <c r="O34" s="14">
        <f>N34*VLOOKUP('Données projet'!$B$9,Paramètres!$A$1:$I$89,3,0)*VLOOKUP('Données projet'!$B$9,Paramètres!$A$1:$I$89,5,0)</f>
        <v>100.88260000000002</v>
      </c>
      <c r="P34" s="14">
        <f t="shared" si="33"/>
        <v>27.172157172029827</v>
      </c>
      <c r="Q34" s="22">
        <f t="shared" si="2"/>
        <v>223.02870207461862</v>
      </c>
      <c r="R34" s="62">
        <f t="shared" si="0"/>
        <v>516.36203540795191</v>
      </c>
      <c r="S34" s="62">
        <f ca="1">AVERAGE(OFFSET($R$3,0,0,'Données projet'!$E$9+1,1))-AVERAGE(OFFSET($H$3,0,0,'Données projet'!$E$9+1,1))</f>
        <v>131.58904681787436</v>
      </c>
      <c r="T34" s="62">
        <f t="shared" si="34"/>
        <v>208.65872561216122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10.122346511399838</v>
      </c>
      <c r="AA34" s="23">
        <f>EXP(-LN(2)/25)*AA33+(1-EXP(-LN(2)/25))/(LN(2)/25)*Calculateur!V34*Calculateur!X34*VLOOKUP('Données projet'!$B$9,Paramètres!$A$1:$I$89,3,0)*0.475*44/12</f>
        <v>3.250987875685774</v>
      </c>
      <c r="AB34" s="23">
        <f>EXP(-LN(2)/2)*AB33+(1-EXP(-LN(2)/2))/(LN(2)/2)*V34*Y34*VLOOKUP('Données projet'!$B$9,Paramètres!$A$1:$I$89,3,0)*0.475*44/12</f>
        <v>10.794637992434424</v>
      </c>
      <c r="AC34" s="24">
        <f t="shared" si="3"/>
        <v>24.167972379520037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221.11420634571317</v>
      </c>
      <c r="AO34" s="62">
        <f t="shared" si="36"/>
        <v>133.63266168802033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24.8</v>
      </c>
      <c r="BD34" s="13">
        <f>IF('Données projet'!$A$88&gt;35,BD33+BC34-BL33,IF(A34&lt;'Données projet'!$A$88,$BA$205^A34,IF(A34='Données projet'!$A$88,'Données projet'!$B$88,BD33+BC34-BL33)))</f>
        <v>310.80000000000007</v>
      </c>
      <c r="BE34" s="14">
        <f>BD34*VLOOKUP('Données projet'!$B$11,Paramètres!$A$1:$I$89,3,0)*VLOOKUP('Données projet'!$B$11,Paramètres!$A$1:$I$89,5,0)</f>
        <v>173.73720000000006</v>
      </c>
      <c r="BF34" s="14">
        <f t="shared" si="37"/>
        <v>43.925969821948698</v>
      </c>
      <c r="BG34" s="22">
        <f t="shared" si="7"/>
        <v>379.09668743989408</v>
      </c>
      <c r="BH34" s="62">
        <f t="shared" si="8"/>
        <v>672.4300207732274</v>
      </c>
      <c r="BI34" s="62">
        <f ca="1">AVERAGE(OFFSET($BH$3,0,0,'Données projet'!$E$11+1,1))-AVERAGE(OFFSET($H$3,0,0,'Données projet'!$E$11+1,1))</f>
        <v>277.5990520183687</v>
      </c>
      <c r="BJ34" s="62">
        <f t="shared" si="38"/>
        <v>338.50140415303872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4.95900348491974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15.038991270033621</v>
      </c>
      <c r="BS34" s="24">
        <f t="shared" si="9"/>
        <v>19.997994754953361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10.7</v>
      </c>
      <c r="N35" s="14">
        <f>IF('Données projet'!$A$36&gt;35,N34+M35-V34,IF(A35&lt;'Données projet'!$A$36,$K$205^A35,IF(A35='Données projet'!$A$36,'Données projet'!$B$36,N34+M35-V34)))</f>
        <v>179.40000000000003</v>
      </c>
      <c r="O35" s="14">
        <f>N35*VLOOKUP('Données projet'!$B$9,Paramètres!$A$1:$I$89,3,0)*VLOOKUP('Données projet'!$B$9,Paramètres!$A$1:$I$89,5,0)</f>
        <v>107.28120000000003</v>
      </c>
      <c r="P35" s="14">
        <f t="shared" si="33"/>
        <v>28.689484043027395</v>
      </c>
      <c r="Q35" s="22">
        <f t="shared" ref="Q35:Q66" si="53">(O35+P35)*0.475*44/12</f>
        <v>236.81560804160608</v>
      </c>
      <c r="R35" s="62">
        <f t="shared" si="0"/>
        <v>530.14894137493934</v>
      </c>
      <c r="S35" s="62">
        <f ca="1">AVERAGE(OFFSET($R$3,0,0,'Données projet'!$E$9+1,1))-AVERAGE(OFFSET($H$3,0,0,'Données projet'!$E$9+1,1))</f>
        <v>131.58904681787436</v>
      </c>
      <c r="T35" s="62">
        <f t="shared" si="34"/>
        <v>208.65872561216122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9.9238534703330252</v>
      </c>
      <c r="AA35" s="23">
        <f>EXP(-LN(2)/25)*AA34+(1-EXP(-LN(2)/25))/(LN(2)/25)*Calculateur!V35*Calculateur!X35*VLOOKUP('Données projet'!$B$9,Paramètres!$A$1:$I$89,3,0)*0.475*44/12</f>
        <v>3.1620894412631242</v>
      </c>
      <c r="AB35" s="23">
        <f>EXP(-LN(2)/2)*AB34+(1-EXP(-LN(2)/2))/(LN(2)/2)*V35*Y35*VLOOKUP('Données projet'!$B$9,Paramètres!$A$1:$I$89,3,0)*0.475*44/12</f>
        <v>7.6329617249043213</v>
      </c>
      <c r="AC35" s="24">
        <f t="shared" si="3"/>
        <v>20.718904636500469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221.11420634571317</v>
      </c>
      <c r="AO35" s="62">
        <f t="shared" si="36"/>
        <v>133.63266168802033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24.8</v>
      </c>
      <c r="BD35" s="13">
        <f>IF('Données projet'!$A$88&gt;35,BD34+BC35-BL34,IF(A35&lt;'Données projet'!$A$88,$BA$205^A35,IF(A35='Données projet'!$A$88,'Données projet'!$B$88,BD34+BC35-BL34)))</f>
        <v>335.60000000000008</v>
      </c>
      <c r="BE35" s="14">
        <f>BD35*VLOOKUP('Données projet'!$B$11,Paramètres!$A$1:$I$89,3,0)*VLOOKUP('Données projet'!$B$11,Paramètres!$A$1:$I$89,5,0)</f>
        <v>187.60040000000004</v>
      </c>
      <c r="BF35" s="14">
        <f t="shared" si="37"/>
        <v>47.009043567098132</v>
      </c>
      <c r="BG35" s="22">
        <f t="shared" si="7"/>
        <v>408.6114475460293</v>
      </c>
      <c r="BH35" s="62">
        <f t="shared" si="8"/>
        <v>701.94478087936261</v>
      </c>
      <c r="BI35" s="62">
        <f ca="1">AVERAGE(OFFSET($BH$3,0,0,'Données projet'!$E$11+1,1))-AVERAGE(OFFSET($H$3,0,0,'Données projet'!$E$11+1,1))</f>
        <v>277.5990520183687</v>
      </c>
      <c r="BJ35" s="62">
        <f t="shared" si="38"/>
        <v>338.50140415303872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4.8617604512739261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10.634172709246062</v>
      </c>
      <c r="BS35" s="24">
        <f t="shared" si="9"/>
        <v>15.495933160519989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10.7</v>
      </c>
      <c r="N36" s="14">
        <f>IF('Données projet'!$A$36&gt;35,N35+M36-V35,IF(A36&lt;'Données projet'!$A$36,$K$205^A36,IF(A36='Données projet'!$A$36,'Données projet'!$B$36,N35+M36-V35)))</f>
        <v>190.10000000000002</v>
      </c>
      <c r="O36" s="14">
        <f>N36*VLOOKUP('Données projet'!$B$9,Paramètres!$A$1:$I$89,3,0)*VLOOKUP('Données projet'!$B$9,Paramètres!$A$1:$I$89,5,0)</f>
        <v>113.67980000000001</v>
      </c>
      <c r="P36" s="14">
        <f t="shared" si="33"/>
        <v>30.19630681882758</v>
      </c>
      <c r="Q36" s="22">
        <f t="shared" si="53"/>
        <v>250.58421937612471</v>
      </c>
      <c r="R36" s="62">
        <f t="shared" si="0"/>
        <v>543.91755270945805</v>
      </c>
      <c r="S36" s="62">
        <f ca="1">AVERAGE(OFFSET($R$3,0,0,'Données projet'!$E$9+1,1))-AVERAGE(OFFSET($H$3,0,0,'Données projet'!$E$9+1,1))</f>
        <v>131.58904681787436</v>
      </c>
      <c r="T36" s="62">
        <f t="shared" si="34"/>
        <v>208.65872561216122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9.7292527567327323</v>
      </c>
      <c r="AA36" s="23">
        <f>EXP(-LN(2)/25)*AA35+(1-EXP(-LN(2)/25))/(LN(2)/25)*Calculateur!V36*Calculateur!X36*VLOOKUP('Données projet'!$B$9,Paramètres!$A$1:$I$89,3,0)*0.475*44/12</f>
        <v>3.0756219392047273</v>
      </c>
      <c r="AB36" s="23">
        <f>EXP(-LN(2)/2)*AB35+(1-EXP(-LN(2)/2))/(LN(2)/2)*V36*Y36*VLOOKUP('Données projet'!$B$9,Paramètres!$A$1:$I$89,3,0)*0.475*44/12</f>
        <v>5.397318996217213</v>
      </c>
      <c r="AC36" s="24">
        <f t="shared" si="3"/>
        <v>18.202193692154673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221.11420634571317</v>
      </c>
      <c r="AO36" s="62">
        <f t="shared" si="36"/>
        <v>133.63266168802033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24.8</v>
      </c>
      <c r="BD36" s="13">
        <f>IF('Données projet'!$A$88&gt;35,BD35+BC36-BL35,IF(A36&lt;'Données projet'!$A$88,$BA$205^A36,IF(A36='Données projet'!$A$88,'Données projet'!$B$88,BD35+BC36-BL35)))</f>
        <v>360.40000000000009</v>
      </c>
      <c r="BE36" s="14">
        <f>BD36*VLOOKUP('Données projet'!$B$11,Paramètres!$A$1:$I$89,3,0)*VLOOKUP('Données projet'!$B$11,Paramètres!$A$1:$I$89,5,0)</f>
        <v>201.46360000000004</v>
      </c>
      <c r="BF36" s="14">
        <f t="shared" si="37"/>
        <v>50.065686082954073</v>
      </c>
      <c r="BG36" s="22">
        <f t="shared" si="7"/>
        <v>438.08017326114509</v>
      </c>
      <c r="BH36" s="62">
        <f t="shared" si="8"/>
        <v>731.41350659447835</v>
      </c>
      <c r="BI36" s="62">
        <f ca="1">AVERAGE(OFFSET($BH$3,0,0,'Données projet'!$E$11+1,1))-AVERAGE(OFFSET($H$3,0,0,'Données projet'!$E$11+1,1))</f>
        <v>277.5990520183687</v>
      </c>
      <c r="BJ36" s="62">
        <f t="shared" si="38"/>
        <v>338.50140415303872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4.7664242942055131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7.5194956350168107</v>
      </c>
      <c r="BS36" s="24">
        <f t="shared" si="9"/>
        <v>12.285919929222324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10.7</v>
      </c>
      <c r="N37" s="14">
        <f>IF('Données projet'!$A$36&gt;35,N36+M37-V36,IF(A37&lt;'Données projet'!$A$36,$K$205^A37,IF(A37='Données projet'!$A$36,'Données projet'!$B$36,N36+M37-V36)))</f>
        <v>200.8</v>
      </c>
      <c r="O37" s="14">
        <f>N37*VLOOKUP('Données projet'!$B$9,Paramètres!$A$1:$I$89,3,0)*VLOOKUP('Données projet'!$B$9,Paramètres!$A$1:$I$89,5,0)</f>
        <v>120.07840000000002</v>
      </c>
      <c r="P37" s="14">
        <f t="shared" si="33"/>
        <v>31.693284111529564</v>
      </c>
      <c r="Q37" s="22">
        <f t="shared" si="53"/>
        <v>264.33568316091396</v>
      </c>
      <c r="R37" s="62">
        <f t="shared" si="0"/>
        <v>557.66901649424722</v>
      </c>
      <c r="S37" s="62">
        <f ca="1">AVERAGE(OFFSET($R$3,0,0,'Données projet'!$E$9+1,1))-AVERAGE(OFFSET($H$3,0,0,'Données projet'!$E$9+1,1))</f>
        <v>131.58904681787436</v>
      </c>
      <c r="T37" s="62">
        <f t="shared" si="34"/>
        <v>208.65872561216122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9.5384680444314256</v>
      </c>
      <c r="AA37" s="23">
        <f>EXP(-LN(2)/25)*AA36+(1-EXP(-LN(2)/25))/(LN(2)/25)*Calculateur!V37*Calculateur!X37*VLOOKUP('Données projet'!$B$9,Paramètres!$A$1:$I$89,3,0)*0.475*44/12</f>
        <v>2.9915188955372458</v>
      </c>
      <c r="AB37" s="23">
        <f>EXP(-LN(2)/2)*AB36+(1-EXP(-LN(2)/2))/(LN(2)/2)*V37*Y37*VLOOKUP('Données projet'!$B$9,Paramètres!$A$1:$I$89,3,0)*0.475*44/12</f>
        <v>3.8164808624521616</v>
      </c>
      <c r="AC37" s="24">
        <f t="shared" si="3"/>
        <v>16.346467802420833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221.11420634571317</v>
      </c>
      <c r="AO37" s="62">
        <f t="shared" si="36"/>
        <v>133.63266168802033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24.8</v>
      </c>
      <c r="BD37" s="13">
        <f>IF('Données projet'!$A$88&gt;35,BD36+BC37-BL36,IF(A37&lt;'Données projet'!$A$88,$BA$205^A37,IF(A37='Données projet'!$A$88,'Données projet'!$B$88,BD36+BC37-BL36)))</f>
        <v>385.2000000000001</v>
      </c>
      <c r="BE37" s="14">
        <f>BD37*VLOOKUP('Données projet'!$B$11,Paramètres!$A$1:$I$89,3,0)*VLOOKUP('Données projet'!$B$11,Paramètres!$A$1:$I$89,5,0)</f>
        <v>215.32680000000008</v>
      </c>
      <c r="BF37" s="14">
        <f t="shared" si="37"/>
        <v>53.097923071509783</v>
      </c>
      <c r="BG37" s="22">
        <f t="shared" si="7"/>
        <v>467.50639268287961</v>
      </c>
      <c r="BH37" s="62">
        <f t="shared" si="8"/>
        <v>760.83972601621292</v>
      </c>
      <c r="BI37" s="62">
        <f ca="1">AVERAGE(OFFSET($BH$3,0,0,'Données projet'!$E$11+1,1))-AVERAGE(OFFSET($H$3,0,0,'Données projet'!$E$11+1,1))</f>
        <v>277.5990520183687</v>
      </c>
      <c r="BJ37" s="62">
        <f t="shared" si="38"/>
        <v>338.50140415303872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4.6729576210278969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5.3170863546230311</v>
      </c>
      <c r="BS37" s="24">
        <f t="shared" si="9"/>
        <v>9.9900439756509272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10.7</v>
      </c>
      <c r="N38" s="14">
        <f>IF('Données projet'!$A$36&gt;35,N37+M38-V37,IF(A38&lt;'Données projet'!$A$36,$K$205^A38,IF(A38='Données projet'!$A$36,'Données projet'!$B$36,N37+M38-V37)))</f>
        <v>211.5</v>
      </c>
      <c r="O38" s="14">
        <f>N38*VLOOKUP('Données projet'!$B$9,Paramètres!$A$1:$I$89,3,0)*VLOOKUP('Données projet'!$B$9,Paramètres!$A$1:$I$89,5,0)</f>
        <v>126.47700000000002</v>
      </c>
      <c r="P38" s="14">
        <f t="shared" si="33"/>
        <v>33.181000378224027</v>
      </c>
      <c r="Q38" s="22">
        <f t="shared" si="53"/>
        <v>278.0710173254069</v>
      </c>
      <c r="R38" s="62">
        <f t="shared" si="0"/>
        <v>571.40435065874021</v>
      </c>
      <c r="S38" s="62">
        <f ca="1">AVERAGE(OFFSET($R$3,0,0,'Données projet'!$E$9+1,1))-AVERAGE(OFFSET($H$3,0,0,'Données projet'!$E$9+1,1))</f>
        <v>131.58904681787436</v>
      </c>
      <c r="T38" s="62">
        <f t="shared" si="34"/>
        <v>208.65872561216122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9.3514245039711632</v>
      </c>
      <c r="AA38" s="23">
        <f>EXP(-LN(2)/25)*AA37+(1-EXP(-LN(2)/25))/(LN(2)/25)*Calculateur!V38*Calculateur!X38*VLOOKUP('Données projet'!$B$9,Paramètres!$A$1:$I$89,3,0)*0.475*44/12</f>
        <v>2.9097156540216385</v>
      </c>
      <c r="AB38" s="23">
        <f>EXP(-LN(2)/2)*AB37+(1-EXP(-LN(2)/2))/(LN(2)/2)*V38*Y38*VLOOKUP('Données projet'!$B$9,Paramètres!$A$1:$I$89,3,0)*0.475*44/12</f>
        <v>2.6986594981086069</v>
      </c>
      <c r="AC38" s="24">
        <f t="shared" si="3"/>
        <v>14.95979965610141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221.11420634571317</v>
      </c>
      <c r="AO38" s="62">
        <f t="shared" si="36"/>
        <v>133.63266168802033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410</v>
      </c>
      <c r="BB38" s="13">
        <f>VLOOKUP(A38,'Données projet'!$A$87:$I$107,9,0)</f>
        <v>24.8</v>
      </c>
      <c r="BC38" s="13">
        <f t="array" ref="BC38">INDEX(BB:BB,MIN(IF(ISNUMBER(BB38:BB234),ROW(BB38:BB234),"")))</f>
        <v>24.8</v>
      </c>
      <c r="BD38" s="13">
        <f>IF('Données projet'!$A$88&gt;35,BD37+BC38-BL37,IF(A38&lt;'Données projet'!$A$88,$BA$205^A38,IF(A38='Données projet'!$A$88,'Données projet'!$B$88,BD37+BC38-BL37)))</f>
        <v>410.00000000000011</v>
      </c>
      <c r="BE38" s="14">
        <f>BD38*VLOOKUP('Données projet'!$B$11,Paramètres!$A$1:$I$89,3,0)*VLOOKUP('Données projet'!$B$11,Paramètres!$A$1:$I$89,5,0)</f>
        <v>229.19000000000005</v>
      </c>
      <c r="BF38" s="14">
        <f t="shared" si="37"/>
        <v>56.107504648403449</v>
      </c>
      <c r="BG38" s="22">
        <f t="shared" si="7"/>
        <v>496.89315392930274</v>
      </c>
      <c r="BH38" s="62">
        <f t="shared" si="8"/>
        <v>790.22648726263606</v>
      </c>
      <c r="BI38" s="62">
        <f ca="1">AVERAGE(OFFSET($BH$3,0,0,'Données projet'!$E$11+1,1))-AVERAGE(OFFSET($H$3,0,0,'Données projet'!$E$11+1,1))</f>
        <v>277.5990520183687</v>
      </c>
      <c r="BJ38" s="62">
        <f t="shared" si="38"/>
        <v>338.50140415303872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49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4.5813237723022526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3.7597478175084054</v>
      </c>
      <c r="BS38" s="24">
        <f t="shared" si="9"/>
        <v>8.3410715898106584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10.7</v>
      </c>
      <c r="N39" s="14">
        <f>IF('Données projet'!$A$36&gt;35,N38+M39-V38,IF(A39&lt;'Données projet'!$A$36,$K$205^A39,IF(A39='Données projet'!$A$36,'Données projet'!$B$36,N38+M39-V38)))</f>
        <v>222.2</v>
      </c>
      <c r="O39" s="14">
        <f>N39*VLOOKUP('Données projet'!$B$9,Paramètres!$A$1:$I$89,3,0)*VLOOKUP('Données projet'!$B$9,Paramètres!$A$1:$I$89,5,0)</f>
        <v>132.87560000000002</v>
      </c>
      <c r="P39" s="14">
        <f t="shared" si="33"/>
        <v>34.659977599024245</v>
      </c>
      <c r="Q39" s="22">
        <f t="shared" si="53"/>
        <v>291.79113098496725</v>
      </c>
      <c r="R39" s="62">
        <f t="shared" si="0"/>
        <v>585.12446431830062</v>
      </c>
      <c r="S39" s="62">
        <f ca="1">AVERAGE(OFFSET($R$3,0,0,'Données projet'!$E$9+1,1))-AVERAGE(OFFSET($H$3,0,0,'Données projet'!$E$9+1,1))</f>
        <v>131.58904681787436</v>
      </c>
      <c r="T39" s="62">
        <f t="shared" si="34"/>
        <v>208.65872561216122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9.1680487732540321</v>
      </c>
      <c r="AA39" s="23">
        <f>EXP(-LN(2)/25)*AA38+(1-EXP(-LN(2)/25))/(LN(2)/25)*Calculateur!V39*Calculateur!X39*VLOOKUP('Données projet'!$B$9,Paramètres!$A$1:$I$89,3,0)*0.475*44/12</f>
        <v>2.8301493264471209</v>
      </c>
      <c r="AB39" s="23">
        <f>EXP(-LN(2)/2)*AB38+(1-EXP(-LN(2)/2))/(LN(2)/2)*V39*Y39*VLOOKUP('Données projet'!$B$9,Paramètres!$A$1:$I$89,3,0)*0.475*44/12</f>
        <v>1.908240431226081</v>
      </c>
      <c r="AC39" s="24">
        <f t="shared" si="3"/>
        <v>13.906438530927234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221.11420634571317</v>
      </c>
      <c r="AO39" s="62">
        <f t="shared" si="36"/>
        <v>133.63266168802033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24</v>
      </c>
      <c r="BD39" s="13">
        <f>IF('Données projet'!$A$88&gt;35,BD38+BC39-BL38,IF(A39&lt;'Données projet'!$A$88,$BA$205^A39,IF(A39='Données projet'!$A$88,'Données projet'!$B$88,BD38+BC39-BL38)))</f>
        <v>385.00000000000011</v>
      </c>
      <c r="BE39" s="14">
        <f>BD39*VLOOKUP('Données projet'!$B$11,Paramètres!$A$1:$I$89,3,0)*VLOOKUP('Données projet'!$B$11,Paramètres!$A$1:$I$89,5,0)</f>
        <v>215.21500000000006</v>
      </c>
      <c r="BF39" s="14">
        <f t="shared" si="37"/>
        <v>53.07356235351866</v>
      </c>
      <c r="BG39" s="22">
        <f t="shared" si="7"/>
        <v>467.26924609904512</v>
      </c>
      <c r="BH39" s="62">
        <f t="shared" si="8"/>
        <v>760.60257943237843</v>
      </c>
      <c r="BI39" s="62">
        <f ca="1">AVERAGE(OFFSET($BH$3,0,0,'Données projet'!$E$11+1,1))-AVERAGE(OFFSET($H$3,0,0,'Données projet'!$E$11+1,1))</f>
        <v>277.5990520183687</v>
      </c>
      <c r="BJ39" s="62">
        <f t="shared" si="38"/>
        <v>338.50140415303872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4.4914868074589895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2.6585431773115156</v>
      </c>
      <c r="BS39" s="24">
        <f t="shared" si="9"/>
        <v>7.1500299847705051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10.7</v>
      </c>
      <c r="N40" s="14">
        <f>IF('Données projet'!$A$36&gt;35,N39+M40-V39,IF(A40&lt;'Données projet'!$A$36,$K$205^A40,IF(A40='Données projet'!$A$36,'Données projet'!$B$36,N39+M40-V39)))</f>
        <v>232.89999999999998</v>
      </c>
      <c r="O40" s="14">
        <f>N40*VLOOKUP('Données projet'!$B$9,Paramètres!$A$1:$I$89,3,0)*VLOOKUP('Données projet'!$B$9,Paramètres!$A$1:$I$89,5,0)</f>
        <v>139.27420000000001</v>
      </c>
      <c r="P40" s="14">
        <f t="shared" si="33"/>
        <v>36.130684641909269</v>
      </c>
      <c r="Q40" s="22">
        <f t="shared" si="53"/>
        <v>305.49684075132535</v>
      </c>
      <c r="R40" s="62">
        <f t="shared" si="0"/>
        <v>598.83017408465867</v>
      </c>
      <c r="S40" s="62">
        <f ca="1">AVERAGE(OFFSET($R$3,0,0,'Données projet'!$E$9+1,1))-AVERAGE(OFFSET($H$3,0,0,'Données projet'!$E$9+1,1))</f>
        <v>131.58904681787436</v>
      </c>
      <c r="T40" s="62">
        <f t="shared" si="34"/>
        <v>208.65872561216122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8.9882689287681128</v>
      </c>
      <c r="AA40" s="23">
        <f>EXP(-LN(2)/25)*AA39+(1-EXP(-LN(2)/25))/(LN(2)/25)*Calculateur!V40*Calculateur!X40*VLOOKUP('Données projet'!$B$9,Paramètres!$A$1:$I$89,3,0)*0.475*44/12</f>
        <v>2.7527587442843395</v>
      </c>
      <c r="AB40" s="23">
        <f>EXP(-LN(2)/2)*AB39+(1-EXP(-LN(2)/2))/(LN(2)/2)*V40*Y40*VLOOKUP('Données projet'!$B$9,Paramètres!$A$1:$I$89,3,0)*0.475*44/12</f>
        <v>1.3493297490543037</v>
      </c>
      <c r="AC40" s="24">
        <f t="shared" si="3"/>
        <v>13.090357422106756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221.11420634571317</v>
      </c>
      <c r="AO40" s="62">
        <f t="shared" si="36"/>
        <v>133.63266168802033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24</v>
      </c>
      <c r="BD40" s="13">
        <f>IF('Données projet'!$A$88&gt;35,BD39+BC40-BL39,IF(A40&lt;'Données projet'!$A$88,$BA$205^A40,IF(A40='Données projet'!$A$88,'Données projet'!$B$88,BD39+BC40-BL39)))</f>
        <v>409.00000000000011</v>
      </c>
      <c r="BE40" s="14">
        <f>BD40*VLOOKUP('Données projet'!$B$11,Paramètres!$A$1:$I$89,3,0)*VLOOKUP('Données projet'!$B$11,Paramètres!$A$1:$I$89,5,0)</f>
        <v>228.63100000000006</v>
      </c>
      <c r="BF40" s="14">
        <f t="shared" si="37"/>
        <v>55.986568953377507</v>
      </c>
      <c r="BG40" s="22">
        <f t="shared" si="7"/>
        <v>495.70893259379926</v>
      </c>
      <c r="BH40" s="62">
        <f t="shared" si="8"/>
        <v>789.04226592713258</v>
      </c>
      <c r="BI40" s="62">
        <f ca="1">AVERAGE(OFFSET($BH$3,0,0,'Données projet'!$E$11+1,1))-AVERAGE(OFFSET($H$3,0,0,'Données projet'!$E$11+1,1))</f>
        <v>277.5990520183687</v>
      </c>
      <c r="BJ40" s="62">
        <f t="shared" si="38"/>
        <v>338.50140415303872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4.4034114907011643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1.8798739087542027</v>
      </c>
      <c r="BS40" s="24">
        <f t="shared" si="9"/>
        <v>6.2832853994553668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10.7</v>
      </c>
      <c r="N41" s="14">
        <f>IF('Données projet'!$A$36&gt;35,N40+M41-V40,IF(A41&lt;'Données projet'!$A$36,$K$205^A41,IF(A41='Données projet'!$A$36,'Données projet'!$B$36,N40+M41-V40)))</f>
        <v>243.59999999999997</v>
      </c>
      <c r="O41" s="14">
        <f>N41*VLOOKUP('Données projet'!$B$9,Paramètres!$A$1:$I$89,3,0)*VLOOKUP('Données projet'!$B$9,Paramètres!$A$1:$I$89,5,0)</f>
        <v>145.6728</v>
      </c>
      <c r="P41" s="14">
        <f t="shared" si="33"/>
        <v>37.593544857919731</v>
      </c>
      <c r="Q41" s="22">
        <f t="shared" si="53"/>
        <v>319.18888396087686</v>
      </c>
      <c r="R41" s="62">
        <f t="shared" si="0"/>
        <v>612.52221729421012</v>
      </c>
      <c r="S41" s="62">
        <f ca="1">AVERAGE(OFFSET($R$3,0,0,'Données projet'!$E$9+1,1))-AVERAGE(OFFSET($H$3,0,0,'Données projet'!$E$9+1,1))</f>
        <v>131.58904681787436</v>
      </c>
      <c r="T41" s="62">
        <f t="shared" si="34"/>
        <v>208.65872561216122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8.8120144573776837</v>
      </c>
      <c r="AA41" s="23">
        <f>EXP(-LN(2)/25)*AA40+(1-EXP(-LN(2)/25))/(LN(2)/25)*Calculateur!V41*Calculateur!X41*VLOOKUP('Données projet'!$B$9,Paramètres!$A$1:$I$89,3,0)*0.475*44/12</f>
        <v>2.6774844116605934</v>
      </c>
      <c r="AB41" s="23">
        <f>EXP(-LN(2)/2)*AB40+(1-EXP(-LN(2)/2))/(LN(2)/2)*V41*Y41*VLOOKUP('Données projet'!$B$9,Paramètres!$A$1:$I$89,3,0)*0.475*44/12</f>
        <v>0.95412021561304072</v>
      </c>
      <c r="AC41" s="24">
        <f t="shared" si="3"/>
        <v>12.443619084651317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533.32608479725729</v>
      </c>
      <c r="AN41" s="62">
        <f ca="1">AVERAGE(OFFSET($AM$3,0,0,'Données projet'!$E$10+1,1))-AVERAGE(OFFSET($H$3,0,0,'Données projet'!$E$10+1,1))</f>
        <v>221.11420634571317</v>
      </c>
      <c r="AO41" s="62">
        <f t="shared" si="36"/>
        <v>133.63266168802033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24</v>
      </c>
      <c r="BD41" s="13">
        <f>IF('Données projet'!$A$88&gt;35,BD40+BC41-BL40,IF(A41&lt;'Données projet'!$A$88,$BA$205^A41,IF(A41='Données projet'!$A$88,'Données projet'!$B$88,BD40+BC41-BL40)))</f>
        <v>433.00000000000011</v>
      </c>
      <c r="BE41" s="14">
        <f>BD41*VLOOKUP('Données projet'!$B$11,Paramètres!$A$1:$I$89,3,0)*VLOOKUP('Données projet'!$B$11,Paramètres!$A$1:$I$89,5,0)</f>
        <v>242.04700000000008</v>
      </c>
      <c r="BF41" s="14">
        <f t="shared" si="37"/>
        <v>58.879734570359574</v>
      </c>
      <c r="BG41" s="22">
        <f t="shared" si="7"/>
        <v>524.11406271004307</v>
      </c>
      <c r="BH41" s="62">
        <f t="shared" si="8"/>
        <v>817.44739604337633</v>
      </c>
      <c r="BI41" s="62">
        <f ca="1">AVERAGE(OFFSET($BH$3,0,0,'Données projet'!$E$11+1,1))-AVERAGE(OFFSET($H$3,0,0,'Données projet'!$E$11+1,1))</f>
        <v>277.5990520183687</v>
      </c>
      <c r="BJ41" s="62">
        <f t="shared" si="38"/>
        <v>338.50140415303872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4.3170632771843218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1.3292715886557578</v>
      </c>
      <c r="BS41" s="24">
        <f t="shared" si="9"/>
        <v>5.64633486584008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10.7</v>
      </c>
      <c r="N42" s="14">
        <f>IF('Données projet'!$A$36&gt;35,N41+M42-V41,IF(A42&lt;'Données projet'!$A$36,$K$205^A42,IF(A42='Données projet'!$A$36,'Données projet'!$B$36,N41+M42-V41)))</f>
        <v>254.29999999999995</v>
      </c>
      <c r="O42" s="14">
        <f>N42*VLOOKUP('Données projet'!$B$9,Paramètres!$A$1:$I$89,3,0)*VLOOKUP('Données projet'!$B$9,Paramètres!$A$1:$I$89,5,0)</f>
        <v>152.07139999999998</v>
      </c>
      <c r="P42" s="14">
        <f t="shared" si="33"/>
        <v>39.048942304224767</v>
      </c>
      <c r="Q42" s="22">
        <f t="shared" si="53"/>
        <v>332.86792951319143</v>
      </c>
      <c r="R42" s="62">
        <f t="shared" si="0"/>
        <v>626.20126284652474</v>
      </c>
      <c r="S42" s="62">
        <f ca="1">AVERAGE(OFFSET($R$3,0,0,'Données projet'!$E$9+1,1))-AVERAGE(OFFSET($H$3,0,0,'Données projet'!$E$9+1,1))</f>
        <v>131.58904681787436</v>
      </c>
      <c r="T42" s="62">
        <f t="shared" si="34"/>
        <v>208.65872561216122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8.6392162286666085</v>
      </c>
      <c r="AA42" s="23">
        <f>EXP(-LN(2)/25)*AA41+(1-EXP(-LN(2)/25))/(LN(2)/25)*Calculateur!V42*Calculateur!X42*VLOOKUP('Données projet'!$B$9,Paramètres!$A$1:$I$89,3,0)*0.475*44/12</f>
        <v>2.6042684596209487</v>
      </c>
      <c r="AB42" s="23">
        <f>EXP(-LN(2)/2)*AB41+(1-EXP(-LN(2)/2))/(LN(2)/2)*V42*Y42*VLOOKUP('Données projet'!$B$9,Paramètres!$A$1:$I$89,3,0)*0.475*44/12</f>
        <v>0.67466487452715196</v>
      </c>
      <c r="AC42" s="24">
        <f t="shared" si="3"/>
        <v>11.918149562814708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221.11420634571317</v>
      </c>
      <c r="AO42" s="62">
        <f t="shared" si="36"/>
        <v>133.63266168802033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24</v>
      </c>
      <c r="BD42" s="13">
        <f>IF('Données projet'!$A$88&gt;35,BD41+BC42-BL41,IF(A42&lt;'Données projet'!$A$88,$BA$205^A42,IF(A42='Données projet'!$A$88,'Données projet'!$B$88,BD41+BC42-BL41)))</f>
        <v>457.00000000000011</v>
      </c>
      <c r="BE42" s="14">
        <f>BD42*VLOOKUP('Données projet'!$B$11,Paramètres!$A$1:$I$89,3,0)*VLOOKUP('Données projet'!$B$11,Paramètres!$A$1:$I$89,5,0)</f>
        <v>255.46300000000008</v>
      </c>
      <c r="BF42" s="14">
        <f t="shared" si="37"/>
        <v>61.754284280703082</v>
      </c>
      <c r="BG42" s="22">
        <f t="shared" si="7"/>
        <v>552.48677012222458</v>
      </c>
      <c r="BH42" s="62">
        <f t="shared" si="8"/>
        <v>845.82010345555796</v>
      </c>
      <c r="BI42" s="62">
        <f ca="1">AVERAGE(OFFSET($BH$3,0,0,'Données projet'!$E$11+1,1))-AVERAGE(OFFSET($H$3,0,0,'Données projet'!$E$11+1,1))</f>
        <v>277.5990520183687</v>
      </c>
      <c r="BJ42" s="62">
        <f t="shared" si="38"/>
        <v>338.50140415303872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4.2324082994673349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0.93993695437710134</v>
      </c>
      <c r="BS42" s="24">
        <f t="shared" si="9"/>
        <v>5.1723452538444361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265</v>
      </c>
      <c r="L43" s="13">
        <f>VLOOKUP(A43,'Données projet'!$A$35:$I$55,9,0)</f>
        <v>10.7</v>
      </c>
      <c r="M43" s="13">
        <f t="array" ref="M43">INDEX(L:L,MIN(IF(ISNUMBER(L43:L239),ROW(L43:L239),"")))</f>
        <v>10.7</v>
      </c>
      <c r="N43" s="14">
        <f>IF('Données projet'!$A$36&gt;35,N42+M43-V42,IF(A43&lt;'Données projet'!$A$36,$K$205^A43,IF(A43='Données projet'!$A$36,'Données projet'!$B$36,N42+M43-V42)))</f>
        <v>264.99999999999994</v>
      </c>
      <c r="O43" s="14">
        <f>N43*VLOOKUP('Données projet'!$B$9,Paramètres!$A$1:$I$89,3,0)*VLOOKUP('Données projet'!$B$9,Paramètres!$A$1:$I$89,5,0)</f>
        <v>158.46999999999997</v>
      </c>
      <c r="P43" s="14">
        <f t="shared" si="33"/>
        <v>40.497226890293632</v>
      </c>
      <c r="Q43" s="22">
        <f t="shared" si="53"/>
        <v>346.53458683392802</v>
      </c>
      <c r="R43" s="62">
        <f t="shared" si="0"/>
        <v>639.86792016726133</v>
      </c>
      <c r="S43" s="62">
        <f ca="1">AVERAGE(OFFSET($R$3,0,0,'Données projet'!$E$9+1,1))-AVERAGE(OFFSET($H$3,0,0,'Données projet'!$E$9+1,1))</f>
        <v>131.58904681787436</v>
      </c>
      <c r="T43" s="62">
        <f t="shared" si="34"/>
        <v>208.65872561216122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50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8.4698064678240463</v>
      </c>
      <c r="AA43" s="23">
        <f>EXP(-LN(2)/25)*AA42+(1-EXP(-LN(2)/25))/(LN(2)/25)*Calculateur!V43*Calculateur!X43*VLOOKUP('Données projet'!$B$9,Paramètres!$A$1:$I$89,3,0)*0.475*44/12</f>
        <v>2.5330546016400874</v>
      </c>
      <c r="AB43" s="23">
        <f>EXP(-LN(2)/2)*AB42+(1-EXP(-LN(2)/2))/(LN(2)/2)*V43*Y43*VLOOKUP('Données projet'!$B$9,Paramètres!$A$1:$I$89,3,0)*0.475*44/12</f>
        <v>0.47706010780652042</v>
      </c>
      <c r="AC43" s="24">
        <f t="shared" si="3"/>
        <v>11.479921177270654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221.11420634571317</v>
      </c>
      <c r="AO43" s="62">
        <f t="shared" si="36"/>
        <v>133.63266168802033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481</v>
      </c>
      <c r="BB43" s="13">
        <f>VLOOKUP(A43,'Données projet'!$A$87:$I$107,9,0)</f>
        <v>24</v>
      </c>
      <c r="BC43" s="13">
        <f t="array" ref="BC43">INDEX(BB:BB,MIN(IF(ISNUMBER(BB43:BB239),ROW(BB43:BB239),"")))</f>
        <v>24</v>
      </c>
      <c r="BD43" s="13">
        <f>IF('Données projet'!$A$88&gt;35,BD42+BC43-BL42,IF(A43&lt;'Données projet'!$A$88,$BA$205^A43,IF(A43='Données projet'!$A$88,'Données projet'!$B$88,BD42+BC43-BL42)))</f>
        <v>481.00000000000011</v>
      </c>
      <c r="BE43" s="14">
        <f>BD43*VLOOKUP('Données projet'!$B$11,Paramètres!$A$1:$I$89,3,0)*VLOOKUP('Données projet'!$B$11,Paramètres!$A$1:$I$89,5,0)</f>
        <v>268.87900000000008</v>
      </c>
      <c r="BF43" s="14">
        <f t="shared" si="37"/>
        <v>64.611307219969405</v>
      </c>
      <c r="BG43" s="22">
        <f t="shared" si="7"/>
        <v>580.82895174144687</v>
      </c>
      <c r="BH43" s="62">
        <f t="shared" si="8"/>
        <v>874.16228507478013</v>
      </c>
      <c r="BI43" s="62">
        <f ca="1">AVERAGE(OFFSET($BH$3,0,0,'Données projet'!$E$11+1,1))-AVERAGE(OFFSET($H$3,0,0,'Données projet'!$E$11+1,1))</f>
        <v>277.5990520183687</v>
      </c>
      <c r="BJ43" s="62">
        <f t="shared" si="38"/>
        <v>338.50140415303872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58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4.1494133542289395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0.66463579432787889</v>
      </c>
      <c r="BS43" s="24">
        <f t="shared" si="9"/>
        <v>4.8140491485568182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7.9</v>
      </c>
      <c r="N44" s="14">
        <f>IF('Données projet'!$A$36&gt;35,N43+M44-V43,IF(A44&lt;'Données projet'!$A$36,$K$205^A44,IF(A44='Données projet'!$A$36,'Données projet'!$B$36,N43+M44-V43)))</f>
        <v>222.89999999999992</v>
      </c>
      <c r="O44" s="14">
        <f>N44*VLOOKUP('Données projet'!$B$9,Paramètres!$A$1:$I$89,3,0)*VLOOKUP('Données projet'!$B$9,Paramètres!$A$1:$I$89,5,0)</f>
        <v>133.29419999999996</v>
      </c>
      <c r="P44" s="14">
        <f t="shared" si="33"/>
        <v>34.756440080318377</v>
      </c>
      <c r="Q44" s="22">
        <f t="shared" si="53"/>
        <v>292.68819813988773</v>
      </c>
      <c r="R44" s="62">
        <f t="shared" si="0"/>
        <v>586.0215314732211</v>
      </c>
      <c r="S44" s="62">
        <f ca="1">AVERAGE(OFFSET($R$3,0,0,'Données projet'!$E$9+1,1))-AVERAGE(OFFSET($H$3,0,0,'Données projet'!$E$9+1,1))</f>
        <v>131.58904681787436</v>
      </c>
      <c r="T44" s="62">
        <f t="shared" si="34"/>
        <v>208.65872561216122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8.3037187290618544</v>
      </c>
      <c r="AA44" s="23">
        <f>EXP(-LN(2)/25)*AA43+(1-EXP(-LN(2)/25))/(LN(2)/25)*Calculateur!V44*Calculateur!X44*VLOOKUP('Données projet'!$B$9,Paramètres!$A$1:$I$89,3,0)*0.475*44/12</f>
        <v>2.463788090350687</v>
      </c>
      <c r="AB44" s="23">
        <f>EXP(-LN(2)/2)*AB43+(1-EXP(-LN(2)/2))/(LN(2)/2)*V44*Y44*VLOOKUP('Données projet'!$B$9,Paramètres!$A$1:$I$89,3,0)*0.475*44/12</f>
        <v>0.33733243726357603</v>
      </c>
      <c r="AC44" s="24">
        <f t="shared" si="3"/>
        <v>11.104839256676119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221.11420634571317</v>
      </c>
      <c r="AO44" s="62">
        <f t="shared" si="36"/>
        <v>133.63266168802033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20.6</v>
      </c>
      <c r="BD44" s="13">
        <f>IF('Données projet'!$A$88&gt;35,BD43+BC44-BL43,IF(A44&lt;'Données projet'!$A$88,$BA$205^A44,IF(A44='Données projet'!$A$88,'Données projet'!$B$88,BD43+BC44-BL43)))</f>
        <v>443.60000000000014</v>
      </c>
      <c r="BE44" s="14">
        <f>BD44*VLOOKUP('Données projet'!$B$11,Paramètres!$A$1:$I$89,3,0)*VLOOKUP('Données projet'!$B$11,Paramètres!$A$1:$I$89,5,0)</f>
        <v>247.97240000000008</v>
      </c>
      <c r="BF44" s="14">
        <f t="shared" si="37"/>
        <v>60.151555263879217</v>
      </c>
      <c r="BG44" s="22">
        <f t="shared" si="7"/>
        <v>536.64922208458972</v>
      </c>
      <c r="BH44" s="62">
        <f t="shared" si="8"/>
        <v>829.98255541792309</v>
      </c>
      <c r="BI44" s="62">
        <f ca="1">AVERAGE(OFFSET($BH$3,0,0,'Données projet'!$E$11+1,1))-AVERAGE(OFFSET($H$3,0,0,'Données projet'!$E$11+1,1))</f>
        <v>277.5990520183687</v>
      </c>
      <c r="BJ44" s="62">
        <f t="shared" si="38"/>
        <v>338.50140415303872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4.0680458892447513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0.46996847718855067</v>
      </c>
      <c r="BS44" s="24">
        <f t="shared" si="9"/>
        <v>4.5380143664333019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7.9</v>
      </c>
      <c r="N45" s="14">
        <f>IF('Données projet'!$A$36&gt;35,N44+M45-V44,IF(A45&lt;'Données projet'!$A$36,$K$205^A45,IF(A45='Données projet'!$A$36,'Données projet'!$B$36,N44+M45-V44)))</f>
        <v>230.79999999999993</v>
      </c>
      <c r="O45" s="14">
        <f>N45*VLOOKUP('Données projet'!$B$9,Paramètres!$A$1:$I$89,3,0)*VLOOKUP('Données projet'!$B$9,Paramètres!$A$1:$I$89,5,0)</f>
        <v>138.01839999999996</v>
      </c>
      <c r="P45" s="14">
        <f t="shared" si="33"/>
        <v>35.84267281669451</v>
      </c>
      <c r="Q45" s="22">
        <f t="shared" si="53"/>
        <v>302.80803515574286</v>
      </c>
      <c r="R45" s="62">
        <f t="shared" si="0"/>
        <v>596.14136848907617</v>
      </c>
      <c r="S45" s="62">
        <f ca="1">AVERAGE(OFFSET($R$3,0,0,'Données projet'!$E$9+1,1))-AVERAGE(OFFSET($H$3,0,0,'Données projet'!$E$9+1,1))</f>
        <v>131.58904681787436</v>
      </c>
      <c r="T45" s="62">
        <f t="shared" si="34"/>
        <v>208.65872561216122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8.1408878695532714</v>
      </c>
      <c r="AA45" s="23">
        <f>EXP(-LN(2)/25)*AA44+(1-EXP(-LN(2)/25))/(LN(2)/25)*Calculateur!V45*Calculateur!X45*VLOOKUP('Données projet'!$B$9,Paramètres!$A$1:$I$89,3,0)*0.475*44/12</f>
        <v>2.3964156754550627</v>
      </c>
      <c r="AB45" s="23">
        <f>EXP(-LN(2)/2)*AB44+(1-EXP(-LN(2)/2))/(LN(2)/2)*V45*Y45*VLOOKUP('Données projet'!$B$9,Paramètres!$A$1:$I$89,3,0)*0.475*44/12</f>
        <v>0.23853005390326024</v>
      </c>
      <c r="AC45" s="24">
        <f t="shared" si="3"/>
        <v>10.775833598911595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221.11420634571317</v>
      </c>
      <c r="AO45" s="62">
        <f t="shared" si="36"/>
        <v>133.63266168802033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20.6</v>
      </c>
      <c r="BD45" s="13">
        <f>IF('Données projet'!$A$88&gt;35,BD44+BC45-BL44,IF(A45&lt;'Données projet'!$A$88,$BA$205^A45,IF(A45='Données projet'!$A$88,'Données projet'!$B$88,BD44+BC45-BL44)))</f>
        <v>464.20000000000016</v>
      </c>
      <c r="BE45" s="14">
        <f>BD45*VLOOKUP('Données projet'!$B$11,Paramètres!$A$1:$I$89,3,0)*VLOOKUP('Données projet'!$B$11,Paramètres!$A$1:$I$89,5,0)</f>
        <v>259.48780000000005</v>
      </c>
      <c r="BF45" s="14">
        <f t="shared" si="37"/>
        <v>62.613185087484013</v>
      </c>
      <c r="BG45" s="22">
        <f t="shared" si="7"/>
        <v>560.992549027368</v>
      </c>
      <c r="BH45" s="62">
        <f t="shared" si="8"/>
        <v>854.32588236070137</v>
      </c>
      <c r="BI45" s="62">
        <f ca="1">AVERAGE(OFFSET($BH$3,0,0,'Données projet'!$E$11+1,1))-AVERAGE(OFFSET($H$3,0,0,'Données projet'!$E$11+1,1))</f>
        <v>277.5990520183687</v>
      </c>
      <c r="BJ45" s="62">
        <f t="shared" si="38"/>
        <v>338.50140415303872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3.9882739906196498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0.33231789716393945</v>
      </c>
      <c r="BS45" s="24">
        <f t="shared" si="9"/>
        <v>4.3205918877835892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7.9</v>
      </c>
      <c r="N46" s="14">
        <f>IF('Données projet'!$A$36&gt;35,N45+M46-V45,IF(A46&lt;'Données projet'!$A$36,$K$205^A46,IF(A46='Données projet'!$A$36,'Données projet'!$B$36,N45+M46-V45)))</f>
        <v>238.69999999999993</v>
      </c>
      <c r="O46" s="14">
        <f>N46*VLOOKUP('Données projet'!$B$9,Paramètres!$A$1:$I$89,3,0)*VLOOKUP('Données projet'!$B$9,Paramètres!$A$1:$I$89,5,0)</f>
        <v>142.74259999999998</v>
      </c>
      <c r="P46" s="14">
        <f t="shared" si="33"/>
        <v>36.924585472239464</v>
      </c>
      <c r="Q46" s="22">
        <f t="shared" si="53"/>
        <v>312.92034803081702</v>
      </c>
      <c r="R46" s="62">
        <f t="shared" si="0"/>
        <v>606.25368136415034</v>
      </c>
      <c r="S46" s="62">
        <f ca="1">AVERAGE(OFFSET($R$3,0,0,'Données projet'!$E$9+1,1))-AVERAGE(OFFSET($H$3,0,0,'Données projet'!$E$9+1,1))</f>
        <v>131.58904681787436</v>
      </c>
      <c r="T46" s="62">
        <f t="shared" si="34"/>
        <v>208.65872561216122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7.9812500238826347</v>
      </c>
      <c r="AA46" s="23">
        <f>EXP(-LN(2)/25)*AA45+(1-EXP(-LN(2)/25))/(LN(2)/25)*Calculateur!V46*Calculateur!X46*VLOOKUP('Données projet'!$B$9,Paramètres!$A$1:$I$89,3,0)*0.475*44/12</f>
        <v>2.3308855627877207</v>
      </c>
      <c r="AB46" s="23">
        <f>EXP(-LN(2)/2)*AB45+(1-EXP(-LN(2)/2))/(LN(2)/2)*V46*Y46*VLOOKUP('Données projet'!$B$9,Paramètres!$A$1:$I$89,3,0)*0.475*44/12</f>
        <v>0.16866621863178805</v>
      </c>
      <c r="AC46" s="24">
        <f t="shared" si="3"/>
        <v>10.480801805302143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221.11420634571317</v>
      </c>
      <c r="AO46" s="62">
        <f t="shared" si="36"/>
        <v>133.63266168802033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20.6</v>
      </c>
      <c r="BD46" s="13">
        <f>IF('Données projet'!$A$88&gt;35,BD45+BC46-BL45,IF(A46&lt;'Données projet'!$A$88,$BA$205^A46,IF(A46='Données projet'!$A$88,'Données projet'!$B$88,BD45+BC46-BL45)))</f>
        <v>484.80000000000018</v>
      </c>
      <c r="BE46" s="14">
        <f>BD46*VLOOKUP('Données projet'!$B$11,Paramètres!$A$1:$I$89,3,0)*VLOOKUP('Données projet'!$B$11,Paramètres!$A$1:$I$89,5,0)</f>
        <v>271.00320000000011</v>
      </c>
      <c r="BF46" s="14">
        <f t="shared" si="37"/>
        <v>65.062127670866857</v>
      </c>
      <c r="BG46" s="22">
        <f t="shared" si="7"/>
        <v>585.31377902676002</v>
      </c>
      <c r="BH46" s="62">
        <f t="shared" si="8"/>
        <v>878.64711236009339</v>
      </c>
      <c r="BI46" s="62">
        <f ca="1">AVERAGE(OFFSET($BH$3,0,0,'Données projet'!$E$11+1,1))-AVERAGE(OFFSET($H$3,0,0,'Données projet'!$E$11+1,1))</f>
        <v>277.5990520183687</v>
      </c>
      <c r="BJ46" s="62">
        <f t="shared" si="38"/>
        <v>338.50140415303872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3.9100663702705329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0.23498423859427534</v>
      </c>
      <c r="BS46" s="24">
        <f t="shared" si="9"/>
        <v>4.1450506088648087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7.9</v>
      </c>
      <c r="N47" s="14">
        <f>IF('Données projet'!$A$36&gt;35,N46+M47-V46,IF(A47&lt;'Données projet'!$A$36,$K$205^A47,IF(A47='Données projet'!$A$36,'Données projet'!$B$36,N46+M47-V46)))</f>
        <v>246.59999999999994</v>
      </c>
      <c r="O47" s="14">
        <f>N47*VLOOKUP('Données projet'!$B$9,Paramètres!$A$1:$I$89,3,0)*VLOOKUP('Données projet'!$B$9,Paramètres!$A$1:$I$89,5,0)</f>
        <v>147.46679999999998</v>
      </c>
      <c r="P47" s="14">
        <f t="shared" si="33"/>
        <v>38.002337418636273</v>
      </c>
      <c r="Q47" s="22">
        <f t="shared" si="53"/>
        <v>323.02541433745813</v>
      </c>
      <c r="R47" s="62">
        <f t="shared" si="0"/>
        <v>616.35874767079144</v>
      </c>
      <c r="S47" s="62">
        <f ca="1">AVERAGE(OFFSET($R$3,0,0,'Données projet'!$E$9+1,1))-AVERAGE(OFFSET($H$3,0,0,'Données projet'!$E$9+1,1))</f>
        <v>131.58904681787436</v>
      </c>
      <c r="T47" s="62">
        <f t="shared" si="34"/>
        <v>208.65872561216122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7.824742578996128</v>
      </c>
      <c r="AA47" s="23">
        <f>EXP(-LN(2)/25)*AA46+(1-EXP(-LN(2)/25))/(LN(2)/25)*Calculateur!V47*Calculateur!X47*VLOOKUP('Données projet'!$B$9,Paramètres!$A$1:$I$89,3,0)*0.475*44/12</f>
        <v>2.267147374497346</v>
      </c>
      <c r="AB47" s="23">
        <f>EXP(-LN(2)/2)*AB46+(1-EXP(-LN(2)/2))/(LN(2)/2)*V47*Y47*VLOOKUP('Données projet'!$B$9,Paramètres!$A$1:$I$89,3,0)*0.475*44/12</f>
        <v>0.11926502695163015</v>
      </c>
      <c r="AC47" s="24">
        <f t="shared" si="3"/>
        <v>10.211154980445105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221.11420634571317</v>
      </c>
      <c r="AO47" s="62">
        <f t="shared" si="36"/>
        <v>133.63266168802033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20.6</v>
      </c>
      <c r="BD47" s="13">
        <f>IF('Données projet'!$A$88&gt;35,BD46+BC47-BL46,IF(A47&lt;'Données projet'!$A$88,$BA$205^A47,IF(A47='Données projet'!$A$88,'Données projet'!$B$88,BD46+BC47-BL46)))</f>
        <v>505.4000000000002</v>
      </c>
      <c r="BE47" s="14">
        <f>BD47*VLOOKUP('Données projet'!$B$11,Paramètres!$A$1:$I$89,3,0)*VLOOKUP('Données projet'!$B$11,Paramètres!$A$1:$I$89,5,0)</f>
        <v>282.51860000000011</v>
      </c>
      <c r="BF47" s="14">
        <f t="shared" si="37"/>
        <v>67.498983751557503</v>
      </c>
      <c r="BG47" s="22">
        <f t="shared" si="7"/>
        <v>609.61395836729616</v>
      </c>
      <c r="BH47" s="62">
        <f t="shared" si="8"/>
        <v>902.94729170062942</v>
      </c>
      <c r="BI47" s="62">
        <f ca="1">AVERAGE(OFFSET($BH$3,0,0,'Données projet'!$E$11+1,1))-AVERAGE(OFFSET($H$3,0,0,'Données projet'!$E$11+1,1))</f>
        <v>277.5990520183687</v>
      </c>
      <c r="BJ47" s="62">
        <f t="shared" si="38"/>
        <v>338.50140415303872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3.8333923536545238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0.16615894858196972</v>
      </c>
      <c r="BS47" s="24">
        <f t="shared" si="9"/>
        <v>3.9995513022364935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7.9</v>
      </c>
      <c r="N48" s="14">
        <f>IF('Données projet'!$A$36&gt;35,N47+M48-V47,IF(A48&lt;'Données projet'!$A$36,$K$205^A48,IF(A48='Données projet'!$A$36,'Données projet'!$B$36,N47+M48-V47)))</f>
        <v>254.49999999999994</v>
      </c>
      <c r="O48" s="14">
        <f>N48*VLOOKUP('Données projet'!$B$9,Paramètres!$A$1:$I$89,3,0)*VLOOKUP('Données projet'!$B$9,Paramètres!$A$1:$I$89,5,0)</f>
        <v>152.19099999999997</v>
      </c>
      <c r="P48" s="14">
        <f t="shared" si="33"/>
        <v>39.07607723663272</v>
      </c>
      <c r="Q48" s="22">
        <f t="shared" si="53"/>
        <v>333.12349285380191</v>
      </c>
      <c r="R48" s="62">
        <f t="shared" si="0"/>
        <v>626.45682618713522</v>
      </c>
      <c r="S48" s="62">
        <f ca="1">AVERAGE(OFFSET($R$3,0,0,'Données projet'!$E$9+1,1))-AVERAGE(OFFSET($H$3,0,0,'Données projet'!$E$9+1,1))</f>
        <v>131.58904681787436</v>
      </c>
      <c r="T48" s="62">
        <f t="shared" si="34"/>
        <v>208.65872561216122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7.6713041496437295</v>
      </c>
      <c r="AA48" s="23">
        <f>EXP(-LN(2)/25)*AA47+(1-EXP(-LN(2)/25))/(LN(2)/25)*Calculateur!V48*Calculateur!X48*VLOOKUP('Données projet'!$B$9,Paramètres!$A$1:$I$89,3,0)*0.475*44/12</f>
        <v>2.2051521103176173</v>
      </c>
      <c r="AB48" s="23">
        <f>EXP(-LN(2)/2)*AB47+(1-EXP(-LN(2)/2))/(LN(2)/2)*V48*Y48*VLOOKUP('Données projet'!$B$9,Paramètres!$A$1:$I$89,3,0)*0.475*44/12</f>
        <v>8.4333109315894036E-2</v>
      </c>
      <c r="AC48" s="24">
        <f t="shared" si="3"/>
        <v>9.9607893692772418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221.11420634571317</v>
      </c>
      <c r="AO48" s="62">
        <f t="shared" si="36"/>
        <v>133.63266168802033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526</v>
      </c>
      <c r="BB48" s="13">
        <f>VLOOKUP(A48,'Données projet'!$A$87:$I$107,9,0)</f>
        <v>20.6</v>
      </c>
      <c r="BC48" s="13">
        <f t="array" ref="BC48">INDEX(BB:BB,MIN(IF(ISNUMBER(BB48:BB244),ROW(BB48:BB244),"")))</f>
        <v>20.6</v>
      </c>
      <c r="BD48" s="13">
        <f>IF('Données projet'!$A$88&gt;35,BD47+BC48-BL47,IF(A48&lt;'Données projet'!$A$88,$BA$205^A48,IF(A48='Données projet'!$A$88,'Données projet'!$B$88,BD47+BC48-BL47)))</f>
        <v>526.00000000000023</v>
      </c>
      <c r="BE48" s="14">
        <f>BD48*VLOOKUP('Données projet'!$B$11,Paramètres!$A$1:$I$89,3,0)*VLOOKUP('Données projet'!$B$11,Paramètres!$A$1:$I$89,5,0)</f>
        <v>294.03400000000011</v>
      </c>
      <c r="BF48" s="14">
        <f t="shared" si="37"/>
        <v>69.924302323873434</v>
      </c>
      <c r="BG48" s="22">
        <f t="shared" si="7"/>
        <v>633.89404321407972</v>
      </c>
      <c r="BH48" s="62">
        <f t="shared" si="8"/>
        <v>927.22737654741309</v>
      </c>
      <c r="BI48" s="62">
        <f ca="1">AVERAGE(OFFSET($BH$3,0,0,'Données projet'!$E$11+1,1))-AVERAGE(OFFSET($H$3,0,0,'Données projet'!$E$11+1,1))</f>
        <v>277.5990520183687</v>
      </c>
      <c r="BJ48" s="62">
        <f t="shared" si="38"/>
        <v>338.50140415303872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57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3.7582218677378223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0.11749211929713767</v>
      </c>
      <c r="BS48" s="24">
        <f t="shared" si="9"/>
        <v>3.8757139870349602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7.9</v>
      </c>
      <c r="N49" s="14">
        <f>IF('Données projet'!$A$36&gt;35,N48+M49-V48,IF(A49&lt;'Données projet'!$A$36,$K$205^A49,IF(A49='Données projet'!$A$36,'Données projet'!$B$36,N48+M49-V48)))</f>
        <v>262.39999999999992</v>
      </c>
      <c r="O49" s="14">
        <f>N49*VLOOKUP('Données projet'!$B$9,Paramètres!$A$1:$I$89,3,0)*VLOOKUP('Données projet'!$B$9,Paramètres!$A$1:$I$89,5,0)</f>
        <v>156.91519999999997</v>
      </c>
      <c r="P49" s="14">
        <f t="shared" si="33"/>
        <v>40.145943758721963</v>
      </c>
      <c r="Q49" s="22">
        <f t="shared" si="53"/>
        <v>343.21482537977403</v>
      </c>
      <c r="R49" s="62">
        <f t="shared" si="0"/>
        <v>636.54815871310734</v>
      </c>
      <c r="S49" s="62">
        <f ca="1">AVERAGE(OFFSET($R$3,0,0,'Données projet'!$E$9+1,1))-AVERAGE(OFFSET($H$3,0,0,'Données projet'!$E$9+1,1))</f>
        <v>131.58904681787436</v>
      </c>
      <c r="T49" s="62">
        <f t="shared" si="34"/>
        <v>208.65872561216122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7.5208745543027309</v>
      </c>
      <c r="AA49" s="23">
        <f>EXP(-LN(2)/25)*AA48+(1-EXP(-LN(2)/25))/(LN(2)/25)*Calculateur!V49*Calculateur!X49*VLOOKUP('Données projet'!$B$9,Paramètres!$A$1:$I$89,3,0)*0.475*44/12</f>
        <v>2.1448521098970725</v>
      </c>
      <c r="AB49" s="23">
        <f>EXP(-LN(2)/2)*AB48+(1-EXP(-LN(2)/2))/(LN(2)/2)*V49*Y49*VLOOKUP('Données projet'!$B$9,Paramètres!$A$1:$I$89,3,0)*0.475*44/12</f>
        <v>5.963251347581508E-2</v>
      </c>
      <c r="AC49" s="24">
        <f t="shared" si="3"/>
        <v>9.7253591776756192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221.11420634571317</v>
      </c>
      <c r="AO49" s="62">
        <f t="shared" si="36"/>
        <v>133.63266168802033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15</v>
      </c>
      <c r="BD49" s="13">
        <f>IF('Données projet'!$A$88&gt;35,BD48+BC49-BL48,IF(A49&lt;'Données projet'!$A$88,$BA$205^A49,IF(A49='Données projet'!$A$88,'Données projet'!$B$88,BD48+BC49-BL48)))</f>
        <v>484.00000000000023</v>
      </c>
      <c r="BE49" s="14">
        <f>BD49*VLOOKUP('Données projet'!$B$11,Paramètres!$A$1:$I$89,3,0)*VLOOKUP('Données projet'!$B$11,Paramètres!$A$1:$I$89,5,0)</f>
        <v>270.55600000000015</v>
      </c>
      <c r="BF49" s="14">
        <f t="shared" si="37"/>
        <v>64.967252389325282</v>
      </c>
      <c r="BG49" s="22">
        <f t="shared" si="7"/>
        <v>584.36966457807512</v>
      </c>
      <c r="BH49" s="62">
        <f t="shared" si="8"/>
        <v>877.70299791140837</v>
      </c>
      <c r="BI49" s="62">
        <f ca="1">AVERAGE(OFFSET($BH$3,0,0,'Données projet'!$E$11+1,1))-AVERAGE(OFFSET($H$3,0,0,'Données projet'!$E$11+1,1))</f>
        <v>277.5990520183687</v>
      </c>
      <c r="BJ49" s="62">
        <f t="shared" si="38"/>
        <v>338.50140415303872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3.6845254292004781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8.3079474290984862E-2</v>
      </c>
      <c r="BS49" s="24">
        <f t="shared" si="9"/>
        <v>3.7676049034914629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7.9</v>
      </c>
      <c r="N50" s="14">
        <f>IF('Données projet'!$A$36&gt;35,N49+M50-V49,IF(A50&lt;'Données projet'!$A$36,$K$205^A50,IF(A50='Données projet'!$A$36,'Données projet'!$B$36,N49+M50-V49)))</f>
        <v>270.2999999999999</v>
      </c>
      <c r="O50" s="14">
        <f>N50*VLOOKUP('Données projet'!$B$9,Paramètres!$A$1:$I$89,3,0)*VLOOKUP('Données projet'!$B$9,Paramètres!$A$1:$I$89,5,0)</f>
        <v>161.63939999999997</v>
      </c>
      <c r="P50" s="14">
        <f t="shared" si="33"/>
        <v>41.212066982728679</v>
      </c>
      <c r="Q50" s="22">
        <f t="shared" si="53"/>
        <v>353.29963832825234</v>
      </c>
      <c r="R50" s="62">
        <f t="shared" si="0"/>
        <v>646.63297166158566</v>
      </c>
      <c r="S50" s="62">
        <f ca="1">AVERAGE(OFFSET($R$3,0,0,'Données projet'!$E$9+1,1))-AVERAGE(OFFSET($H$3,0,0,'Données projet'!$E$9+1,1))</f>
        <v>131.58904681787436</v>
      </c>
      <c r="T50" s="62">
        <f t="shared" si="34"/>
        <v>208.65872561216122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7.373394791573376</v>
      </c>
      <c r="AA50" s="23">
        <f>EXP(-LN(2)/25)*AA49+(1-EXP(-LN(2)/25))/(LN(2)/25)*Calculateur!V50*Calculateur!X50*VLOOKUP('Données projet'!$B$9,Paramètres!$A$1:$I$89,3,0)*0.475*44/12</f>
        <v>2.0862010161590669</v>
      </c>
      <c r="AB50" s="23">
        <f>EXP(-LN(2)/2)*AB49+(1-EXP(-LN(2)/2))/(LN(2)/2)*V50*Y50*VLOOKUP('Données projet'!$B$9,Paramètres!$A$1:$I$89,3,0)*0.475*44/12</f>
        <v>4.2166554657947025E-2</v>
      </c>
      <c r="AC50" s="24">
        <f t="shared" si="3"/>
        <v>9.5017623623903891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221.11420634571317</v>
      </c>
      <c r="AO50" s="62">
        <f t="shared" si="36"/>
        <v>133.63266168802033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15</v>
      </c>
      <c r="BD50" s="13">
        <f>IF('Données projet'!$A$88&gt;35,BD49+BC50-BL49,IF(A50&lt;'Données projet'!$A$88,$BA$205^A50,IF(A50='Données projet'!$A$88,'Données projet'!$B$88,BD49+BC50-BL49)))</f>
        <v>499.00000000000023</v>
      </c>
      <c r="BE50" s="14">
        <f>BD50*VLOOKUP('Données projet'!$B$11,Paramètres!$A$1:$I$89,3,0)*VLOOKUP('Données projet'!$B$11,Paramètres!$A$1:$I$89,5,0)</f>
        <v>278.94100000000014</v>
      </c>
      <c r="BF50" s="14">
        <f t="shared" si="37"/>
        <v>66.743162406600192</v>
      </c>
      <c r="BG50" s="22">
        <f t="shared" si="7"/>
        <v>602.06658285816218</v>
      </c>
      <c r="BH50" s="62">
        <f t="shared" si="8"/>
        <v>895.39991619149555</v>
      </c>
      <c r="BI50" s="62">
        <f ca="1">AVERAGE(OFFSET($BH$3,0,0,'Données projet'!$E$11+1,1))-AVERAGE(OFFSET($H$3,0,0,'Données projet'!$E$11+1,1))</f>
        <v>277.5990520183687</v>
      </c>
      <c r="BJ50" s="62">
        <f t="shared" si="38"/>
        <v>338.50140415303872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3.6122741328724621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5.8746059648568834E-2</v>
      </c>
      <c r="BS50" s="24">
        <f t="shared" si="9"/>
        <v>3.6710201925210311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7.9</v>
      </c>
      <c r="N51" s="14">
        <f>IF('Données projet'!$A$36&gt;35,N50+M51-V50,IF(A51&lt;'Données projet'!$A$36,$K$205^A51,IF(A51='Données projet'!$A$36,'Données projet'!$B$36,N50+M51-V50)))</f>
        <v>278.19999999999987</v>
      </c>
      <c r="O51" s="14">
        <f>N51*VLOOKUP('Données projet'!$B$9,Paramètres!$A$1:$I$89,3,0)*VLOOKUP('Données projet'!$B$9,Paramètres!$A$1:$I$89,5,0)</f>
        <v>166.36359999999993</v>
      </c>
      <c r="P51" s="14">
        <f t="shared" si="33"/>
        <v>42.274568875588898</v>
      </c>
      <c r="Q51" s="22">
        <f t="shared" si="53"/>
        <v>363.37814412498386</v>
      </c>
      <c r="R51" s="62">
        <f t="shared" si="0"/>
        <v>656.71147745831718</v>
      </c>
      <c r="S51" s="62">
        <f ca="1">AVERAGE(OFFSET($R$3,0,0,'Données projet'!$E$9+1,1))-AVERAGE(OFFSET($H$3,0,0,'Données projet'!$E$9+1,1))</f>
        <v>131.58904681787436</v>
      </c>
      <c r="T51" s="62">
        <f t="shared" si="34"/>
        <v>208.65872561216122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7.2288070170373704</v>
      </c>
      <c r="AA51" s="23">
        <f>EXP(-LN(2)/25)*AA50+(1-EXP(-LN(2)/25))/(LN(2)/25)*Calculateur!V51*Calculateur!X51*VLOOKUP('Données projet'!$B$9,Paramètres!$A$1:$I$89,3,0)*0.475*44/12</f>
        <v>2.0291537396636539</v>
      </c>
      <c r="AB51" s="23">
        <f>EXP(-LN(2)/2)*AB50+(1-EXP(-LN(2)/2))/(LN(2)/2)*V51*Y51*VLOOKUP('Données projet'!$B$9,Paramètres!$A$1:$I$89,3,0)*0.475*44/12</f>
        <v>2.9816256737907547E-2</v>
      </c>
      <c r="AC51" s="24">
        <f t="shared" si="3"/>
        <v>9.2877770134389319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221.11420634571317</v>
      </c>
      <c r="AO51" s="62">
        <f t="shared" si="36"/>
        <v>133.63266168802033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15</v>
      </c>
      <c r="BD51" s="13">
        <f>IF('Données projet'!$A$88&gt;35,BD50+BC51-BL50,IF(A51&lt;'Données projet'!$A$88,$BA$205^A51,IF(A51='Données projet'!$A$88,'Données projet'!$B$88,BD50+BC51-BL50)))</f>
        <v>514.00000000000023</v>
      </c>
      <c r="BE51" s="14">
        <f>BD51*VLOOKUP('Données projet'!$B$11,Paramètres!$A$1:$I$89,3,0)*VLOOKUP('Données projet'!$B$11,Paramètres!$A$1:$I$89,5,0)</f>
        <v>287.32600000000014</v>
      </c>
      <c r="BF51" s="14">
        <f t="shared" si="37"/>
        <v>68.512868389632118</v>
      </c>
      <c r="BG51" s="22">
        <f t="shared" si="7"/>
        <v>619.75269577860945</v>
      </c>
      <c r="BH51" s="62">
        <f t="shared" si="8"/>
        <v>913.08602911194271</v>
      </c>
      <c r="BI51" s="62">
        <f ca="1">AVERAGE(OFFSET($BH$3,0,0,'Données projet'!$E$11+1,1))-AVERAGE(OFFSET($H$3,0,0,'Données projet'!$E$11+1,1))</f>
        <v>277.5990520183687</v>
      </c>
      <c r="BJ51" s="62">
        <f t="shared" si="38"/>
        <v>338.50140415303872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3.5414396403964994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4.1539737145492431E-2</v>
      </c>
      <c r="BS51" s="24">
        <f t="shared" si="9"/>
        <v>3.5829793775419918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7.9</v>
      </c>
      <c r="N52" s="14">
        <f>IF('Données projet'!$A$36&gt;35,N51+M52-V51,IF(A52&lt;'Données projet'!$A$36,$K$205^A52,IF(A52='Données projet'!$A$36,'Données projet'!$B$36,N51+M52-V51)))</f>
        <v>286.09999999999985</v>
      </c>
      <c r="O52" s="14">
        <f>N52*VLOOKUP('Données projet'!$B$9,Paramètres!$A$1:$I$89,3,0)*VLOOKUP('Données projet'!$B$9,Paramètres!$A$1:$I$89,5,0)</f>
        <v>171.08779999999993</v>
      </c>
      <c r="P52" s="14">
        <f t="shared" si="33"/>
        <v>43.333564083264214</v>
      </c>
      <c r="Q52" s="22">
        <f t="shared" si="53"/>
        <v>373.45054244501836</v>
      </c>
      <c r="R52" s="62">
        <f t="shared" si="0"/>
        <v>666.78387577835167</v>
      </c>
      <c r="S52" s="62">
        <f ca="1">AVERAGE(OFFSET($R$3,0,0,'Données projet'!$E$9+1,1))-AVERAGE(OFFSET($H$3,0,0,'Données projet'!$E$9+1,1))</f>
        <v>131.58904681787436</v>
      </c>
      <c r="T52" s="62">
        <f t="shared" si="34"/>
        <v>208.65872561216122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7.0870545205701818</v>
      </c>
      <c r="AA52" s="23">
        <f>EXP(-LN(2)/25)*AA51+(1-EXP(-LN(2)/25))/(LN(2)/25)*Calculateur!V52*Calculateur!X52*VLOOKUP('Données projet'!$B$9,Paramètres!$A$1:$I$89,3,0)*0.475*44/12</f>
        <v>1.9736664239439938</v>
      </c>
      <c r="AB52" s="23">
        <f>EXP(-LN(2)/2)*AB51+(1-EXP(-LN(2)/2))/(LN(2)/2)*V52*Y52*VLOOKUP('Données projet'!$B$9,Paramètres!$A$1:$I$89,3,0)*0.475*44/12</f>
        <v>2.1083277328973516E-2</v>
      </c>
      <c r="AC52" s="24">
        <f t="shared" si="3"/>
        <v>9.0818042218431483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629.54213565092948</v>
      </c>
      <c r="AN52" s="62">
        <f ca="1">AVERAGE(OFFSET($AM$3,0,0,'Données projet'!$E$10+1,1))-AVERAGE(OFFSET($H$3,0,0,'Données projet'!$E$10+1,1))</f>
        <v>221.11420634571317</v>
      </c>
      <c r="AO52" s="62">
        <f t="shared" si="36"/>
        <v>133.63266168802033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15</v>
      </c>
      <c r="BD52" s="13">
        <f>IF('Données projet'!$A$88&gt;35,BD51+BC52-BL51,IF(A52&lt;'Données projet'!$A$88,$BA$205^A52,IF(A52='Données projet'!$A$88,'Données projet'!$B$88,BD51+BC52-BL51)))</f>
        <v>529.00000000000023</v>
      </c>
      <c r="BE52" s="14">
        <f>BD52*VLOOKUP('Données projet'!$B$11,Paramètres!$A$1:$I$89,3,0)*VLOOKUP('Données projet'!$B$11,Paramètres!$A$1:$I$89,5,0)</f>
        <v>295.71100000000013</v>
      </c>
      <c r="BF52" s="14">
        <f t="shared" si="37"/>
        <v>70.276572179571303</v>
      </c>
      <c r="BG52" s="22">
        <f t="shared" si="7"/>
        <v>637.42835487942023</v>
      </c>
      <c r="BH52" s="62">
        <f t="shared" si="8"/>
        <v>930.7616882127536</v>
      </c>
      <c r="BI52" s="62">
        <f ca="1">AVERAGE(OFFSET($BH$3,0,0,'Données projet'!$E$11+1,1))-AVERAGE(OFFSET($H$3,0,0,'Données projet'!$E$11+1,1))</f>
        <v>277.5990520183687</v>
      </c>
      <c r="BJ52" s="62">
        <f t="shared" si="38"/>
        <v>338.50140415303872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3.4719941691132159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2.9373029824284417E-2</v>
      </c>
      <c r="BS52" s="24">
        <f t="shared" si="9"/>
        <v>3.5013671989375004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294</v>
      </c>
      <c r="L53" s="13">
        <f>VLOOKUP(A53,'Données projet'!$A$35:$I$55,9,0)</f>
        <v>7.9</v>
      </c>
      <c r="M53" s="13">
        <f t="array" ref="M53">INDEX(L:L,MIN(IF(ISNUMBER(L53:L249),ROW(L53:L249),"")))</f>
        <v>7.9</v>
      </c>
      <c r="N53" s="14">
        <f>IF('Données projet'!$A$36&gt;35,N52+M53-V52,IF(A53&lt;'Données projet'!$A$36,$K$205^A53,IF(A53='Données projet'!$A$36,'Données projet'!$B$36,N52+M53-V52)))</f>
        <v>293.99999999999983</v>
      </c>
      <c r="O53" s="14">
        <f>N53*VLOOKUP('Données projet'!$B$9,Paramètres!$A$1:$I$89,3,0)*VLOOKUP('Données projet'!$B$9,Paramètres!$A$1:$I$89,5,0)</f>
        <v>175.8119999999999</v>
      </c>
      <c r="P53" s="14">
        <f t="shared" si="33"/>
        <v>44.389160560041141</v>
      </c>
      <c r="Q53" s="22">
        <f t="shared" si="53"/>
        <v>383.51702130873815</v>
      </c>
      <c r="R53" s="62">
        <f t="shared" si="0"/>
        <v>676.85035464207147</v>
      </c>
      <c r="S53" s="62">
        <f ca="1">AVERAGE(OFFSET($R$3,0,0,'Données projet'!$E$9+1,1))-AVERAGE(OFFSET($H$3,0,0,'Données projet'!$E$9+1,1))</f>
        <v>131.58904681787436</v>
      </c>
      <c r="T53" s="62">
        <f t="shared" si="34"/>
        <v>208.65872561216122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294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6.9480817040982297</v>
      </c>
      <c r="AA53" s="23">
        <f>EXP(-LN(2)/25)*AA52+(1-EXP(-LN(2)/25))/(LN(2)/25)*Calculateur!V53*Calculateur!X53*VLOOKUP('Données projet'!$B$9,Paramètres!$A$1:$I$89,3,0)*0.475*44/12</f>
        <v>1.919696411790639</v>
      </c>
      <c r="AB53" s="23">
        <f>EXP(-LN(2)/2)*AB52+(1-EXP(-LN(2)/2))/(LN(2)/2)*V53*Y53*VLOOKUP('Données projet'!$B$9,Paramètres!$A$1:$I$89,3,0)*0.475*44/12</f>
        <v>1.4908128368953775E-2</v>
      </c>
      <c r="AC53" s="24">
        <f t="shared" si="3"/>
        <v>8.8826862442578207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221.11420634571317</v>
      </c>
      <c r="AO53" s="62">
        <f t="shared" si="36"/>
        <v>133.63266168802033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544</v>
      </c>
      <c r="BB53" s="13">
        <f>VLOOKUP(A53,'Données projet'!$A$87:$I$107,9,0)</f>
        <v>15</v>
      </c>
      <c r="BC53" s="13">
        <f t="array" ref="BC53">INDEX(BB:BB,MIN(IF(ISNUMBER(BB53:BB249),ROW(BB53:BB249),"")))</f>
        <v>15</v>
      </c>
      <c r="BD53" s="13">
        <f>IF('Données projet'!$A$88&gt;35,BD52+BC53-BL52,IF(A53&lt;'Données projet'!$A$88,$BA$205^A53,IF(A53='Données projet'!$A$88,'Données projet'!$B$88,BD52+BC53-BL52)))</f>
        <v>544.00000000000023</v>
      </c>
      <c r="BE53" s="14">
        <f>BD53*VLOOKUP('Données projet'!$B$11,Paramètres!$A$1:$I$89,3,0)*VLOOKUP('Données projet'!$B$11,Paramètres!$A$1:$I$89,5,0)</f>
        <v>304.09600000000012</v>
      </c>
      <c r="BF53" s="14">
        <f t="shared" si="37"/>
        <v>72.03446351987327</v>
      </c>
      <c r="BG53" s="22">
        <f t="shared" si="7"/>
        <v>655.09389063044614</v>
      </c>
      <c r="BH53" s="62">
        <f t="shared" si="8"/>
        <v>948.4272239637794</v>
      </c>
      <c r="BI53" s="62">
        <f ca="1">AVERAGE(OFFSET($BH$3,0,0,'Données projet'!$E$11+1,1))-AVERAGE(OFFSET($H$3,0,0,'Données projet'!$E$11+1,1))</f>
        <v>277.5990520183687</v>
      </c>
      <c r="BJ53" s="62">
        <f t="shared" si="38"/>
        <v>338.50140415303872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3.4039104811642429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2.0769868572746215E-2</v>
      </c>
      <c r="BS53" s="24">
        <f t="shared" si="9"/>
        <v>3.4246803497369891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-1.7053025658242404E-13</v>
      </c>
      <c r="O54" s="14">
        <f>N54*VLOOKUP('Données projet'!$B$9,Paramètres!$A$1:$I$89,3,0)*VLOOKUP('Données projet'!$B$9,Paramètres!$A$1:$I$89,5,0)</f>
        <v>-1.0197709343628959E-13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131.58904681787436</v>
      </c>
      <c r="T54" s="62">
        <f t="shared" si="34"/>
        <v>208.65872561216122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6.8118340597922442</v>
      </c>
      <c r="AA54" s="23">
        <f>EXP(-LN(2)/25)*AA53+(1-EXP(-LN(2)/25))/(LN(2)/25)*Calculateur!V54*Calculateur!X54*VLOOKUP('Données projet'!$B$9,Paramètres!$A$1:$I$89,3,0)*0.475*44/12</f>
        <v>1.8672022124577772</v>
      </c>
      <c r="AB54" s="23">
        <f>EXP(-LN(2)/2)*AB53+(1-EXP(-LN(2)/2))/(LN(2)/2)*V54*Y54*VLOOKUP('Données projet'!$B$9,Paramètres!$A$1:$I$89,3,0)*0.475*44/12</f>
        <v>1.054163866448676E-2</v>
      </c>
      <c r="AC54" s="24">
        <f t="shared" si="3"/>
        <v>8.6895779109145082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221.11420634571317</v>
      </c>
      <c r="AO54" s="62">
        <f t="shared" si="36"/>
        <v>133.63266168802033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12.6</v>
      </c>
      <c r="BD54" s="13">
        <f>IF('Données projet'!$A$88&gt;35,BD53+BC54-BL53,IF(A54&lt;'Données projet'!$A$88,$BA$205^A54,IF(A54='Données projet'!$A$88,'Données projet'!$B$88,BD53+BC54-BL53)))</f>
        <v>514.60000000000025</v>
      </c>
      <c r="BE54" s="14">
        <f>BD54*VLOOKUP('Données projet'!$B$11,Paramètres!$A$1:$I$89,3,0)*VLOOKUP('Données projet'!$B$11,Paramètres!$A$1:$I$89,5,0)</f>
        <v>287.66140000000013</v>
      </c>
      <c r="BF54" s="14">
        <f t="shared" si="37"/>
        <v>68.583530482412016</v>
      </c>
      <c r="BG54" s="22">
        <f t="shared" si="7"/>
        <v>620.45992059020114</v>
      </c>
      <c r="BH54" s="62">
        <f t="shared" si="8"/>
        <v>913.79325392353439</v>
      </c>
      <c r="BI54" s="62">
        <f ca="1">AVERAGE(OFFSET($BH$3,0,0,'Données projet'!$E$11+1,1))-AVERAGE(OFFSET($H$3,0,0,'Données projet'!$E$11+1,1))</f>
        <v>277.5990520183687</v>
      </c>
      <c r="BJ54" s="62">
        <f t="shared" si="38"/>
        <v>338.50140415303872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3.3371618728089998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1.4686514912142208E-2</v>
      </c>
      <c r="BS54" s="24">
        <f t="shared" si="9"/>
        <v>3.3518483877211418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-1.7053025658242404E-13</v>
      </c>
      <c r="O55" s="14">
        <f>N55*VLOOKUP('Données projet'!$B$9,Paramètres!$A$1:$I$89,3,0)*VLOOKUP('Données projet'!$B$9,Paramètres!$A$1:$I$89,5,0)</f>
        <v>-1.0197709343628959E-13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131.58904681787436</v>
      </c>
      <c r="T55" s="62">
        <f t="shared" si="34"/>
        <v>208.65872561216122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6.6782581486882417</v>
      </c>
      <c r="AA55" s="23">
        <f>EXP(-LN(2)/25)*AA54+(1-EXP(-LN(2)/25))/(LN(2)/25)*Calculateur!V55*Calculateur!X55*VLOOKUP('Données projet'!$B$9,Paramètres!$A$1:$I$89,3,0)*0.475*44/12</f>
        <v>1.8161434697662224</v>
      </c>
      <c r="AB55" s="23">
        <f>EXP(-LN(2)/2)*AB54+(1-EXP(-LN(2)/2))/(LN(2)/2)*V55*Y55*VLOOKUP('Données projet'!$B$9,Paramètres!$A$1:$I$89,3,0)*0.475*44/12</f>
        <v>7.4540641844768885E-3</v>
      </c>
      <c r="AC55" s="24">
        <f t="shared" si="3"/>
        <v>8.5018556826389418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221.11420634571317</v>
      </c>
      <c r="AO55" s="62">
        <f t="shared" si="36"/>
        <v>133.63266168802033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12.6</v>
      </c>
      <c r="BD55" s="13">
        <f>IF('Données projet'!$A$88&gt;35,BD54+BC55-BL54,IF(A55&lt;'Données projet'!$A$88,$BA$205^A55,IF(A55='Données projet'!$A$88,'Données projet'!$B$88,BD54+BC55-BL54)))</f>
        <v>527.20000000000027</v>
      </c>
      <c r="BE55" s="14">
        <f>BD55*VLOOKUP('Données projet'!$B$11,Paramètres!$A$1:$I$89,3,0)*VLOOKUP('Données projet'!$B$11,Paramètres!$A$1:$I$89,5,0)</f>
        <v>294.70480000000015</v>
      </c>
      <c r="BF55" s="14">
        <f t="shared" si="37"/>
        <v>70.065238256033226</v>
      </c>
      <c r="BG55" s="22">
        <f t="shared" si="7"/>
        <v>635.30781662925813</v>
      </c>
      <c r="BH55" s="62">
        <f t="shared" si="8"/>
        <v>928.6411499625915</v>
      </c>
      <c r="BI55" s="62">
        <f ca="1">AVERAGE(OFFSET($BH$3,0,0,'Données projet'!$E$11+1,1))-AVERAGE(OFFSET($H$3,0,0,'Données projet'!$E$11+1,1))</f>
        <v>277.5990520183687</v>
      </c>
      <c r="BJ55" s="62">
        <f t="shared" si="38"/>
        <v>338.50140415303872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3.2717221639509719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1.0384934286373108E-2</v>
      </c>
      <c r="BS55" s="24">
        <f t="shared" si="9"/>
        <v>3.2821070982373453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-1.7053025658242404E-13</v>
      </c>
      <c r="O56" s="14">
        <f>N56*VLOOKUP('Données projet'!$B$9,Paramètres!$A$1:$I$89,3,0)*VLOOKUP('Données projet'!$B$9,Paramètres!$A$1:$I$89,5,0)</f>
        <v>-1.0197709343628959E-13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131.58904681787436</v>
      </c>
      <c r="T56" s="62">
        <f t="shared" si="34"/>
        <v>208.65872561216122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6.5473015797277272</v>
      </c>
      <c r="AA56" s="23">
        <f>EXP(-LN(2)/25)*AA55+(1-EXP(-LN(2)/25))/(LN(2)/25)*Calculateur!V56*Calculateur!X56*VLOOKUP('Données projet'!$B$9,Paramètres!$A$1:$I$89,3,0)*0.475*44/12</f>
        <v>1.7664809310786309</v>
      </c>
      <c r="AB56" s="23">
        <f>EXP(-LN(2)/2)*AB55+(1-EXP(-LN(2)/2))/(LN(2)/2)*V56*Y56*VLOOKUP('Données projet'!$B$9,Paramètres!$A$1:$I$89,3,0)*0.475*44/12</f>
        <v>5.2708193322433807E-3</v>
      </c>
      <c r="AC56" s="24">
        <f t="shared" si="3"/>
        <v>8.3190533301386029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221.11420634571317</v>
      </c>
      <c r="AO56" s="62">
        <f t="shared" si="36"/>
        <v>133.63266168802033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12.6</v>
      </c>
      <c r="BD56" s="13">
        <f>IF('Données projet'!$A$88&gt;35,BD55+BC56-BL55,IF(A56&lt;'Données projet'!$A$88,$BA$205^A56,IF(A56='Données projet'!$A$88,'Données projet'!$B$88,BD55+BC56-BL55)))</f>
        <v>539.8000000000003</v>
      </c>
      <c r="BE56" s="14">
        <f>BD56*VLOOKUP('Données projet'!$B$11,Paramètres!$A$1:$I$89,3,0)*VLOOKUP('Données projet'!$B$11,Paramètres!$A$1:$I$89,5,0)</f>
        <v>301.74820000000017</v>
      </c>
      <c r="BF56" s="14">
        <f t="shared" si="37"/>
        <v>71.542829318170703</v>
      </c>
      <c r="BG56" s="22">
        <f t="shared" si="7"/>
        <v>650.14854272914761</v>
      </c>
      <c r="BH56" s="62">
        <f t="shared" si="8"/>
        <v>943.48187606248098</v>
      </c>
      <c r="BI56" s="62">
        <f ca="1">AVERAGE(OFFSET($BH$3,0,0,'Données projet'!$E$11+1,1))-AVERAGE(OFFSET($H$3,0,0,'Données projet'!$E$11+1,1))</f>
        <v>277.5990520183687</v>
      </c>
      <c r="BJ56" s="62">
        <f t="shared" si="38"/>
        <v>338.50140415303872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3.2075656878693688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7.3432574560711042E-3</v>
      </c>
      <c r="BS56" s="24">
        <f t="shared" si="9"/>
        <v>3.21490894532544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-1.7053025658242404E-13</v>
      </c>
      <c r="O57" s="14">
        <f>N57*VLOOKUP('Données projet'!$B$9,Paramètres!$A$1:$I$89,3,0)*VLOOKUP('Données projet'!$B$9,Paramètres!$A$1:$I$89,5,0)</f>
        <v>-1.0197709343628959E-13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131.58904681787436</v>
      </c>
      <c r="T57" s="62">
        <f t="shared" si="34"/>
        <v>208.65872561216122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6.4189129892089083</v>
      </c>
      <c r="AA57" s="23">
        <f>EXP(-LN(2)/25)*AA56+(1-EXP(-LN(2)/25))/(LN(2)/25)*Calculateur!V57*Calculateur!X57*VLOOKUP('Données projet'!$B$9,Paramètres!$A$1:$I$89,3,0)*0.475*44/12</f>
        <v>1.7181764171230909</v>
      </c>
      <c r="AB57" s="23">
        <f>EXP(-LN(2)/2)*AB56+(1-EXP(-LN(2)/2))/(LN(2)/2)*V57*Y57*VLOOKUP('Données projet'!$B$9,Paramètres!$A$1:$I$89,3,0)*0.475*44/12</f>
        <v>3.7270320922384451E-3</v>
      </c>
      <c r="AC57" s="24">
        <f t="shared" si="3"/>
        <v>8.1408164384242365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221.11420634571317</v>
      </c>
      <c r="AO57" s="62">
        <f t="shared" si="36"/>
        <v>133.63266168802033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12.6</v>
      </c>
      <c r="BD57" s="13">
        <f>IF('Données projet'!$A$88&gt;35,BD56+BC57-BL56,IF(A57&lt;'Données projet'!$A$88,$BA$205^A57,IF(A57='Données projet'!$A$88,'Données projet'!$B$88,BD56+BC57-BL56)))</f>
        <v>552.40000000000032</v>
      </c>
      <c r="BE57" s="14">
        <f>BD57*VLOOKUP('Données projet'!$B$11,Paramètres!$A$1:$I$89,3,0)*VLOOKUP('Données projet'!$B$11,Paramètres!$A$1:$I$89,5,0)</f>
        <v>308.79160000000019</v>
      </c>
      <c r="BF57" s="14">
        <f t="shared" si="37"/>
        <v>73.016410820210879</v>
      </c>
      <c r="BG57" s="22">
        <f t="shared" si="7"/>
        <v>664.98228551186753</v>
      </c>
      <c r="BH57" s="62">
        <f t="shared" si="8"/>
        <v>958.31561884520079</v>
      </c>
      <c r="BI57" s="62">
        <f ca="1">AVERAGE(OFFSET($BH$3,0,0,'Données projet'!$E$11+1,1))-AVERAGE(OFFSET($H$3,0,0,'Données projet'!$E$11+1,1))</f>
        <v>277.5990520183687</v>
      </c>
      <c r="BJ57" s="62">
        <f t="shared" si="38"/>
        <v>338.50140415303872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3.1446672811521394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5.1924671431865538E-3</v>
      </c>
      <c r="BS57" s="24">
        <f t="shared" si="9"/>
        <v>3.1498597482953259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-1.7053025658242404E-13</v>
      </c>
      <c r="O58" s="14">
        <f>N58*VLOOKUP('Données projet'!$B$9,Paramètres!$A$1:$I$89,3,0)*VLOOKUP('Données projet'!$B$9,Paramètres!$A$1:$I$89,5,0)</f>
        <v>-1.0197709343628959E-13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131.58904681787436</v>
      </c>
      <c r="T58" s="62">
        <f t="shared" si="34"/>
        <v>208.65872561216122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6.2930420206408559</v>
      </c>
      <c r="AA58" s="23">
        <f>EXP(-LN(2)/25)*AA57+(1-EXP(-LN(2)/25))/(LN(2)/25)*Calculateur!V58*Calculateur!X58*VLOOKUP('Données projet'!$B$9,Paramètres!$A$1:$I$89,3,0)*0.475*44/12</f>
        <v>1.671192792641889</v>
      </c>
      <c r="AB58" s="23">
        <f>EXP(-LN(2)/2)*AB57+(1-EXP(-LN(2)/2))/(LN(2)/2)*V58*Y58*VLOOKUP('Données projet'!$B$9,Paramètres!$A$1:$I$89,3,0)*0.475*44/12</f>
        <v>2.6354096661216908E-3</v>
      </c>
      <c r="AC58" s="24">
        <f t="shared" si="3"/>
        <v>7.9668702229488675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221.11420634571317</v>
      </c>
      <c r="AO58" s="62">
        <f t="shared" si="36"/>
        <v>133.63266168802033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565</v>
      </c>
      <c r="BB58" s="13">
        <f>VLOOKUP(A58,'Données projet'!$A$87:$I$107,9,0)</f>
        <v>12.6</v>
      </c>
      <c r="BC58" s="13">
        <f t="array" ref="BC58">INDEX(BB:BB,MIN(IF(ISNUMBER(BB58:BB254),ROW(BB58:BB254),"")))</f>
        <v>12.6</v>
      </c>
      <c r="BD58" s="13">
        <f>IF('Données projet'!$A$88&gt;35,BD57+BC58-BL57,IF(A58&lt;'Données projet'!$A$88,$BA$205^A58,IF(A58='Données projet'!$A$88,'Données projet'!$B$88,BD57+BC58-BL57)))</f>
        <v>565.00000000000034</v>
      </c>
      <c r="BE58" s="14">
        <f>BD58*VLOOKUP('Données projet'!$B$11,Paramètres!$A$1:$I$89,3,0)*VLOOKUP('Données projet'!$B$11,Paramètres!$A$1:$I$89,5,0)</f>
        <v>315.83500000000021</v>
      </c>
      <c r="BF58" s="14">
        <f t="shared" si="37"/>
        <v>74.486084746410782</v>
      </c>
      <c r="BG58" s="22">
        <f t="shared" si="7"/>
        <v>679.80922259999909</v>
      </c>
      <c r="BH58" s="62">
        <f t="shared" si="8"/>
        <v>973.14255593333246</v>
      </c>
      <c r="BI58" s="62">
        <f ca="1">AVERAGE(OFFSET($BH$3,0,0,'Données projet'!$E$11+1,1))-AVERAGE(OFFSET($H$3,0,0,'Données projet'!$E$11+1,1))</f>
        <v>277.5990520183687</v>
      </c>
      <c r="BJ58" s="62">
        <f t="shared" si="38"/>
        <v>338.50140415303872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37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3.0830022738263949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3.6716287280355521E-3</v>
      </c>
      <c r="BS58" s="24">
        <f t="shared" si="9"/>
        <v>3.0866739025544305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-1.7053025658242404E-13</v>
      </c>
      <c r="O59" s="14">
        <f>N59*VLOOKUP('Données projet'!$B$9,Paramètres!$A$1:$I$89,3,0)*VLOOKUP('Données projet'!$B$9,Paramètres!$A$1:$I$89,5,0)</f>
        <v>-1.0197709343628959E-13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131.58904681787436</v>
      </c>
      <c r="T59" s="62">
        <f t="shared" si="34"/>
        <v>208.65872561216122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6.169639304992713</v>
      </c>
      <c r="AA59" s="23">
        <f>EXP(-LN(2)/25)*AA58+(1-EXP(-LN(2)/25))/(LN(2)/25)*Calculateur!V59*Calculateur!X59*VLOOKUP('Données projet'!$B$9,Paramètres!$A$1:$I$89,3,0)*0.475*44/12</f>
        <v>1.6254939378428872</v>
      </c>
      <c r="AB59" s="23">
        <f>EXP(-LN(2)/2)*AB58+(1-EXP(-LN(2)/2))/(LN(2)/2)*V59*Y59*VLOOKUP('Données projet'!$B$9,Paramètres!$A$1:$I$89,3,0)*0.475*44/12</f>
        <v>1.8635160461192228E-3</v>
      </c>
      <c r="AC59" s="24">
        <f t="shared" si="3"/>
        <v>7.7969967588817193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656.19466748139871</v>
      </c>
      <c r="AN59" s="62">
        <f ca="1">AVERAGE(OFFSET($AM$3,0,0,'Données projet'!$E$10+1,1))-AVERAGE(OFFSET($H$3,0,0,'Données projet'!$E$10+1,1))</f>
        <v>221.11420634571317</v>
      </c>
      <c r="AO59" s="62">
        <f t="shared" si="36"/>
        <v>133.63266168802033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7.8</v>
      </c>
      <c r="BD59" s="13">
        <f>IF('Données projet'!$A$88&gt;35,BD58+BC59-BL58,IF(A59&lt;'Données projet'!$A$88,$BA$205^A59,IF(A59='Données projet'!$A$88,'Données projet'!$B$88,BD58+BC59-BL58)))</f>
        <v>535.8000000000003</v>
      </c>
      <c r="BE59" s="14">
        <f>BD59*VLOOKUP('Données projet'!$B$11,Paramètres!$A$1:$I$89,3,0)*VLOOKUP('Données projet'!$B$11,Paramètres!$A$1:$I$89,5,0)</f>
        <v>299.51220000000018</v>
      </c>
      <c r="BF59" s="14">
        <f t="shared" si="37"/>
        <v>71.074192175878977</v>
      </c>
      <c r="BG59" s="22">
        <f t="shared" si="7"/>
        <v>645.43796637298954</v>
      </c>
      <c r="BH59" s="62">
        <f t="shared" si="8"/>
        <v>938.77129970632291</v>
      </c>
      <c r="BI59" s="62">
        <f ca="1">AVERAGE(OFFSET($BH$3,0,0,'Données projet'!$E$11+1,1))-AVERAGE(OFFSET($H$3,0,0,'Données projet'!$E$11+1,1))</f>
        <v>277.5990520183687</v>
      </c>
      <c r="BJ59" s="62">
        <f t="shared" si="38"/>
        <v>338.50140415303872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3.0225464796823678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2.5962335715932769E-3</v>
      </c>
      <c r="BS59" s="24">
        <f t="shared" si="9"/>
        <v>3.025142713253961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-1.7053025658242404E-13</v>
      </c>
      <c r="O60" s="14">
        <f>N60*VLOOKUP('Données projet'!$B$9,Paramètres!$A$1:$I$89,3,0)*VLOOKUP('Données projet'!$B$9,Paramètres!$A$1:$I$89,5,0)</f>
        <v>-1.0197709343628959E-13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131.58904681787436</v>
      </c>
      <c r="T60" s="62">
        <f t="shared" si="34"/>
        <v>208.65872561216122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6.0486564413302055</v>
      </c>
      <c r="AA60" s="23">
        <f>EXP(-LN(2)/25)*AA59+(1-EXP(-LN(2)/25))/(LN(2)/25)*Calculateur!V60*Calculateur!X60*VLOOKUP('Données projet'!$B$9,Paramètres!$A$1:$I$89,3,0)*0.475*44/12</f>
        <v>1.5810447206315623</v>
      </c>
      <c r="AB60" s="23">
        <f>EXP(-LN(2)/2)*AB59+(1-EXP(-LN(2)/2))/(LN(2)/2)*V60*Y60*VLOOKUP('Données projet'!$B$9,Paramètres!$A$1:$I$89,3,0)*0.475*44/12</f>
        <v>1.3177048330608456E-3</v>
      </c>
      <c r="AC60" s="24">
        <f t="shared" si="3"/>
        <v>7.631018866794828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221.11420634571317</v>
      </c>
      <c r="AO60" s="62">
        <f t="shared" si="36"/>
        <v>133.63266168802033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7.8</v>
      </c>
      <c r="BD60" s="13">
        <f>IF('Données projet'!$A$88&gt;35,BD59+BC60-BL59,IF(A60&lt;'Données projet'!$A$88,$BA$205^A60,IF(A60='Données projet'!$A$88,'Données projet'!$B$88,BD59+BC60-BL59)))</f>
        <v>543.60000000000025</v>
      </c>
      <c r="BE60" s="14">
        <f>BD60*VLOOKUP('Données projet'!$B$11,Paramètres!$A$1:$I$89,3,0)*VLOOKUP('Données projet'!$B$11,Paramètres!$A$1:$I$89,5,0)</f>
        <v>303.87240000000014</v>
      </c>
      <c r="BF60" s="14">
        <f t="shared" si="37"/>
        <v>71.987660301827333</v>
      </c>
      <c r="BG60" s="22">
        <f t="shared" si="7"/>
        <v>654.62293835901619</v>
      </c>
      <c r="BH60" s="62">
        <f t="shared" si="8"/>
        <v>947.95627169234945</v>
      </c>
      <c r="BI60" s="62">
        <f ca="1">AVERAGE(OFFSET($BH$3,0,0,'Données projet'!$E$11+1,1))-AVERAGE(OFFSET($H$3,0,0,'Données projet'!$E$11+1,1))</f>
        <v>277.5990520183687</v>
      </c>
      <c r="BJ60" s="62">
        <f t="shared" si="38"/>
        <v>338.50140415303872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2.9632761867871116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1.8358143640177761E-3</v>
      </c>
      <c r="BS60" s="24">
        <f t="shared" si="9"/>
        <v>2.9651120011511294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-1.7053025658242404E-13</v>
      </c>
      <c r="O61" s="14">
        <f>N61*VLOOKUP('Données projet'!$B$9,Paramètres!$A$1:$I$89,3,0)*VLOOKUP('Données projet'!$B$9,Paramètres!$A$1:$I$89,5,0)</f>
        <v>-1.0197709343628959E-13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131.58904681787436</v>
      </c>
      <c r="T61" s="62">
        <f t="shared" si="34"/>
        <v>208.65872561216122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5.9300459778318597</v>
      </c>
      <c r="AA61" s="23">
        <f>EXP(-LN(2)/25)*AA60+(1-EXP(-LN(2)/25))/(LN(2)/25)*Calculateur!V61*Calculateur!X61*VLOOKUP('Données projet'!$B$9,Paramètres!$A$1:$I$89,3,0)*0.475*44/12</f>
        <v>1.5378109696023639</v>
      </c>
      <c r="AB61" s="23">
        <f>EXP(-LN(2)/2)*AB60+(1-EXP(-LN(2)/2))/(LN(2)/2)*V61*Y61*VLOOKUP('Données projet'!$B$9,Paramètres!$A$1:$I$89,3,0)*0.475*44/12</f>
        <v>9.317580230596116E-4</v>
      </c>
      <c r="AC61" s="24">
        <f t="shared" si="3"/>
        <v>7.4687887054572837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685.50170967350618</v>
      </c>
      <c r="AN61" s="62">
        <f ca="1">AVERAGE(OFFSET($AM$3,0,0,'Données projet'!$E$10+1,1))-AVERAGE(OFFSET($H$3,0,0,'Données projet'!$E$10+1,1))</f>
        <v>221.11420634571317</v>
      </c>
      <c r="AO61" s="62">
        <f t="shared" si="36"/>
        <v>133.63266168802033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7.8</v>
      </c>
      <c r="BD61" s="13">
        <f>IF('Données projet'!$A$88&gt;35,BD60+BC61-BL60,IF(A61&lt;'Données projet'!$A$88,$BA$205^A61,IF(A61='Données projet'!$A$88,'Données projet'!$B$88,BD60+BC61-BL60)))</f>
        <v>551.4000000000002</v>
      </c>
      <c r="BE61" s="14">
        <f>BD61*VLOOKUP('Données projet'!$B$11,Paramètres!$A$1:$I$89,3,0)*VLOOKUP('Données projet'!$B$11,Paramètres!$A$1:$I$89,5,0)</f>
        <v>308.2326000000001</v>
      </c>
      <c r="BF61" s="14">
        <f t="shared" si="37"/>
        <v>72.899603972589205</v>
      </c>
      <c r="BG61" s="22">
        <f t="shared" si="7"/>
        <v>663.80525525225971</v>
      </c>
      <c r="BH61" s="62">
        <f t="shared" si="8"/>
        <v>957.13858858559297</v>
      </c>
      <c r="BI61" s="62">
        <f ca="1">AVERAGE(OFFSET($BH$3,0,0,'Données projet'!$E$11+1,1))-AVERAGE(OFFSET($H$3,0,0,'Données projet'!$E$11+1,1))</f>
        <v>277.5990520183687</v>
      </c>
      <c r="BJ61" s="62">
        <f t="shared" si="38"/>
        <v>338.50140415303872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2.9051681481842224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1.2981167857966385E-3</v>
      </c>
      <c r="BS61" s="24">
        <f t="shared" si="9"/>
        <v>2.9064662649700193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-1.7053025658242404E-13</v>
      </c>
      <c r="O62" s="14">
        <f>N62*VLOOKUP('Données projet'!$B$9,Paramètres!$A$1:$I$89,3,0)*VLOOKUP('Données projet'!$B$9,Paramètres!$A$1:$I$89,5,0)</f>
        <v>-1.0197709343628959E-13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131.58904681787436</v>
      </c>
      <c r="T62" s="62">
        <f t="shared" si="34"/>
        <v>208.65872561216122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5.8137613931774776</v>
      </c>
      <c r="AA62" s="23">
        <f>EXP(-LN(2)/25)*AA61+(1-EXP(-LN(2)/25))/(LN(2)/25)*Calculateur!V62*Calculateur!X62*VLOOKUP('Données projet'!$B$9,Paramètres!$A$1:$I$89,3,0)*0.475*44/12</f>
        <v>1.4957594477686231</v>
      </c>
      <c r="AB62" s="23">
        <f>EXP(-LN(2)/2)*AB61+(1-EXP(-LN(2)/2))/(LN(2)/2)*V62*Y62*VLOOKUP('Données projet'!$B$9,Paramètres!$A$1:$I$89,3,0)*0.475*44/12</f>
        <v>6.5885241653042292E-4</v>
      </c>
      <c r="AC62" s="24">
        <f t="shared" si="3"/>
        <v>7.310179693362632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221.11420634571317</v>
      </c>
      <c r="AO62" s="62">
        <f t="shared" si="36"/>
        <v>133.63266168802033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7.8</v>
      </c>
      <c r="BD62" s="13">
        <f>IF('Données projet'!$A$88&gt;35,BD61+BC62-BL61,IF(A62&lt;'Données projet'!$A$88,$BA$205^A62,IF(A62='Données projet'!$A$88,'Données projet'!$B$88,BD61+BC62-BL61)))</f>
        <v>559.20000000000016</v>
      </c>
      <c r="BE62" s="14">
        <f>BD62*VLOOKUP('Données projet'!$B$11,Paramètres!$A$1:$I$89,3,0)*VLOOKUP('Données projet'!$B$11,Paramètres!$A$1:$I$89,5,0)</f>
        <v>312.59280000000012</v>
      </c>
      <c r="BF62" s="14">
        <f t="shared" si="37"/>
        <v>73.810047244750066</v>
      </c>
      <c r="BG62" s="22">
        <f t="shared" si="7"/>
        <v>672.98495895127326</v>
      </c>
      <c r="BH62" s="62">
        <f t="shared" si="8"/>
        <v>966.31829228460651</v>
      </c>
      <c r="BI62" s="62">
        <f ca="1">AVERAGE(OFFSET($BH$3,0,0,'Données projet'!$E$11+1,1))-AVERAGE(OFFSET($H$3,0,0,'Données projet'!$E$11+1,1))</f>
        <v>277.5990520183687</v>
      </c>
      <c r="BJ62" s="62">
        <f t="shared" si="38"/>
        <v>338.50140415303872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2.8481995727759322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9.1790718200888803E-4</v>
      </c>
      <c r="BS62" s="24">
        <f t="shared" si="9"/>
        <v>2.8491174799579411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-1.7053025658242404E-13</v>
      </c>
      <c r="O63" s="14">
        <f>N63*VLOOKUP('Données projet'!$B$9,Paramètres!$A$1:$I$89,3,0)*VLOOKUP('Données projet'!$B$9,Paramètres!$A$1:$I$89,5,0)</f>
        <v>-1.0197709343628959E-13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131.58904681787436</v>
      </c>
      <c r="T63" s="62">
        <f t="shared" si="34"/>
        <v>208.65872561216122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5.6997570783015741</v>
      </c>
      <c r="AA63" s="23">
        <f>EXP(-LN(2)/25)*AA62+(1-EXP(-LN(2)/25))/(LN(2)/25)*Calculateur!V63*Calculateur!X63*VLOOKUP('Données projet'!$B$9,Paramètres!$A$1:$I$89,3,0)*0.475*44/12</f>
        <v>1.4548578270108194</v>
      </c>
      <c r="AB63" s="23">
        <f>EXP(-LN(2)/2)*AB62+(1-EXP(-LN(2)/2))/(LN(2)/2)*V63*Y63*VLOOKUP('Données projet'!$B$9,Paramètres!$A$1:$I$89,3,0)*0.475*44/12</f>
        <v>4.6587901152980585E-4</v>
      </c>
      <c r="AC63" s="24">
        <f t="shared" si="3"/>
        <v>7.155080784323923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221.11420634571317</v>
      </c>
      <c r="AO63" s="62">
        <f t="shared" si="36"/>
        <v>133.63266168802033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567</v>
      </c>
      <c r="BB63" s="13">
        <f>VLOOKUP(A63,'Données projet'!$A$87:$I$107,9,0)</f>
        <v>7.8</v>
      </c>
      <c r="BC63" s="13">
        <f t="array" ref="BC63">INDEX(BB:BB,MIN(IF(ISNUMBER(BB63:BB259),ROW(BB63:BB259),"")))</f>
        <v>7.8</v>
      </c>
      <c r="BD63" s="13">
        <f>IF('Données projet'!$A$88&gt;35,BD62+BC63-BL62,IF(A63&lt;'Données projet'!$A$88,$BA$205^A63,IF(A63='Données projet'!$A$88,'Données projet'!$B$88,BD62+BC63-BL62)))</f>
        <v>567.00000000000011</v>
      </c>
      <c r="BE63" s="14">
        <f>BD63*VLOOKUP('Données projet'!$B$11,Paramètres!$A$1:$I$89,3,0)*VLOOKUP('Données projet'!$B$11,Paramètres!$A$1:$I$89,5,0)</f>
        <v>316.95300000000009</v>
      </c>
      <c r="BF63" s="14">
        <f t="shared" si="37"/>
        <v>74.719013465238191</v>
      </c>
      <c r="BG63" s="22">
        <f t="shared" si="7"/>
        <v>682.16209011862327</v>
      </c>
      <c r="BH63" s="62">
        <f t="shared" si="8"/>
        <v>975.49542345195664</v>
      </c>
      <c r="BI63" s="62">
        <f ca="1">AVERAGE(OFFSET($BH$3,0,0,'Données projet'!$E$11+1,1))-AVERAGE(OFFSET($H$3,0,0,'Données projet'!$E$11+1,1))</f>
        <v>277.5990520183687</v>
      </c>
      <c r="BJ63" s="62">
        <f t="shared" si="38"/>
        <v>338.50140415303872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567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2.7923481163839985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6.4905839289831923E-4</v>
      </c>
      <c r="BS63" s="24">
        <f t="shared" si="9"/>
        <v>2.7929971747768967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-1.7053025658242404E-13</v>
      </c>
      <c r="O64" s="14">
        <f>N64*VLOOKUP('Données projet'!$B$9,Paramètres!$A$1:$I$89,3,0)*VLOOKUP('Données projet'!$B$9,Paramètres!$A$1:$I$89,5,0)</f>
        <v>-1.0197709343628959E-13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131.58904681787436</v>
      </c>
      <c r="T64" s="62">
        <f t="shared" si="34"/>
        <v>208.65872561216122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5.5879883185046211</v>
      </c>
      <c r="AA64" s="23">
        <f>EXP(-LN(2)/25)*AA63+(1-EXP(-LN(2)/25))/(LN(2)/25)*Calculateur!V64*Calculateur!X64*VLOOKUP('Données projet'!$B$9,Paramètres!$A$1:$I$89,3,0)*0.475*44/12</f>
        <v>1.4150746632235607</v>
      </c>
      <c r="AB64" s="23">
        <f>EXP(-LN(2)/2)*AB63+(1-EXP(-LN(2)/2))/(LN(2)/2)*V64*Y64*VLOOKUP('Données projet'!$B$9,Paramètres!$A$1:$I$89,3,0)*0.475*44/12</f>
        <v>3.2942620826521151E-4</v>
      </c>
      <c r="AC64" s="24">
        <f t="shared" si="3"/>
        <v>7.0033924079364462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221.11420634571317</v>
      </c>
      <c r="AO64" s="62">
        <f t="shared" si="36"/>
        <v>133.63266168802033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6.3550942286383367E-14</v>
      </c>
      <c r="BF64" s="14">
        <f t="shared" si="37"/>
        <v>1.0064464192543978E-12</v>
      </c>
      <c r="BG64" s="22">
        <f t="shared" si="7"/>
        <v>1.8635787380168604E-12</v>
      </c>
      <c r="BH64" s="62">
        <f t="shared" si="8"/>
        <v>293.33333333333519</v>
      </c>
      <c r="BI64" s="62">
        <f ca="1">AVERAGE(OFFSET($BH$3,0,0,'Données projet'!$E$11+1,1))-AVERAGE(OFFSET($H$3,0,0,'Données projet'!$E$11+1,1))</f>
        <v>277.5990520183687</v>
      </c>
      <c r="BJ64" s="62">
        <f t="shared" si="38"/>
        <v>338.50140415303872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2.7375918729858859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4.5895359100444401E-4</v>
      </c>
      <c r="BS64" s="24">
        <f t="shared" si="9"/>
        <v>2.7380508265768904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-1.7053025658242404E-13</v>
      </c>
      <c r="O65" s="14">
        <f>N65*VLOOKUP('Données projet'!$B$9,Paramètres!$A$1:$I$89,3,0)*VLOOKUP('Données projet'!$B$9,Paramètres!$A$1:$I$89,5,0)</f>
        <v>-1.0197709343628959E-13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131.58904681787436</v>
      </c>
      <c r="T65" s="62">
        <f t="shared" si="34"/>
        <v>208.65872561216122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5.4784112759150743</v>
      </c>
      <c r="AA65" s="23">
        <f>EXP(-LN(2)/25)*AA64+(1-EXP(-LN(2)/25))/(LN(2)/25)*Calculateur!V65*Calculateur!X65*VLOOKUP('Données projet'!$B$9,Paramètres!$A$1:$I$89,3,0)*0.475*44/12</f>
        <v>1.37637937214217</v>
      </c>
      <c r="AB65" s="23">
        <f>EXP(-LN(2)/2)*AB64+(1-EXP(-LN(2)/2))/(LN(2)/2)*V65*Y65*VLOOKUP('Données projet'!$B$9,Paramètres!$A$1:$I$89,3,0)*0.475*44/12</f>
        <v>2.3293950576490295E-4</v>
      </c>
      <c r="AC65" s="24">
        <f t="shared" si="3"/>
        <v>6.8550235875630099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221.11420634571317</v>
      </c>
      <c r="AO65" s="62">
        <f t="shared" si="36"/>
        <v>133.63266168802033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6.3550942286383367E-14</v>
      </c>
      <c r="BF65" s="14">
        <f t="shared" si="37"/>
        <v>1.0064464192543978E-12</v>
      </c>
      <c r="BG65" s="22">
        <f t="shared" si="7"/>
        <v>1.8635787380168604E-12</v>
      </c>
      <c r="BH65" s="62">
        <f t="shared" si="8"/>
        <v>293.33333333333519</v>
      </c>
      <c r="BI65" s="62">
        <f ca="1">AVERAGE(OFFSET($BH$3,0,0,'Données projet'!$E$11+1,1))-AVERAGE(OFFSET($H$3,0,0,'Données projet'!$E$11+1,1))</f>
        <v>277.5990520183687</v>
      </c>
      <c r="BJ65" s="62">
        <f t="shared" si="38"/>
        <v>338.50140415303872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2.6839093661227995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3.2452919644915962E-4</v>
      </c>
      <c r="BS65" s="24">
        <f t="shared" si="9"/>
        <v>2.6842338953192488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-1.7053025658242404E-13</v>
      </c>
      <c r="O66" s="14">
        <f>N66*VLOOKUP('Données projet'!$B$9,Paramètres!$A$1:$I$89,3,0)*VLOOKUP('Données projet'!$B$9,Paramètres!$A$1:$I$89,5,0)</f>
        <v>-1.0197709343628959E-13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131.58904681787436</v>
      </c>
      <c r="T66" s="62">
        <f t="shared" si="34"/>
        <v>208.65872561216122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5.3709829722953124</v>
      </c>
      <c r="AA66" s="23">
        <f>EXP(-LN(2)/25)*AA65+(1-EXP(-LN(2)/25))/(LN(2)/25)*Calculateur!V66*Calculateur!X66*VLOOKUP('Données projet'!$B$9,Paramètres!$A$1:$I$89,3,0)*0.475*44/12</f>
        <v>1.3387422058302969</v>
      </c>
      <c r="AB66" s="23">
        <f>EXP(-LN(2)/2)*AB65+(1-EXP(-LN(2)/2))/(LN(2)/2)*V66*Y66*VLOOKUP('Données projet'!$B$9,Paramètres!$A$1:$I$89,3,0)*0.475*44/12</f>
        <v>1.6471310413260576E-4</v>
      </c>
      <c r="AC66" s="24">
        <f t="shared" si="3"/>
        <v>6.709889891229742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221.11420634571317</v>
      </c>
      <c r="AO66" s="62">
        <f t="shared" si="36"/>
        <v>133.63266168802033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6.3550942286383367E-14</v>
      </c>
      <c r="BF66" s="14">
        <f t="shared" si="37"/>
        <v>1.0064464192543978E-12</v>
      </c>
      <c r="BG66" s="22">
        <f t="shared" si="7"/>
        <v>1.8635787380168604E-12</v>
      </c>
      <c r="BH66" s="62">
        <f t="shared" si="8"/>
        <v>293.33333333333519</v>
      </c>
      <c r="BI66" s="62">
        <f ca="1">AVERAGE(OFFSET($BH$3,0,0,'Données projet'!$E$11+1,1))-AVERAGE(OFFSET($H$3,0,0,'Données projet'!$E$11+1,1))</f>
        <v>277.5990520183687</v>
      </c>
      <c r="BJ66" s="62">
        <f t="shared" si="38"/>
        <v>338.50140415303872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2.6312795404762022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2.2947679550222201E-4</v>
      </c>
      <c r="BS66" s="24">
        <f t="shared" si="9"/>
        <v>2.6315090172717044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-1.7053025658242404E-13</v>
      </c>
      <c r="O67" s="14">
        <f>N67*VLOOKUP('Données projet'!$B$9,Paramètres!$A$1:$I$89,3,0)*VLOOKUP('Données projet'!$B$9,Paramètres!$A$1:$I$89,5,0)</f>
        <v>-1.0197709343628959E-13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131.58904681787436</v>
      </c>
      <c r="T67" s="62">
        <f t="shared" si="34"/>
        <v>208.65872561216122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5.2656612721847385</v>
      </c>
      <c r="AA67" s="23">
        <f>EXP(-LN(2)/25)*AA66+(1-EXP(-LN(2)/25))/(LN(2)/25)*Calculateur!V67*Calculateur!X67*VLOOKUP('Données projet'!$B$9,Paramètres!$A$1:$I$89,3,0)*0.475*44/12</f>
        <v>1.3021342298104746</v>
      </c>
      <c r="AB67" s="23">
        <f>EXP(-LN(2)/2)*AB66+(1-EXP(-LN(2)/2))/(LN(2)/2)*V67*Y67*VLOOKUP('Données projet'!$B$9,Paramètres!$A$1:$I$89,3,0)*0.475*44/12</f>
        <v>1.1646975288245148E-4</v>
      </c>
      <c r="AC67" s="24">
        <f t="shared" si="3"/>
        <v>6.5679119717480949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221.11420634571317</v>
      </c>
      <c r="AO67" s="62">
        <f t="shared" si="36"/>
        <v>133.63266168802033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6.3550942286383367E-14</v>
      </c>
      <c r="BF67" s="14">
        <f t="shared" si="37"/>
        <v>1.0064464192543978E-12</v>
      </c>
      <c r="BG67" s="22">
        <f t="shared" si="7"/>
        <v>1.8635787380168604E-12</v>
      </c>
      <c r="BH67" s="62">
        <f t="shared" si="8"/>
        <v>293.33333333333519</v>
      </c>
      <c r="BI67" s="62">
        <f ca="1">AVERAGE(OFFSET($BH$3,0,0,'Données projet'!$E$11+1,1))-AVERAGE(OFFSET($H$3,0,0,'Données projet'!$E$11+1,1))</f>
        <v>277.5990520183687</v>
      </c>
      <c r="BJ67" s="62">
        <f t="shared" si="38"/>
        <v>338.50140415303872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2.5796817536095107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1.6226459822457981E-4</v>
      </c>
      <c r="BS67" s="24">
        <f t="shared" si="9"/>
        <v>2.5798440182077353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-1.7053025658242404E-13</v>
      </c>
      <c r="O68" s="14">
        <f>N68*VLOOKUP('Données projet'!$B$9,Paramètres!$A$1:$I$89,3,0)*VLOOKUP('Données projet'!$B$9,Paramètres!$A$1:$I$89,5,0)</f>
        <v>-1.0197709343628959E-13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131.58904681787436</v>
      </c>
      <c r="T68" s="62">
        <f t="shared" si="34"/>
        <v>208.65872561216122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5.1624048663734392</v>
      </c>
      <c r="AA68" s="23">
        <f>EXP(-LN(2)/25)*AA67+(1-EXP(-LN(2)/25))/(LN(2)/25)*Calculateur!V68*Calculateur!X68*VLOOKUP('Données projet'!$B$9,Paramètres!$A$1:$I$89,3,0)*0.475*44/12</f>
        <v>1.2665273008200439</v>
      </c>
      <c r="AB68" s="23">
        <f>EXP(-LN(2)/2)*AB67+(1-EXP(-LN(2)/2))/(LN(2)/2)*V68*Y68*VLOOKUP('Données projet'!$B$9,Paramètres!$A$1:$I$89,3,0)*0.475*44/12</f>
        <v>8.2356552066302878E-5</v>
      </c>
      <c r="AC68" s="24">
        <f t="shared" ref="AC68:AC131" si="57">SUM(Z68:AB68)</f>
        <v>6.4290145237455496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221.11420634571317</v>
      </c>
      <c r="AO68" s="62">
        <f t="shared" si="36"/>
        <v>133.63266168802033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6.3550942286383367E-14</v>
      </c>
      <c r="BF68" s="14">
        <f t="shared" si="37"/>
        <v>1.0064464192543978E-12</v>
      </c>
      <c r="BG68" s="22">
        <f t="shared" ref="BG68:BG131" si="61">(BE68+BF68)*0.475*44/12</f>
        <v>1.8635787380168604E-12</v>
      </c>
      <c r="BH68" s="62">
        <f t="shared" ref="BH68:BH131" si="62">BG68+(AY68+AZ68)*44/12</f>
        <v>293.33333333333519</v>
      </c>
      <c r="BI68" s="62">
        <f ca="1">AVERAGE(OFFSET($BH$3,0,0,'Données projet'!$E$11+1,1))-AVERAGE(OFFSET($H$3,0,0,'Données projet'!$E$11+1,1))</f>
        <v>277.5990520183687</v>
      </c>
      <c r="BJ68" s="62">
        <f t="shared" si="38"/>
        <v>338.50140415303872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2.5290957678717327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1.14738397751111E-4</v>
      </c>
      <c r="BS68" s="24">
        <f t="shared" ref="BS68:BS131" si="63">SUM(BP68:BR68)</f>
        <v>2.5292105062694836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-1.7053025658242404E-13</v>
      </c>
      <c r="O69" s="14">
        <f>N69*VLOOKUP('Données projet'!$B$9,Paramètres!$A$1:$I$89,3,0)*VLOOKUP('Données projet'!$B$9,Paramètres!$A$1:$I$89,5,0)</f>
        <v>-1.0197709343628959E-13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131.58904681787436</v>
      </c>
      <c r="T69" s="62">
        <f t="shared" ref="T69:T132" si="88">$T$3</f>
        <v>208.65872561216122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5.0611732556999103</v>
      </c>
      <c r="AA69" s="23">
        <f>EXP(-LN(2)/25)*AA68+(1-EXP(-LN(2)/25))/(LN(2)/25)*Calculateur!V69*Calculateur!X69*VLOOKUP('Données projet'!$B$9,Paramètres!$A$1:$I$89,3,0)*0.475*44/12</f>
        <v>1.2318940451753437</v>
      </c>
      <c r="AB69" s="23">
        <f>EXP(-LN(2)/2)*AB68+(1-EXP(-LN(2)/2))/(LN(2)/2)*V69*Y69*VLOOKUP('Données projet'!$B$9,Paramètres!$A$1:$I$89,3,0)*0.475*44/12</f>
        <v>5.8234876441225738E-5</v>
      </c>
      <c r="AC69" s="24">
        <f t="shared" si="57"/>
        <v>6.2931255357516953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716.30000015441919</v>
      </c>
      <c r="AN69" s="62">
        <f ca="1">AVERAGE(OFFSET($AM$3,0,0,'Données projet'!$E$10+1,1))-AVERAGE(OFFSET($H$3,0,0,'Données projet'!$E$10+1,1))</f>
        <v>221.11420634571317</v>
      </c>
      <c r="AO69" s="62">
        <f t="shared" ref="AO69:AO132" si="90">$AO$3</f>
        <v>133.63266168802033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6.3550942286383367E-14</v>
      </c>
      <c r="BF69" s="14">
        <f t="shared" ref="BF69:BF132" si="91">EXP(-1.0587+0.8836*LN(BE69)+0.284)</f>
        <v>1.0064464192543978E-12</v>
      </c>
      <c r="BG69" s="22">
        <f t="shared" si="61"/>
        <v>1.8635787380168604E-12</v>
      </c>
      <c r="BH69" s="62">
        <f t="shared" si="62"/>
        <v>293.33333333333519</v>
      </c>
      <c r="BI69" s="62">
        <f ca="1">AVERAGE(OFFSET($BH$3,0,0,'Données projet'!$E$11+1,1))-AVERAGE(OFFSET($H$3,0,0,'Données projet'!$E$11+1,1))</f>
        <v>277.5990520183687</v>
      </c>
      <c r="BJ69" s="62">
        <f t="shared" ref="BJ69:BJ132" si="92">$BJ$3</f>
        <v>338.50140415303872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2.4795017424598678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8.1132299112289904E-5</v>
      </c>
      <c r="BS69" s="24">
        <f t="shared" si="63"/>
        <v>2.4795828747589801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-1.7053025658242404E-13</v>
      </c>
      <c r="O70" s="14">
        <f>N70*VLOOKUP('Données projet'!$B$9,Paramètres!$A$1:$I$89,3,0)*VLOOKUP('Données projet'!$B$9,Paramètres!$A$1:$I$89,5,0)</f>
        <v>-1.0197709343628959E-13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131.58904681787436</v>
      </c>
      <c r="T70" s="62">
        <f t="shared" si="88"/>
        <v>208.65872561216122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4.9619267351665037</v>
      </c>
      <c r="AA70" s="23">
        <f>EXP(-LN(2)/25)*AA69+(1-EXP(-LN(2)/25))/(LN(2)/25)*Calculateur!V70*Calculateur!X70*VLOOKUP('Données projet'!$B$9,Paramètres!$A$1:$I$89,3,0)*0.475*44/12</f>
        <v>1.1982078377275316</v>
      </c>
      <c r="AB70" s="23">
        <f>EXP(-LN(2)/2)*AB69+(1-EXP(-LN(2)/2))/(LN(2)/2)*V70*Y70*VLOOKUP('Données projet'!$B$9,Paramètres!$A$1:$I$89,3,0)*0.475*44/12</f>
        <v>4.1178276033151439E-5</v>
      </c>
      <c r="AC70" s="24">
        <f t="shared" si="57"/>
        <v>6.160175751170069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221.11420634571317</v>
      </c>
      <c r="AO70" s="62">
        <f t="shared" si="90"/>
        <v>133.63266168802033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6.3550942286383367E-14</v>
      </c>
      <c r="BF70" s="14">
        <f t="shared" si="91"/>
        <v>1.0064464192543978E-12</v>
      </c>
      <c r="BG70" s="22">
        <f t="shared" si="61"/>
        <v>1.8635787380168604E-12</v>
      </c>
      <c r="BH70" s="62">
        <f t="shared" si="62"/>
        <v>293.33333333333519</v>
      </c>
      <c r="BI70" s="62">
        <f ca="1">AVERAGE(OFFSET($BH$3,0,0,'Données projet'!$E$11+1,1))-AVERAGE(OFFSET($H$3,0,0,'Données projet'!$E$11+1,1))</f>
        <v>277.5990520183687</v>
      </c>
      <c r="BJ70" s="62">
        <f t="shared" si="92"/>
        <v>338.50140415303872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2.4308802256369608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5.7369198875555502E-5</v>
      </c>
      <c r="BS70" s="24">
        <f t="shared" si="63"/>
        <v>2.4309375948358363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-1.7053025658242404E-13</v>
      </c>
      <c r="O71" s="14">
        <f>N71*VLOOKUP('Données projet'!$B$9,Paramètres!$A$1:$I$89,3,0)*VLOOKUP('Données projet'!$B$9,Paramètres!$A$1:$I$89,5,0)</f>
        <v>-1.0197709343628959E-13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131.58904681787436</v>
      </c>
      <c r="T71" s="62">
        <f t="shared" si="88"/>
        <v>208.65872561216122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4.8646263783663573</v>
      </c>
      <c r="AA71" s="23">
        <f>EXP(-LN(2)/25)*AA70+(1-EXP(-LN(2)/25))/(LN(2)/25)*Calculateur!V71*Calculateur!X71*VLOOKUP('Données projet'!$B$9,Paramètres!$A$1:$I$89,3,0)*0.475*44/12</f>
        <v>1.1654427813938606</v>
      </c>
      <c r="AB71" s="23">
        <f>EXP(-LN(2)/2)*AB70+(1-EXP(-LN(2)/2))/(LN(2)/2)*V71*Y71*VLOOKUP('Données projet'!$B$9,Paramètres!$A$1:$I$89,3,0)*0.475*44/12</f>
        <v>2.9117438220612869E-5</v>
      </c>
      <c r="AC71" s="24">
        <f t="shared" si="57"/>
        <v>6.0300982771984382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221.11420634571317</v>
      </c>
      <c r="AO71" s="62">
        <f t="shared" si="90"/>
        <v>133.63266168802033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6.3550942286383367E-14</v>
      </c>
      <c r="BF71" s="14">
        <f t="shared" si="91"/>
        <v>1.0064464192543978E-12</v>
      </c>
      <c r="BG71" s="22">
        <f t="shared" si="61"/>
        <v>1.8635787380168604E-12</v>
      </c>
      <c r="BH71" s="62">
        <f t="shared" si="62"/>
        <v>293.33333333333519</v>
      </c>
      <c r="BI71" s="62">
        <f ca="1">AVERAGE(OFFSET($BH$3,0,0,'Données projet'!$E$11+1,1))-AVERAGE(OFFSET($H$3,0,0,'Données projet'!$E$11+1,1))</f>
        <v>277.5990520183687</v>
      </c>
      <c r="BJ71" s="62">
        <f t="shared" si="92"/>
        <v>338.50140415303872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2.3832121471027543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4.0566149556144952E-5</v>
      </c>
      <c r="BS71" s="24">
        <f t="shared" si="63"/>
        <v>2.3832527132523103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-1.7053025658242404E-13</v>
      </c>
      <c r="O72" s="14">
        <f>N72*VLOOKUP('Données projet'!$B$9,Paramètres!$A$1:$I$89,3,0)*VLOOKUP('Données projet'!$B$9,Paramètres!$A$1:$I$89,5,0)</f>
        <v>-1.0197709343628959E-13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131.58904681787436</v>
      </c>
      <c r="T72" s="62">
        <f t="shared" si="88"/>
        <v>208.65872561216122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4.7692340222157039</v>
      </c>
      <c r="AA72" s="23">
        <f>EXP(-LN(2)/25)*AA71+(1-EXP(-LN(2)/25))/(LN(2)/25)*Calculateur!V72*Calculateur!X72*VLOOKUP('Données projet'!$B$9,Paramètres!$A$1:$I$89,3,0)*0.475*44/12</f>
        <v>1.1335736872486732</v>
      </c>
      <c r="AB72" s="23">
        <f>EXP(-LN(2)/2)*AB71+(1-EXP(-LN(2)/2))/(LN(2)/2)*V72*Y72*VLOOKUP('Données projet'!$B$9,Paramètres!$A$1:$I$89,3,0)*0.475*44/12</f>
        <v>2.058913801657572E-5</v>
      </c>
      <c r="AC72" s="24">
        <f t="shared" si="57"/>
        <v>5.9028282986023939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755.4983401269543</v>
      </c>
      <c r="AN72" s="62">
        <f ca="1">AVERAGE(OFFSET($AM$3,0,0,'Données projet'!$E$10+1,1))-AVERAGE(OFFSET($H$3,0,0,'Données projet'!$E$10+1,1))</f>
        <v>221.11420634571317</v>
      </c>
      <c r="AO72" s="62">
        <f t="shared" si="90"/>
        <v>133.63266168802033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6.3550942286383367E-14</v>
      </c>
      <c r="BF72" s="14">
        <f t="shared" si="91"/>
        <v>1.0064464192543978E-12</v>
      </c>
      <c r="BG72" s="22">
        <f t="shared" si="61"/>
        <v>1.8635787380168604E-12</v>
      </c>
      <c r="BH72" s="62">
        <f t="shared" si="62"/>
        <v>293.33333333333519</v>
      </c>
      <c r="BI72" s="62">
        <f ca="1">AVERAGE(OFFSET($BH$3,0,0,'Données projet'!$E$11+1,1))-AVERAGE(OFFSET($H$3,0,0,'Données projet'!$E$11+1,1))</f>
        <v>277.5990520183687</v>
      </c>
      <c r="BJ72" s="62">
        <f t="shared" si="92"/>
        <v>338.50140415303872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2.3364788105139462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2.8684599437777751E-5</v>
      </c>
      <c r="BS72" s="24">
        <f t="shared" si="63"/>
        <v>2.3365074951133842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-1.7053025658242404E-13</v>
      </c>
      <c r="O73" s="14">
        <f>N73*VLOOKUP('Données projet'!$B$9,Paramètres!$A$1:$I$89,3,0)*VLOOKUP('Données projet'!$B$9,Paramètres!$A$1:$I$89,5,0)</f>
        <v>-1.0197709343628959E-13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131.58904681787436</v>
      </c>
      <c r="T73" s="62">
        <f t="shared" si="88"/>
        <v>208.65872561216122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4.6757122519855727</v>
      </c>
      <c r="AA73" s="23">
        <f>EXP(-LN(2)/25)*AA72+(1-EXP(-LN(2)/25))/(LN(2)/25)*Calculateur!V73*Calculateur!X73*VLOOKUP('Données projet'!$B$9,Paramètres!$A$1:$I$89,3,0)*0.475*44/12</f>
        <v>1.1025760551588089</v>
      </c>
      <c r="AB73" s="23">
        <f>EXP(-LN(2)/2)*AB72+(1-EXP(-LN(2)/2))/(LN(2)/2)*V73*Y73*VLOOKUP('Données projet'!$B$9,Paramètres!$A$1:$I$89,3,0)*0.475*44/12</f>
        <v>1.4558719110306435E-5</v>
      </c>
      <c r="AC73" s="24">
        <f t="shared" si="57"/>
        <v>5.7783028658634921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221.11420634571317</v>
      </c>
      <c r="AO73" s="62">
        <f t="shared" si="90"/>
        <v>133.63266168802033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6.3550942286383367E-14</v>
      </c>
      <c r="BF73" s="14">
        <f t="shared" si="91"/>
        <v>1.0064464192543978E-12</v>
      </c>
      <c r="BG73" s="22">
        <f t="shared" si="61"/>
        <v>1.8635787380168604E-12</v>
      </c>
      <c r="BH73" s="62">
        <f t="shared" si="62"/>
        <v>293.33333333333519</v>
      </c>
      <c r="BI73" s="62">
        <f ca="1">AVERAGE(OFFSET($BH$3,0,0,'Données projet'!$E$11+1,1))-AVERAGE(OFFSET($H$3,0,0,'Données projet'!$E$11+1,1))</f>
        <v>277.5990520183687</v>
      </c>
      <c r="BJ73" s="62">
        <f t="shared" si="92"/>
        <v>338.50140415303872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2.2906618861511241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2.0283074778072476E-5</v>
      </c>
      <c r="BS73" s="24">
        <f t="shared" si="63"/>
        <v>2.2906821692259021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-1.7053025658242404E-13</v>
      </c>
      <c r="O74" s="14">
        <f>N74*VLOOKUP('Données projet'!$B$9,Paramètres!$A$1:$I$89,3,0)*VLOOKUP('Données projet'!$B$9,Paramètres!$A$1:$I$89,5,0)</f>
        <v>-1.0197709343628959E-13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131.58904681787436</v>
      </c>
      <c r="T74" s="62">
        <f t="shared" si="88"/>
        <v>208.65872561216122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4.5840243866270072</v>
      </c>
      <c r="AA74" s="23">
        <f>EXP(-LN(2)/25)*AA73+(1-EXP(-LN(2)/25))/(LN(2)/25)*Calculateur!V74*Calculateur!X74*VLOOKUP('Données projet'!$B$9,Paramètres!$A$1:$I$89,3,0)*0.475*44/12</f>
        <v>1.0724260549485365</v>
      </c>
      <c r="AB74" s="23">
        <f>EXP(-LN(2)/2)*AB73+(1-EXP(-LN(2)/2))/(LN(2)/2)*V74*Y74*VLOOKUP('Données projet'!$B$9,Paramètres!$A$1:$I$89,3,0)*0.475*44/12</f>
        <v>1.029456900828786E-5</v>
      </c>
      <c r="AC74" s="24">
        <f t="shared" si="57"/>
        <v>5.6564607361445516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221.11420634571317</v>
      </c>
      <c r="AO74" s="62">
        <f t="shared" si="90"/>
        <v>133.63266168802033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6.3550942286383367E-14</v>
      </c>
      <c r="BF74" s="14">
        <f t="shared" si="91"/>
        <v>1.0064464192543978E-12</v>
      </c>
      <c r="BG74" s="22">
        <f t="shared" si="61"/>
        <v>1.8635787380168604E-12</v>
      </c>
      <c r="BH74" s="62">
        <f t="shared" si="62"/>
        <v>293.33333333333519</v>
      </c>
      <c r="BI74" s="62">
        <f ca="1">AVERAGE(OFFSET($BH$3,0,0,'Données projet'!$E$11+1,1))-AVERAGE(OFFSET($H$3,0,0,'Données projet'!$E$11+1,1))</f>
        <v>277.5990520183687</v>
      </c>
      <c r="BJ74" s="62">
        <f t="shared" si="92"/>
        <v>338.50140415303872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2.2457434037294925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1.4342299718888875E-5</v>
      </c>
      <c r="BS74" s="24">
        <f t="shared" si="63"/>
        <v>2.2457577460292115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-1.7053025658242404E-13</v>
      </c>
      <c r="O75" s="14">
        <f>N75*VLOOKUP('Données projet'!$B$9,Paramètres!$A$1:$I$89,3,0)*VLOOKUP('Données projet'!$B$9,Paramètres!$A$1:$I$89,5,0)</f>
        <v>-1.0197709343628959E-13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131.58904681787436</v>
      </c>
      <c r="T75" s="62">
        <f t="shared" si="88"/>
        <v>208.65872561216122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4.4941344643840475</v>
      </c>
      <c r="AA75" s="23">
        <f>EXP(-LN(2)/25)*AA74+(1-EXP(-LN(2)/25))/(LN(2)/25)*Calculateur!V75*Calculateur!X75*VLOOKUP('Données projet'!$B$9,Paramètres!$A$1:$I$89,3,0)*0.475*44/12</f>
        <v>1.0431005080795337</v>
      </c>
      <c r="AB75" s="23">
        <f>EXP(-LN(2)/2)*AB74+(1-EXP(-LN(2)/2))/(LN(2)/2)*V75*Y75*VLOOKUP('Données projet'!$B$9,Paramètres!$A$1:$I$89,3,0)*0.475*44/12</f>
        <v>7.2793595551532173E-6</v>
      </c>
      <c r="AC75" s="24">
        <f t="shared" si="57"/>
        <v>5.5372422518231366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221.11420634571317</v>
      </c>
      <c r="AO75" s="62">
        <f t="shared" si="90"/>
        <v>133.63266168802033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6.3550942286383367E-14</v>
      </c>
      <c r="BF75" s="14">
        <f t="shared" si="91"/>
        <v>1.0064464192543978E-12</v>
      </c>
      <c r="BG75" s="22">
        <f t="shared" si="61"/>
        <v>1.8635787380168604E-12</v>
      </c>
      <c r="BH75" s="62">
        <f t="shared" si="62"/>
        <v>293.33333333333519</v>
      </c>
      <c r="BI75" s="62">
        <f ca="1">AVERAGE(OFFSET($BH$3,0,0,'Données projet'!$E$11+1,1))-AVERAGE(OFFSET($H$3,0,0,'Données projet'!$E$11+1,1))</f>
        <v>277.5990520183687</v>
      </c>
      <c r="BJ75" s="62">
        <f t="shared" si="92"/>
        <v>338.50140415303872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2.2017057453505799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1.0141537389036238E-5</v>
      </c>
      <c r="BS75" s="24">
        <f t="shared" si="63"/>
        <v>2.2017158868879689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-1.7053025658242404E-13</v>
      </c>
      <c r="O76" s="14">
        <f>N76*VLOOKUP('Données projet'!$B$9,Paramètres!$A$1:$I$89,3,0)*VLOOKUP('Données projet'!$B$9,Paramètres!$A$1:$I$89,5,0)</f>
        <v>-1.0197709343628959E-13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131.58904681787436</v>
      </c>
      <c r="T76" s="62">
        <f t="shared" si="88"/>
        <v>208.65872561216122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4.406007228688833</v>
      </c>
      <c r="AA76" s="23">
        <f>EXP(-LN(2)/25)*AA75+(1-EXP(-LN(2)/25))/(LN(2)/25)*Calculateur!V76*Calculateur!X76*VLOOKUP('Données projet'!$B$9,Paramètres!$A$1:$I$89,3,0)*0.475*44/12</f>
        <v>1.0145768698318272</v>
      </c>
      <c r="AB76" s="23">
        <f>EXP(-LN(2)/2)*AB75+(1-EXP(-LN(2)/2))/(LN(2)/2)*V76*Y76*VLOOKUP('Données projet'!$B$9,Paramètres!$A$1:$I$89,3,0)*0.475*44/12</f>
        <v>5.1472845041439299E-6</v>
      </c>
      <c r="AC76" s="24">
        <f t="shared" si="57"/>
        <v>5.4205892458051643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763.94335289202218</v>
      </c>
      <c r="AN76" s="62">
        <f ca="1">AVERAGE(OFFSET($AM$3,0,0,'Données projet'!$E$10+1,1))-AVERAGE(OFFSET($H$3,0,0,'Données projet'!$E$10+1,1))</f>
        <v>221.11420634571317</v>
      </c>
      <c r="AO76" s="62">
        <f t="shared" si="90"/>
        <v>133.63266168802033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6.3550942286383367E-14</v>
      </c>
      <c r="BF76" s="14">
        <f t="shared" si="91"/>
        <v>1.0064464192543978E-12</v>
      </c>
      <c r="BG76" s="22">
        <f t="shared" si="61"/>
        <v>1.8635787380168604E-12</v>
      </c>
      <c r="BH76" s="62">
        <f t="shared" si="62"/>
        <v>293.33333333333519</v>
      </c>
      <c r="BI76" s="62">
        <f ca="1">AVERAGE(OFFSET($BH$3,0,0,'Données projet'!$E$11+1,1))-AVERAGE(OFFSET($H$3,0,0,'Données projet'!$E$11+1,1))</f>
        <v>277.5990520183687</v>
      </c>
      <c r="BJ76" s="62">
        <f t="shared" si="92"/>
        <v>338.50140415303872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2.1585316385921587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7.1711498594444377E-6</v>
      </c>
      <c r="BS76" s="24">
        <f t="shared" si="63"/>
        <v>2.1585388097420179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-1.7053025658242404E-13</v>
      </c>
      <c r="O77" s="14">
        <f>N77*VLOOKUP('Données projet'!$B$9,Paramètres!$A$1:$I$89,3,0)*VLOOKUP('Données projet'!$B$9,Paramètres!$A$1:$I$89,5,0)</f>
        <v>-1.0197709343628959E-13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131.58904681787436</v>
      </c>
      <c r="T77" s="62">
        <f t="shared" si="88"/>
        <v>208.65872561216122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4.3196081143332963</v>
      </c>
      <c r="AA77" s="23">
        <f>EXP(-LN(2)/25)*AA76+(1-EXP(-LN(2)/25))/(LN(2)/25)*Calculateur!V77*Calculateur!X77*VLOOKUP('Données projet'!$B$9,Paramètres!$A$1:$I$89,3,0)*0.475*44/12</f>
        <v>0.98683321197199714</v>
      </c>
      <c r="AB77" s="23">
        <f>EXP(-LN(2)/2)*AB76+(1-EXP(-LN(2)/2))/(LN(2)/2)*V77*Y77*VLOOKUP('Données projet'!$B$9,Paramètres!$A$1:$I$89,3,0)*0.475*44/12</f>
        <v>3.6396797775766087E-6</v>
      </c>
      <c r="AC77" s="24">
        <f t="shared" si="57"/>
        <v>5.3064449659850714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221.11420634571317</v>
      </c>
      <c r="AO77" s="62">
        <f t="shared" si="90"/>
        <v>133.63266168802033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6.3550942286383367E-14</v>
      </c>
      <c r="BF77" s="14">
        <f t="shared" si="91"/>
        <v>1.0064464192543978E-12</v>
      </c>
      <c r="BG77" s="22">
        <f t="shared" si="61"/>
        <v>1.8635787380168604E-12</v>
      </c>
      <c r="BH77" s="62">
        <f t="shared" si="62"/>
        <v>293.33333333333519</v>
      </c>
      <c r="BI77" s="62">
        <f ca="1">AVERAGE(OFFSET($BH$3,0,0,'Données projet'!$E$11+1,1))-AVERAGE(OFFSET($H$3,0,0,'Données projet'!$E$11+1,1))</f>
        <v>277.5990520183687</v>
      </c>
      <c r="BJ77" s="62">
        <f t="shared" si="92"/>
        <v>338.50140415303872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2.1162041497336652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5.070768694518119E-6</v>
      </c>
      <c r="BS77" s="24">
        <f t="shared" si="63"/>
        <v>2.1162092205023599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-1.7053025658242404E-13</v>
      </c>
      <c r="O78" s="14">
        <f>N78*VLOOKUP('Données projet'!$B$9,Paramètres!$A$1:$I$89,3,0)*VLOOKUP('Données projet'!$B$9,Paramètres!$A$1:$I$89,5,0)</f>
        <v>-1.0197709343628959E-13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131.58904681787436</v>
      </c>
      <c r="T78" s="62">
        <f t="shared" si="88"/>
        <v>208.65872561216122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4.2349032339120152</v>
      </c>
      <c r="AA78" s="23">
        <f>EXP(-LN(2)/25)*AA77+(1-EXP(-LN(2)/25))/(LN(2)/25)*Calculateur!V78*Calculateur!X78*VLOOKUP('Données projet'!$B$9,Paramètres!$A$1:$I$89,3,0)*0.475*44/12</f>
        <v>0.95984820589531972</v>
      </c>
      <c r="AB78" s="23">
        <f>EXP(-LN(2)/2)*AB77+(1-EXP(-LN(2)/2))/(LN(2)/2)*V78*Y78*VLOOKUP('Données projet'!$B$9,Paramètres!$A$1:$I$89,3,0)*0.475*44/12</f>
        <v>2.573642252071965E-6</v>
      </c>
      <c r="AC78" s="24">
        <f t="shared" si="57"/>
        <v>5.1947540134495869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787.72578207012941</v>
      </c>
      <c r="AN78" s="62">
        <f ca="1">AVERAGE(OFFSET($AM$3,0,0,'Données projet'!$E$10+1,1))-AVERAGE(OFFSET($H$3,0,0,'Données projet'!$E$10+1,1))</f>
        <v>221.11420634571317</v>
      </c>
      <c r="AO78" s="62">
        <f t="shared" si="90"/>
        <v>133.63266168802033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6.3550942286383367E-14</v>
      </c>
      <c r="BF78" s="14">
        <f t="shared" si="91"/>
        <v>1.0064464192543978E-12</v>
      </c>
      <c r="BG78" s="22">
        <f t="shared" si="61"/>
        <v>1.8635787380168604E-12</v>
      </c>
      <c r="BH78" s="62">
        <f t="shared" si="62"/>
        <v>293.33333333333519</v>
      </c>
      <c r="BI78" s="62">
        <f ca="1">AVERAGE(OFFSET($BH$3,0,0,'Données projet'!$E$11+1,1))-AVERAGE(OFFSET($H$3,0,0,'Données projet'!$E$11+1,1))</f>
        <v>277.5990520183687</v>
      </c>
      <c r="BJ78" s="62">
        <f t="shared" si="92"/>
        <v>338.50140415303872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2.0747066771144675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3.5855749297222189E-6</v>
      </c>
      <c r="BS78" s="24">
        <f t="shared" si="63"/>
        <v>2.0747102626893974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-1.7053025658242404E-13</v>
      </c>
      <c r="O79" s="14">
        <f>N79*VLOOKUP('Données projet'!$B$9,Paramètres!$A$1:$I$89,3,0)*VLOOKUP('Données projet'!$B$9,Paramètres!$A$1:$I$89,5,0)</f>
        <v>-1.0197709343628959E-13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131.58904681787436</v>
      </c>
      <c r="T79" s="62">
        <f t="shared" si="88"/>
        <v>208.65872561216122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4.1518593645309192</v>
      </c>
      <c r="AA79" s="23">
        <f>EXP(-LN(2)/25)*AA78+(1-EXP(-LN(2)/25))/(LN(2)/25)*Calculateur!V79*Calculateur!X79*VLOOKUP('Données projet'!$B$9,Paramètres!$A$1:$I$89,3,0)*0.475*44/12</f>
        <v>0.93360110622888881</v>
      </c>
      <c r="AB79" s="23">
        <f>EXP(-LN(2)/2)*AB78+(1-EXP(-LN(2)/2))/(LN(2)/2)*V79*Y79*VLOOKUP('Données projet'!$B$9,Paramètres!$A$1:$I$89,3,0)*0.475*44/12</f>
        <v>1.8198398887883043E-6</v>
      </c>
      <c r="AC79" s="24">
        <f t="shared" si="57"/>
        <v>5.0854622905996969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1.8</v>
      </c>
      <c r="AI79" s="14">
        <f>IF('Données projet'!$A$62&gt;35,AI78+AH79-AQ78,IF(A79&lt;'Données projet'!$A$62,$AF$205^A79,IF(A79='Données projet'!$A$62,'Données projet'!$B$62,AI78+AH79-AQ78)))</f>
        <v>253.79999999999993</v>
      </c>
      <c r="AJ79" s="14">
        <f>AI79*VLOOKUP('Données projet'!$B$10,Paramètres!$A$1:$I$89,3,0)*VLOOKUP('Données projet'!$B$10,Paramètres!$A$1:$I$89,5,0)</f>
        <v>229.63823999999994</v>
      </c>
      <c r="AK79" s="14">
        <f t="shared" si="89"/>
        <v>56.204453396569633</v>
      </c>
      <c r="AL79" s="22">
        <f t="shared" si="58"/>
        <v>497.84269099902531</v>
      </c>
      <c r="AM79" s="62">
        <f t="shared" si="59"/>
        <v>791.17602433235857</v>
      </c>
      <c r="AN79" s="62">
        <f ca="1">AVERAGE(OFFSET($AM$3,0,0,'Données projet'!$E$10+1,1))-AVERAGE(OFFSET($H$3,0,0,'Données projet'!$E$10+1,1))</f>
        <v>221.11420634571317</v>
      </c>
      <c r="AO79" s="62">
        <f t="shared" si="90"/>
        <v>133.63266168802033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6.3550942286383367E-14</v>
      </c>
      <c r="BF79" s="14">
        <f t="shared" si="91"/>
        <v>1.0064464192543978E-12</v>
      </c>
      <c r="BG79" s="22">
        <f t="shared" si="61"/>
        <v>1.8635787380168604E-12</v>
      </c>
      <c r="BH79" s="62">
        <f t="shared" si="62"/>
        <v>293.33333333333519</v>
      </c>
      <c r="BI79" s="62">
        <f ca="1">AVERAGE(OFFSET($BH$3,0,0,'Données projet'!$E$11+1,1))-AVERAGE(OFFSET($H$3,0,0,'Données projet'!$E$11+1,1))</f>
        <v>277.5990520183687</v>
      </c>
      <c r="BJ79" s="62">
        <f t="shared" si="92"/>
        <v>338.50140415303872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2.0340229446223734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2.5353843472590595E-6</v>
      </c>
      <c r="BS79" s="24">
        <f t="shared" si="63"/>
        <v>2.0340254800067208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-1.7053025658242404E-13</v>
      </c>
      <c r="O80" s="14">
        <f>N80*VLOOKUP('Données projet'!$B$9,Paramètres!$A$1:$I$89,3,0)*VLOOKUP('Données projet'!$B$9,Paramètres!$A$1:$I$89,5,0)</f>
        <v>-1.0197709343628959E-13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131.58904681787436</v>
      </c>
      <c r="T80" s="62">
        <f t="shared" si="88"/>
        <v>208.65872561216122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4.0704439347766277</v>
      </c>
      <c r="AA80" s="23">
        <f>EXP(-LN(2)/25)*AA79+(1-EXP(-LN(2)/25))/(LN(2)/25)*Calculateur!V80*Calculateur!X80*VLOOKUP('Données projet'!$B$9,Paramètres!$A$1:$I$89,3,0)*0.475*44/12</f>
        <v>0.90807173488311144</v>
      </c>
      <c r="AB80" s="23">
        <f>EXP(-LN(2)/2)*AB79+(1-EXP(-LN(2)/2))/(LN(2)/2)*V80*Y80*VLOOKUP('Données projet'!$B$9,Paramètres!$A$1:$I$89,3,0)*0.475*44/12</f>
        <v>1.2868211260359825E-6</v>
      </c>
      <c r="AC80" s="24">
        <f t="shared" si="57"/>
        <v>4.9785169564808651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1.8</v>
      </c>
      <c r="AI80" s="14">
        <f>IF('Données projet'!$A$62&gt;35,AI79+AH80-AQ79,IF(A80&lt;'Données projet'!$A$62,$AF$205^A80,IF(A80='Données projet'!$A$62,'Données projet'!$B$62,AI79+AH80-AQ79)))</f>
        <v>255.59999999999994</v>
      </c>
      <c r="AJ80" s="14">
        <f>AI80*VLOOKUP('Données projet'!$B$10,Paramètres!$A$1:$I$89,3,0)*VLOOKUP('Données projet'!$B$10,Paramètres!$A$1:$I$89,5,0)</f>
        <v>231.26687999999996</v>
      </c>
      <c r="AK80" s="14">
        <f t="shared" si="89"/>
        <v>56.556522971267533</v>
      </c>
      <c r="AL80" s="22">
        <f t="shared" si="58"/>
        <v>501.29242684162426</v>
      </c>
      <c r="AM80" s="62">
        <f t="shared" si="59"/>
        <v>794.62576017495758</v>
      </c>
      <c r="AN80" s="62">
        <f ca="1">AVERAGE(OFFSET($AM$3,0,0,'Données projet'!$E$10+1,1))-AVERAGE(OFFSET($H$3,0,0,'Données projet'!$E$10+1,1))</f>
        <v>221.11420634571317</v>
      </c>
      <c r="AO80" s="62">
        <f t="shared" si="90"/>
        <v>133.63266168802033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6.3550942286383367E-14</v>
      </c>
      <c r="BF80" s="14">
        <f t="shared" si="91"/>
        <v>1.0064464192543978E-12</v>
      </c>
      <c r="BG80" s="22">
        <f t="shared" si="61"/>
        <v>1.8635787380168604E-12</v>
      </c>
      <c r="BH80" s="62">
        <f t="shared" si="62"/>
        <v>293.33333333333519</v>
      </c>
      <c r="BI80" s="62">
        <f ca="1">AVERAGE(OFFSET($BH$3,0,0,'Données projet'!$E$11+1,1))-AVERAGE(OFFSET($H$3,0,0,'Données projet'!$E$11+1,1))</f>
        <v>277.5990520183687</v>
      </c>
      <c r="BJ80" s="62">
        <f t="shared" si="92"/>
        <v>338.50140415303872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1.9941369953098227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1.7927874648611094E-6</v>
      </c>
      <c r="BS80" s="24">
        <f t="shared" si="63"/>
        <v>1.9941387880972876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-1.7053025658242404E-13</v>
      </c>
      <c r="O81" s="14">
        <f>N81*VLOOKUP('Données projet'!$B$9,Paramètres!$A$1:$I$89,3,0)*VLOOKUP('Données projet'!$B$9,Paramètres!$A$1:$I$89,5,0)</f>
        <v>-1.0197709343628959E-13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131.58904681787436</v>
      </c>
      <c r="T81" s="62">
        <f t="shared" si="88"/>
        <v>208.65872561216122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3.9906250119413094</v>
      </c>
      <c r="AA81" s="23">
        <f>EXP(-LN(2)/25)*AA80+(1-EXP(-LN(2)/25))/(LN(2)/25)*Calculateur!V81*Calculateur!X81*VLOOKUP('Données projet'!$B$9,Paramètres!$A$1:$I$89,3,0)*0.475*44/12</f>
        <v>0.88324046553931568</v>
      </c>
      <c r="AB81" s="23">
        <f>EXP(-LN(2)/2)*AB80+(1-EXP(-LN(2)/2))/(LN(2)/2)*V81*Y81*VLOOKUP('Données projet'!$B$9,Paramètres!$A$1:$I$89,3,0)*0.475*44/12</f>
        <v>9.0991994439415216E-7</v>
      </c>
      <c r="AC81" s="24">
        <f t="shared" si="57"/>
        <v>4.8738663874005699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1.8</v>
      </c>
      <c r="AI81" s="14">
        <f>IF('Données projet'!$A$62&gt;35,AI80+AH81-AQ80,IF(A81&lt;'Données projet'!$A$62,$AF$205^A81,IF(A81='Données projet'!$A$62,'Données projet'!$B$62,AI80+AH81-AQ80)))</f>
        <v>257.39999999999992</v>
      </c>
      <c r="AJ81" s="14">
        <f>AI81*VLOOKUP('Données projet'!$B$10,Paramètres!$A$1:$I$89,3,0)*VLOOKUP('Données projet'!$B$10,Paramètres!$A$1:$I$89,5,0)</f>
        <v>232.89551999999992</v>
      </c>
      <c r="AK81" s="14">
        <f t="shared" si="89"/>
        <v>56.908304063818662</v>
      </c>
      <c r="AL81" s="22">
        <f t="shared" si="58"/>
        <v>504.74166024448397</v>
      </c>
      <c r="AM81" s="62">
        <f t="shared" si="59"/>
        <v>798.07499357781728</v>
      </c>
      <c r="AN81" s="62">
        <f ca="1">AVERAGE(OFFSET($AM$3,0,0,'Données projet'!$E$10+1,1))-AVERAGE(OFFSET($H$3,0,0,'Données projet'!$E$10+1,1))</f>
        <v>221.11420634571317</v>
      </c>
      <c r="AO81" s="62">
        <f t="shared" si="90"/>
        <v>133.63266168802033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6.3550942286383367E-14</v>
      </c>
      <c r="BF81" s="14">
        <f t="shared" si="91"/>
        <v>1.0064464192543978E-12</v>
      </c>
      <c r="BG81" s="22">
        <f t="shared" si="61"/>
        <v>1.8635787380168604E-12</v>
      </c>
      <c r="BH81" s="62">
        <f t="shared" si="62"/>
        <v>293.33333333333519</v>
      </c>
      <c r="BI81" s="62">
        <f ca="1">AVERAGE(OFFSET($BH$3,0,0,'Données projet'!$E$11+1,1))-AVERAGE(OFFSET($H$3,0,0,'Données projet'!$E$11+1,1))</f>
        <v>277.5990520183687</v>
      </c>
      <c r="BJ81" s="62">
        <f t="shared" si="92"/>
        <v>338.50140415303872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1.9550331851352643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1.2676921736295297E-6</v>
      </c>
      <c r="BS81" s="24">
        <f t="shared" si="63"/>
        <v>1.9550344528274379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-1.7053025658242404E-13</v>
      </c>
      <c r="O82" s="14">
        <f>N82*VLOOKUP('Données projet'!$B$9,Paramètres!$A$1:$I$89,3,0)*VLOOKUP('Données projet'!$B$9,Paramètres!$A$1:$I$89,5,0)</f>
        <v>-1.0197709343628959E-13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131.58904681787436</v>
      </c>
      <c r="T82" s="62">
        <f t="shared" si="88"/>
        <v>208.65872561216122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3.912371289498056</v>
      </c>
      <c r="AA82" s="23">
        <f>EXP(-LN(2)/25)*AA81+(1-EXP(-LN(2)/25))/(LN(2)/25)*Calculateur!V82*Calculateur!X82*VLOOKUP('Données projet'!$B$9,Paramètres!$A$1:$I$89,3,0)*0.475*44/12</f>
        <v>0.85908820856154566</v>
      </c>
      <c r="AB82" s="23">
        <f>EXP(-LN(2)/2)*AB81+(1-EXP(-LN(2)/2))/(LN(2)/2)*V82*Y82*VLOOKUP('Données projet'!$B$9,Paramètres!$A$1:$I$89,3,0)*0.475*44/12</f>
        <v>6.4341056301799124E-7</v>
      </c>
      <c r="AC82" s="24">
        <f t="shared" si="57"/>
        <v>4.7714601414701647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1.8</v>
      </c>
      <c r="AI82" s="14">
        <f>IF('Données projet'!$A$62&gt;35,AI81+AH82-AQ81,IF(A82&lt;'Données projet'!$A$62,$AF$205^A82,IF(A82='Données projet'!$A$62,'Données projet'!$B$62,AI81+AH82-AQ81)))</f>
        <v>259.19999999999993</v>
      </c>
      <c r="AJ82" s="14">
        <f>AI82*VLOOKUP('Données projet'!$B$10,Paramètres!$A$1:$I$89,3,0)*VLOOKUP('Données projet'!$B$10,Paramètres!$A$1:$I$89,5,0)</f>
        <v>234.52415999999994</v>
      </c>
      <c r="AK82" s="14">
        <f t="shared" si="89"/>
        <v>57.25979892552148</v>
      </c>
      <c r="AL82" s="22">
        <f t="shared" si="58"/>
        <v>508.19039512861644</v>
      </c>
      <c r="AM82" s="62">
        <f t="shared" si="59"/>
        <v>801.52372846194976</v>
      </c>
      <c r="AN82" s="62">
        <f ca="1">AVERAGE(OFFSET($AM$3,0,0,'Données projet'!$E$10+1,1))-AVERAGE(OFFSET($H$3,0,0,'Données projet'!$E$10+1,1))</f>
        <v>221.11420634571317</v>
      </c>
      <c r="AO82" s="62">
        <f t="shared" si="90"/>
        <v>133.63266168802033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6.3550942286383367E-14</v>
      </c>
      <c r="BF82" s="14">
        <f t="shared" si="91"/>
        <v>1.0064464192543978E-12</v>
      </c>
      <c r="BG82" s="22">
        <f t="shared" si="61"/>
        <v>1.8635787380168604E-12</v>
      </c>
      <c r="BH82" s="62">
        <f t="shared" si="62"/>
        <v>293.33333333333519</v>
      </c>
      <c r="BI82" s="62">
        <f ca="1">AVERAGE(OFFSET($BH$3,0,0,'Données projet'!$E$11+1,1))-AVERAGE(OFFSET($H$3,0,0,'Données projet'!$E$11+1,1))</f>
        <v>277.5990520183687</v>
      </c>
      <c r="BJ82" s="62">
        <f t="shared" si="92"/>
        <v>338.50140415303872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1.9166961768272597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8.9639373243055472E-7</v>
      </c>
      <c r="BS82" s="24">
        <f t="shared" si="63"/>
        <v>1.916697073220992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-1.7053025658242404E-13</v>
      </c>
      <c r="O83" s="14">
        <f>N83*VLOOKUP('Données projet'!$B$9,Paramètres!$A$1:$I$89,3,0)*VLOOKUP('Données projet'!$B$9,Paramètres!$A$1:$I$89,5,0)</f>
        <v>-1.0197709343628959E-13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131.58904681787436</v>
      </c>
      <c r="T83" s="62">
        <f t="shared" si="88"/>
        <v>208.65872561216122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3.8356520748218572</v>
      </c>
      <c r="AA83" s="23">
        <f>EXP(-LN(2)/25)*AA82+(1-EXP(-LN(2)/25))/(LN(2)/25)*Calculateur!V83*Calculateur!X83*VLOOKUP('Données projet'!$B$9,Paramètres!$A$1:$I$89,3,0)*0.475*44/12</f>
        <v>0.83559639632094473</v>
      </c>
      <c r="AB83" s="23">
        <f>EXP(-LN(2)/2)*AB82+(1-EXP(-LN(2)/2))/(LN(2)/2)*V83*Y83*VLOOKUP('Données projet'!$B$9,Paramètres!$A$1:$I$89,3,0)*0.475*44/12</f>
        <v>4.5495997219707608E-7</v>
      </c>
      <c r="AC83" s="24">
        <f t="shared" si="57"/>
        <v>4.6712489261027734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1.8</v>
      </c>
      <c r="AH83" s="13">
        <f t="array" ref="AH83">INDEX(AG:AG,MIN(IF(ISNUMBER(AG83:AG279),ROW(AG83:AG279),"")))</f>
        <v>1.8</v>
      </c>
      <c r="AI83" s="14">
        <f>IF('Données projet'!$A$62&gt;35,AI82+AH83-AQ82,IF(A83&lt;'Données projet'!$A$62,$AF$205^A83,IF(A83='Données projet'!$A$62,'Données projet'!$B$62,AI82+AH83-AQ82)))</f>
        <v>260.99999999999994</v>
      </c>
      <c r="AJ83" s="14">
        <f>AI83*VLOOKUP('Données projet'!$B$10,Paramètres!$A$1:$I$89,3,0)*VLOOKUP('Données projet'!$B$10,Paramètres!$A$1:$I$89,5,0)</f>
        <v>236.15279999999996</v>
      </c>
      <c r="AK83" s="14">
        <f t="shared" si="89"/>
        <v>57.61100977459936</v>
      </c>
      <c r="AL83" s="22">
        <f t="shared" si="58"/>
        <v>511.63863535742718</v>
      </c>
      <c r="AM83" s="62">
        <f t="shared" si="59"/>
        <v>804.97196869076049</v>
      </c>
      <c r="AN83" s="62">
        <f ca="1">AVERAGE(OFFSET($AM$3,0,0,'Données projet'!$E$10+1,1))-AVERAGE(OFFSET($H$3,0,0,'Données projet'!$E$10+1,1))</f>
        <v>221.11420634571317</v>
      </c>
      <c r="AO83" s="62">
        <f t="shared" si="90"/>
        <v>133.63266168802033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6.3550942286383367E-14</v>
      </c>
      <c r="BF83" s="14">
        <f t="shared" si="91"/>
        <v>1.0064464192543978E-12</v>
      </c>
      <c r="BG83" s="22">
        <f t="shared" si="61"/>
        <v>1.8635787380168604E-12</v>
      </c>
      <c r="BH83" s="62">
        <f t="shared" si="62"/>
        <v>293.33333333333519</v>
      </c>
      <c r="BI83" s="62">
        <f ca="1">AVERAGE(OFFSET($BH$3,0,0,'Données projet'!$E$11+1,1))-AVERAGE(OFFSET($H$3,0,0,'Données projet'!$E$11+1,1))</f>
        <v>277.5990520183687</v>
      </c>
      <c r="BJ83" s="62">
        <f t="shared" si="92"/>
        <v>338.50140415303872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1.8791109338689089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6.3384608681476487E-7</v>
      </c>
      <c r="BS83" s="24">
        <f t="shared" si="63"/>
        <v>1.8791115677149957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-1.7053025658242404E-13</v>
      </c>
      <c r="O84" s="14">
        <f>N84*VLOOKUP('Données projet'!$B$9,Paramètres!$A$1:$I$89,3,0)*VLOOKUP('Données projet'!$B$9,Paramètres!$A$1:$I$89,5,0)</f>
        <v>-1.0197709343628959E-13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131.58904681787436</v>
      </c>
      <c r="T84" s="62">
        <f t="shared" si="88"/>
        <v>208.65872561216122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3.7604372771513583</v>
      </c>
      <c r="AA84" s="23">
        <f>EXP(-LN(2)/25)*AA83+(1-EXP(-LN(2)/25))/(LN(2)/25)*Calculateur!V84*Calculateur!X84*VLOOKUP('Données projet'!$B$9,Paramètres!$A$1:$I$89,3,0)*0.475*44/12</f>
        <v>0.81274696892144382</v>
      </c>
      <c r="AB84" s="23">
        <f>EXP(-LN(2)/2)*AB83+(1-EXP(-LN(2)/2))/(LN(2)/2)*V84*Y84*VLOOKUP('Données projet'!$B$9,Paramètres!$A$1:$I$89,3,0)*0.475*44/12</f>
        <v>3.2170528150899562E-7</v>
      </c>
      <c r="AC84" s="24">
        <f t="shared" si="57"/>
        <v>4.5731845677780836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245.79999999999995</v>
      </c>
      <c r="AJ84" s="14">
        <f>AI84*VLOOKUP('Données projet'!$B$10,Paramètres!$A$1:$I$89,3,0)*VLOOKUP('Données projet'!$B$10,Paramètres!$A$1:$I$89,5,0)</f>
        <v>222.39983999999995</v>
      </c>
      <c r="AK84" s="14">
        <f t="shared" si="89"/>
        <v>54.636149281681448</v>
      </c>
      <c r="AL84" s="22">
        <f t="shared" si="58"/>
        <v>482.50434799892838</v>
      </c>
      <c r="AM84" s="62">
        <f t="shared" si="59"/>
        <v>775.8376813322617</v>
      </c>
      <c r="AN84" s="62">
        <f ca="1">AVERAGE(OFFSET($AM$3,0,0,'Données projet'!$E$10+1,1))-AVERAGE(OFFSET($H$3,0,0,'Données projet'!$E$10+1,1))</f>
        <v>221.11420634571317</v>
      </c>
      <c r="AO84" s="62">
        <f t="shared" si="90"/>
        <v>133.63266168802033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6.3550942286383367E-14</v>
      </c>
      <c r="BF84" s="14">
        <f t="shared" si="91"/>
        <v>1.0064464192543978E-12</v>
      </c>
      <c r="BG84" s="22">
        <f t="shared" si="61"/>
        <v>1.8635787380168604E-12</v>
      </c>
      <c r="BH84" s="62">
        <f t="shared" si="62"/>
        <v>293.33333333333519</v>
      </c>
      <c r="BI84" s="62">
        <f ca="1">AVERAGE(OFFSET($BH$3,0,0,'Données projet'!$E$11+1,1))-AVERAGE(OFFSET($H$3,0,0,'Données projet'!$E$11+1,1))</f>
        <v>277.5990520183687</v>
      </c>
      <c r="BJ84" s="62">
        <f t="shared" si="92"/>
        <v>338.50140415303872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1.8422627146002368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4.4819686621527736E-7</v>
      </c>
      <c r="BS84" s="24">
        <f t="shared" si="63"/>
        <v>1.8422631627971031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-1.7053025658242404E-13</v>
      </c>
      <c r="O85" s="14">
        <f>N85*VLOOKUP('Données projet'!$B$9,Paramètres!$A$1:$I$89,3,0)*VLOOKUP('Données projet'!$B$9,Paramètres!$A$1:$I$89,5,0)</f>
        <v>-1.0197709343628959E-13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131.58904681787436</v>
      </c>
      <c r="T85" s="62">
        <f t="shared" si="88"/>
        <v>208.65872561216122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3.6866973957866813</v>
      </c>
      <c r="AA85" s="23">
        <f>EXP(-LN(2)/25)*AA84+(1-EXP(-LN(2)/25))/(LN(2)/25)*Calculateur!V85*Calculateur!X85*VLOOKUP('Données projet'!$B$9,Paramètres!$A$1:$I$89,3,0)*0.475*44/12</f>
        <v>0.79052236031578138</v>
      </c>
      <c r="AB85" s="23">
        <f>EXP(-LN(2)/2)*AB84+(1-EXP(-LN(2)/2))/(LN(2)/2)*V85*Y85*VLOOKUP('Données projet'!$B$9,Paramètres!$A$1:$I$89,3,0)*0.475*44/12</f>
        <v>2.2747998609853804E-7</v>
      </c>
      <c r="AC85" s="24">
        <f t="shared" si="57"/>
        <v>4.4772199835824482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251.59999999999997</v>
      </c>
      <c r="AJ85" s="14">
        <f>AI85*VLOOKUP('Données projet'!$B$10,Paramètres!$A$1:$I$89,3,0)*VLOOKUP('Données projet'!$B$10,Paramètres!$A$1:$I$89,5,0)</f>
        <v>227.64767999999995</v>
      </c>
      <c r="AK85" s="14">
        <f t="shared" si="89"/>
        <v>55.773751036838362</v>
      </c>
      <c r="AL85" s="22">
        <f t="shared" si="58"/>
        <v>493.6256590558267</v>
      </c>
      <c r="AM85" s="62">
        <f t="shared" si="59"/>
        <v>786.95899238916002</v>
      </c>
      <c r="AN85" s="62">
        <f ca="1">AVERAGE(OFFSET($AM$3,0,0,'Données projet'!$E$10+1,1))-AVERAGE(OFFSET($H$3,0,0,'Données projet'!$E$10+1,1))</f>
        <v>221.11420634571317</v>
      </c>
      <c r="AO85" s="62">
        <f t="shared" si="90"/>
        <v>133.63266168802033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6.3550942286383367E-14</v>
      </c>
      <c r="BF85" s="14">
        <f t="shared" si="91"/>
        <v>1.0064464192543978E-12</v>
      </c>
      <c r="BG85" s="22">
        <f t="shared" si="61"/>
        <v>1.8635787380168604E-12</v>
      </c>
      <c r="BH85" s="62">
        <f t="shared" si="62"/>
        <v>293.33333333333519</v>
      </c>
      <c r="BI85" s="62">
        <f ca="1">AVERAGE(OFFSET($BH$3,0,0,'Données projet'!$E$11+1,1))-AVERAGE(OFFSET($H$3,0,0,'Données projet'!$E$11+1,1))</f>
        <v>277.5990520183687</v>
      </c>
      <c r="BJ85" s="62">
        <f t="shared" si="92"/>
        <v>338.50140415303872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1.8061370664362291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3.1692304340738244E-7</v>
      </c>
      <c r="BS85" s="24">
        <f t="shared" si="63"/>
        <v>1.8061373833592724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-1.7053025658242404E-13</v>
      </c>
      <c r="O86" s="14">
        <f>N86*VLOOKUP('Données projet'!$B$9,Paramètres!$A$1:$I$89,3,0)*VLOOKUP('Données projet'!$B$9,Paramètres!$A$1:$I$89,5,0)</f>
        <v>-1.0197709343628959E-13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131.58904681787436</v>
      </c>
      <c r="T86" s="62">
        <f t="shared" si="88"/>
        <v>208.65872561216122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3.614403508518679</v>
      </c>
      <c r="AA86" s="23">
        <f>EXP(-LN(2)/25)*AA85+(1-EXP(-LN(2)/25))/(LN(2)/25)*Calculateur!V86*Calculateur!X86*VLOOKUP('Données projet'!$B$9,Paramètres!$A$1:$I$89,3,0)*0.475*44/12</f>
        <v>0.76890548480118215</v>
      </c>
      <c r="AB86" s="23">
        <f>EXP(-LN(2)/2)*AB85+(1-EXP(-LN(2)/2))/(LN(2)/2)*V86*Y86*VLOOKUP('Données projet'!$B$9,Paramètres!$A$1:$I$89,3,0)*0.475*44/12</f>
        <v>1.6085264075449781E-7</v>
      </c>
      <c r="AC86" s="24">
        <f t="shared" si="57"/>
        <v>4.383309154172502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257.39999999999998</v>
      </c>
      <c r="AJ86" s="14">
        <f>AI86*VLOOKUP('Données projet'!$B$10,Paramètres!$A$1:$I$89,3,0)*VLOOKUP('Données projet'!$B$10,Paramètres!$A$1:$I$89,5,0)</f>
        <v>232.89551999999998</v>
      </c>
      <c r="AK86" s="14">
        <f t="shared" si="89"/>
        <v>56.908304063818662</v>
      </c>
      <c r="AL86" s="22">
        <f t="shared" si="58"/>
        <v>504.74166024448414</v>
      </c>
      <c r="AM86" s="62">
        <f t="shared" si="59"/>
        <v>798.07499357781739</v>
      </c>
      <c r="AN86" s="62">
        <f ca="1">AVERAGE(OFFSET($AM$3,0,0,'Données projet'!$E$10+1,1))-AVERAGE(OFFSET($H$3,0,0,'Données projet'!$E$10+1,1))</f>
        <v>221.11420634571317</v>
      </c>
      <c r="AO86" s="62">
        <f t="shared" si="90"/>
        <v>133.63266168802033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6.3550942286383367E-14</v>
      </c>
      <c r="BF86" s="14">
        <f t="shared" si="91"/>
        <v>1.0064464192543978E-12</v>
      </c>
      <c r="BG86" s="22">
        <f t="shared" si="61"/>
        <v>1.8635787380168604E-12</v>
      </c>
      <c r="BH86" s="62">
        <f t="shared" si="62"/>
        <v>293.33333333333519</v>
      </c>
      <c r="BI86" s="62">
        <f ca="1">AVERAGE(OFFSET($BH$3,0,0,'Données projet'!$E$11+1,1))-AVERAGE(OFFSET($H$3,0,0,'Données projet'!$E$11+1,1))</f>
        <v>277.5990520183687</v>
      </c>
      <c r="BJ86" s="62">
        <f t="shared" si="92"/>
        <v>338.50140415303872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1.7707198201982477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2.2409843310763868E-7</v>
      </c>
      <c r="BS86" s="24">
        <f t="shared" si="63"/>
        <v>1.7707200442966808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-1.7053025658242404E-13</v>
      </c>
      <c r="O87" s="14">
        <f>N87*VLOOKUP('Données projet'!$B$9,Paramètres!$A$1:$I$89,3,0)*VLOOKUP('Données projet'!$B$9,Paramètres!$A$1:$I$89,5,0)</f>
        <v>-1.0197709343628959E-13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131.58904681787436</v>
      </c>
      <c r="T87" s="62">
        <f t="shared" si="88"/>
        <v>208.65872561216122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3.5435272602850847</v>
      </c>
      <c r="AA87" s="23">
        <f>EXP(-LN(2)/25)*AA86+(1-EXP(-LN(2)/25))/(LN(2)/25)*Calculateur!V87*Calculateur!X87*VLOOKUP('Données projet'!$B$9,Paramètres!$A$1:$I$89,3,0)*0.475*44/12</f>
        <v>0.74787972388431179</v>
      </c>
      <c r="AB87" s="23">
        <f>EXP(-LN(2)/2)*AB86+(1-EXP(-LN(2)/2))/(LN(2)/2)*V87*Y87*VLOOKUP('Données projet'!$B$9,Paramètres!$A$1:$I$89,3,0)*0.475*44/12</f>
        <v>1.1373999304926902E-7</v>
      </c>
      <c r="AC87" s="24">
        <f t="shared" si="57"/>
        <v>4.2914070979093903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263.2</v>
      </c>
      <c r="AJ87" s="14">
        <f>AI87*VLOOKUP('Données projet'!$B$10,Paramètres!$A$1:$I$89,3,0)*VLOOKUP('Données projet'!$B$10,Paramètres!$A$1:$I$89,5,0)</f>
        <v>238.14335999999997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809.18581832036466</v>
      </c>
      <c r="AN87" s="62">
        <f ca="1">AVERAGE(OFFSET($AM$3,0,0,'Données projet'!$E$10+1,1))-AVERAGE(OFFSET($H$3,0,0,'Données projet'!$E$10+1,1))</f>
        <v>221.11420634571317</v>
      </c>
      <c r="AO87" s="62">
        <f t="shared" si="90"/>
        <v>133.63266168802033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6.3550942286383367E-14</v>
      </c>
      <c r="BF87" s="14">
        <f t="shared" si="91"/>
        <v>1.0064464192543978E-12</v>
      </c>
      <c r="BG87" s="22">
        <f t="shared" si="61"/>
        <v>1.8635787380168604E-12</v>
      </c>
      <c r="BH87" s="62">
        <f t="shared" si="62"/>
        <v>293.33333333333519</v>
      </c>
      <c r="BI87" s="62">
        <f ca="1">AVERAGE(OFFSET($BH$3,0,0,'Données projet'!$E$11+1,1))-AVERAGE(OFFSET($H$3,0,0,'Données projet'!$E$11+1,1))</f>
        <v>277.5990520183687</v>
      </c>
      <c r="BJ87" s="62">
        <f t="shared" si="92"/>
        <v>338.50140415303872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1.735997084556606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1.5846152170369122E-7</v>
      </c>
      <c r="BS87" s="24">
        <f t="shared" si="63"/>
        <v>1.7359972430181276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-1.7053025658242404E-13</v>
      </c>
      <c r="O88" s="14">
        <f>N88*VLOOKUP('Données projet'!$B$9,Paramètres!$A$1:$I$89,3,0)*VLOOKUP('Données projet'!$B$9,Paramètres!$A$1:$I$89,5,0)</f>
        <v>-1.0197709343628959E-13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131.58904681787436</v>
      </c>
      <c r="T88" s="62">
        <f t="shared" si="88"/>
        <v>208.65872561216122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3.4740408520491086</v>
      </c>
      <c r="AA88" s="23">
        <f>EXP(-LN(2)/25)*AA87+(1-EXP(-LN(2)/25))/(LN(2)/25)*Calculateur!V88*Calculateur!X88*VLOOKUP('Données projet'!$B$9,Paramètres!$A$1:$I$89,3,0)*0.475*44/12</f>
        <v>0.72742891350540995</v>
      </c>
      <c r="AB88" s="23">
        <f>EXP(-LN(2)/2)*AB87+(1-EXP(-LN(2)/2))/(LN(2)/2)*V88*Y88*VLOOKUP('Données projet'!$B$9,Paramètres!$A$1:$I$89,3,0)*0.475*44/12</f>
        <v>8.0426320377248905E-8</v>
      </c>
      <c r="AC88" s="24">
        <f t="shared" si="57"/>
        <v>4.2014698459808395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269</v>
      </c>
      <c r="AJ88" s="14">
        <f>AI88*VLOOKUP('Données projet'!$B$10,Paramètres!$A$1:$I$89,3,0)*VLOOKUP('Données projet'!$B$10,Paramètres!$A$1:$I$89,5,0)</f>
        <v>243.39119999999997</v>
      </c>
      <c r="AK88" s="14">
        <f t="shared" si="89"/>
        <v>59.168566788241527</v>
      </c>
      <c r="AL88" s="22">
        <f t="shared" si="58"/>
        <v>526.95826048952063</v>
      </c>
      <c r="AM88" s="62">
        <f t="shared" si="59"/>
        <v>820.29159382285388</v>
      </c>
      <c r="AN88" s="62">
        <f ca="1">AVERAGE(OFFSET($AM$3,0,0,'Données projet'!$E$10+1,1))-AVERAGE(OFFSET($H$3,0,0,'Données projet'!$E$10+1,1))</f>
        <v>221.11420634571317</v>
      </c>
      <c r="AO88" s="62">
        <f t="shared" si="90"/>
        <v>133.63266168802033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6.3550942286383367E-14</v>
      </c>
      <c r="BF88" s="14">
        <f t="shared" si="91"/>
        <v>1.0064464192543978E-12</v>
      </c>
      <c r="BG88" s="22">
        <f t="shared" si="61"/>
        <v>1.8635787380168604E-12</v>
      </c>
      <c r="BH88" s="62">
        <f t="shared" si="62"/>
        <v>293.33333333333519</v>
      </c>
      <c r="BI88" s="62">
        <f ca="1">AVERAGE(OFFSET($BH$3,0,0,'Données projet'!$E$11+1,1))-AVERAGE(OFFSET($H$3,0,0,'Données projet'!$E$11+1,1))</f>
        <v>277.5990520183687</v>
      </c>
      <c r="BJ88" s="62">
        <f t="shared" si="92"/>
        <v>338.50140415303872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1.7019552405821194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1.1204921655381934E-7</v>
      </c>
      <c r="BS88" s="24">
        <f t="shared" si="63"/>
        <v>1.701955352631336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-1.7053025658242404E-13</v>
      </c>
      <c r="O89" s="14">
        <f>N89*VLOOKUP('Données projet'!$B$9,Paramètres!$A$1:$I$89,3,0)*VLOOKUP('Données projet'!$B$9,Paramètres!$A$1:$I$89,5,0)</f>
        <v>-1.0197709343628959E-13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131.58904681787436</v>
      </c>
      <c r="T89" s="62">
        <f t="shared" si="88"/>
        <v>208.65872561216122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3.4059170298961159</v>
      </c>
      <c r="AA89" s="23">
        <f>EXP(-LN(2)/25)*AA88+(1-EXP(-LN(2)/25))/(LN(2)/25)*Calculateur!V89*Calculateur!X89*VLOOKUP('Données projet'!$B$9,Paramètres!$A$1:$I$89,3,0)*0.475*44/12</f>
        <v>0.70753733161178056</v>
      </c>
      <c r="AB89" s="23">
        <f>EXP(-LN(2)/2)*AB88+(1-EXP(-LN(2)/2))/(LN(2)/2)*V89*Y89*VLOOKUP('Données projet'!$B$9,Paramètres!$A$1:$I$89,3,0)*0.475*44/12</f>
        <v>5.686999652463451E-8</v>
      </c>
      <c r="AC89" s="24">
        <f t="shared" si="57"/>
        <v>4.1134544183778932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253.39999999999998</v>
      </c>
      <c r="AJ89" s="14">
        <f>AI89*VLOOKUP('Données projet'!$B$10,Paramètres!$A$1:$I$89,3,0)*VLOOKUP('Données projet'!$B$10,Paramètres!$A$1:$I$89,5,0)</f>
        <v>229.27631999999997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790.40934773559275</v>
      </c>
      <c r="AN89" s="62">
        <f ca="1">AVERAGE(OFFSET($AM$3,0,0,'Données projet'!$E$10+1,1))-AVERAGE(OFFSET($H$3,0,0,'Données projet'!$E$10+1,1))</f>
        <v>221.11420634571317</v>
      </c>
      <c r="AO89" s="62">
        <f t="shared" si="90"/>
        <v>133.63266168802033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6.3550942286383367E-14</v>
      </c>
      <c r="BF89" s="14">
        <f t="shared" si="91"/>
        <v>1.0064464192543978E-12</v>
      </c>
      <c r="BG89" s="22">
        <f t="shared" si="61"/>
        <v>1.8635787380168604E-12</v>
      </c>
      <c r="BH89" s="62">
        <f t="shared" si="62"/>
        <v>293.33333333333519</v>
      </c>
      <c r="BI89" s="62">
        <f ca="1">AVERAGE(OFFSET($BH$3,0,0,'Données projet'!$E$11+1,1))-AVERAGE(OFFSET($H$3,0,0,'Données projet'!$E$11+1,1))</f>
        <v>277.5990520183687</v>
      </c>
      <c r="BJ89" s="62">
        <f t="shared" si="92"/>
        <v>338.50140415303872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1.6685809364044979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7.9230760851845609E-8</v>
      </c>
      <c r="BS89" s="24">
        <f t="shared" si="63"/>
        <v>1.6685810156352587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-1.7053025658242404E-13</v>
      </c>
      <c r="O90" s="14">
        <f>N90*VLOOKUP('Données projet'!$B$9,Paramètres!$A$1:$I$89,3,0)*VLOOKUP('Données projet'!$B$9,Paramètres!$A$1:$I$89,5,0)</f>
        <v>-1.0197709343628959E-13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131.58904681787436</v>
      </c>
      <c r="T90" s="62">
        <f t="shared" si="88"/>
        <v>208.65872561216122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3.3391290743441147</v>
      </c>
      <c r="AA90" s="23">
        <f>EXP(-LN(2)/25)*AA89+(1-EXP(-LN(2)/25))/(LN(2)/25)*Calculateur!V90*Calculateur!X90*VLOOKUP('Données projet'!$B$9,Paramètres!$A$1:$I$89,3,0)*0.475*44/12</f>
        <v>0.68818968607108522</v>
      </c>
      <c r="AB90" s="23">
        <f>EXP(-LN(2)/2)*AB89+(1-EXP(-LN(2)/2))/(LN(2)/2)*V90*Y90*VLOOKUP('Données projet'!$B$9,Paramètres!$A$1:$I$89,3,0)*0.475*44/12</f>
        <v>4.0213160188624452E-8</v>
      </c>
      <c r="AC90" s="24">
        <f t="shared" si="57"/>
        <v>4.0273188006283602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258.79999999999995</v>
      </c>
      <c r="AJ90" s="14">
        <f>AI90*VLOOKUP('Données projet'!$B$10,Paramètres!$A$1:$I$89,3,0)*VLOOKUP('Données projet'!$B$10,Paramètres!$A$1:$I$89,5,0)</f>
        <v>234.16223999999994</v>
      </c>
      <c r="AK90" s="14">
        <f t="shared" si="89"/>
        <v>57.181713578143096</v>
      </c>
      <c r="AL90" s="22">
        <f t="shared" si="58"/>
        <v>507.42405248193245</v>
      </c>
      <c r="AM90" s="62">
        <f t="shared" si="59"/>
        <v>800.75738581526571</v>
      </c>
      <c r="AN90" s="62">
        <f ca="1">AVERAGE(OFFSET($AM$3,0,0,'Données projet'!$E$10+1,1))-AVERAGE(OFFSET($H$3,0,0,'Données projet'!$E$10+1,1))</f>
        <v>221.11420634571317</v>
      </c>
      <c r="AO90" s="62">
        <f t="shared" si="90"/>
        <v>133.63266168802033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6.3550942286383367E-14</v>
      </c>
      <c r="BF90" s="14">
        <f t="shared" si="91"/>
        <v>1.0064464192543978E-12</v>
      </c>
      <c r="BG90" s="22">
        <f t="shared" si="61"/>
        <v>1.8635787380168604E-12</v>
      </c>
      <c r="BH90" s="62">
        <f t="shared" si="62"/>
        <v>293.33333333333519</v>
      </c>
      <c r="BI90" s="62">
        <f ca="1">AVERAGE(OFFSET($BH$3,0,0,'Données projet'!$E$11+1,1))-AVERAGE(OFFSET($H$3,0,0,'Données projet'!$E$11+1,1))</f>
        <v>277.5990520183687</v>
      </c>
      <c r="BJ90" s="62">
        <f t="shared" si="92"/>
        <v>338.50140415303872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1.635861081975484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5.602460827690967E-8</v>
      </c>
      <c r="BS90" s="24">
        <f t="shared" si="63"/>
        <v>1.6358611380000923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-1.7053025658242404E-13</v>
      </c>
      <c r="O91" s="14">
        <f>N91*VLOOKUP('Données projet'!$B$9,Paramètres!$A$1:$I$89,3,0)*VLOOKUP('Données projet'!$B$9,Paramètres!$A$1:$I$89,5,0)</f>
        <v>-1.0197709343628959E-13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131.58904681787436</v>
      </c>
      <c r="T91" s="62">
        <f t="shared" si="88"/>
        <v>208.65872561216122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3.2736507898638578</v>
      </c>
      <c r="AA91" s="23">
        <f>EXP(-LN(2)/25)*AA90+(1-EXP(-LN(2)/25))/(LN(2)/25)*Calculateur!V91*Calculateur!X91*VLOOKUP('Données projet'!$B$9,Paramètres!$A$1:$I$89,3,0)*0.475*44/12</f>
        <v>0.66937110291514867</v>
      </c>
      <c r="AB91" s="23">
        <f>EXP(-LN(2)/2)*AB90+(1-EXP(-LN(2)/2))/(LN(2)/2)*V91*Y91*VLOOKUP('Données projet'!$B$9,Paramètres!$A$1:$I$89,3,0)*0.475*44/12</f>
        <v>2.8434998262317255E-8</v>
      </c>
      <c r="AC91" s="24">
        <f t="shared" si="57"/>
        <v>3.943021921214005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264.19999999999993</v>
      </c>
      <c r="AJ91" s="14">
        <f>AI91*VLOOKUP('Données projet'!$B$10,Paramètres!$A$1:$I$89,3,0)*VLOOKUP('Données projet'!$B$10,Paramètres!$A$1:$I$89,5,0)</f>
        <v>239.04815999999994</v>
      </c>
      <c r="AK91" s="14">
        <f t="shared" si="89"/>
        <v>58.234690128947292</v>
      </c>
      <c r="AL91" s="22">
        <f t="shared" si="58"/>
        <v>517.76763064124975</v>
      </c>
      <c r="AM91" s="62">
        <f t="shared" si="59"/>
        <v>811.10096397458301</v>
      </c>
      <c r="AN91" s="62">
        <f ca="1">AVERAGE(OFFSET($AM$3,0,0,'Données projet'!$E$10+1,1))-AVERAGE(OFFSET($H$3,0,0,'Données projet'!$E$10+1,1))</f>
        <v>221.11420634571317</v>
      </c>
      <c r="AO91" s="62">
        <f t="shared" si="90"/>
        <v>133.63266168802033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6.3550942286383367E-14</v>
      </c>
      <c r="BF91" s="14">
        <f t="shared" si="91"/>
        <v>1.0064464192543978E-12</v>
      </c>
      <c r="BG91" s="22">
        <f t="shared" si="61"/>
        <v>1.8635787380168604E-12</v>
      </c>
      <c r="BH91" s="62">
        <f t="shared" si="62"/>
        <v>293.33333333333519</v>
      </c>
      <c r="BI91" s="62">
        <f ca="1">AVERAGE(OFFSET($BH$3,0,0,'Données projet'!$E$11+1,1))-AVERAGE(OFFSET($H$3,0,0,'Données projet'!$E$11+1,1))</f>
        <v>277.5990520183687</v>
      </c>
      <c r="BJ91" s="62">
        <f t="shared" si="92"/>
        <v>338.50140415303872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1.6037828439346824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3.9615380425922805E-8</v>
      </c>
      <c r="BS91" s="24">
        <f t="shared" si="63"/>
        <v>1.6037828835500629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-1.7053025658242404E-13</v>
      </c>
      <c r="O92" s="14">
        <f>N92*VLOOKUP('Données projet'!$B$9,Paramètres!$A$1:$I$89,3,0)*VLOOKUP('Données projet'!$B$9,Paramètres!$A$1:$I$89,5,0)</f>
        <v>-1.0197709343628959E-13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131.58904681787436</v>
      </c>
      <c r="T92" s="62">
        <f t="shared" si="88"/>
        <v>208.65872561216122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3.2094564946044488</v>
      </c>
      <c r="AA92" s="23">
        <f>EXP(-LN(2)/25)*AA91+(1-EXP(-LN(2)/25))/(LN(2)/25)*Calculateur!V92*Calculateur!X92*VLOOKUP('Données projet'!$B$9,Paramètres!$A$1:$I$89,3,0)*0.475*44/12</f>
        <v>0.6510671149052375</v>
      </c>
      <c r="AB92" s="23">
        <f>EXP(-LN(2)/2)*AB91+(1-EXP(-LN(2)/2))/(LN(2)/2)*V92*Y92*VLOOKUP('Données projet'!$B$9,Paramètres!$A$1:$I$89,3,0)*0.475*44/12</f>
        <v>2.0106580094312226E-8</v>
      </c>
      <c r="AC92" s="24">
        <f t="shared" si="57"/>
        <v>3.8605236296162664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269.59999999999991</v>
      </c>
      <c r="AJ92" s="14">
        <f>AI92*VLOOKUP('Données projet'!$B$10,Paramètres!$A$1:$I$89,3,0)*VLOOKUP('Données projet'!$B$10,Paramètres!$A$1:$I$89,5,0)</f>
        <v>243.93407999999991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821.44018387408369</v>
      </c>
      <c r="AN92" s="62">
        <f ca="1">AVERAGE(OFFSET($AM$3,0,0,'Données projet'!$E$10+1,1))-AVERAGE(OFFSET($H$3,0,0,'Données projet'!$E$10+1,1))</f>
        <v>221.11420634571317</v>
      </c>
      <c r="AO92" s="62">
        <f t="shared" si="90"/>
        <v>133.63266168802033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6.3550942286383367E-14</v>
      </c>
      <c r="BF92" s="14">
        <f t="shared" si="91"/>
        <v>1.0064464192543978E-12</v>
      </c>
      <c r="BG92" s="22">
        <f t="shared" si="61"/>
        <v>1.8635787380168604E-12</v>
      </c>
      <c r="BH92" s="62">
        <f t="shared" si="62"/>
        <v>293.33333333333519</v>
      </c>
      <c r="BI92" s="62">
        <f ca="1">AVERAGE(OFFSET($BH$3,0,0,'Données projet'!$E$11+1,1))-AVERAGE(OFFSET($H$3,0,0,'Données projet'!$E$11+1,1))</f>
        <v>277.5990520183687</v>
      </c>
      <c r="BJ92" s="62">
        <f t="shared" si="92"/>
        <v>338.50140415303872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1.5723336405760677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2.8012304138454835E-8</v>
      </c>
      <c r="BS92" s="24">
        <f t="shared" si="63"/>
        <v>1.5723336685883718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-1.7053025658242404E-13</v>
      </c>
      <c r="O93" s="14">
        <f>N93*VLOOKUP('Données projet'!$B$9,Paramètres!$A$1:$I$89,3,0)*VLOOKUP('Données projet'!$B$9,Paramètres!$A$1:$I$89,5,0)</f>
        <v>-1.0197709343628959E-13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131.58904681787436</v>
      </c>
      <c r="T93" s="62">
        <f t="shared" si="88"/>
        <v>208.65872561216122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3.1465210103204226</v>
      </c>
      <c r="AA93" s="23">
        <f>EXP(-LN(2)/25)*AA92+(1-EXP(-LN(2)/25))/(LN(2)/25)*Calculateur!V93*Calculateur!X93*VLOOKUP('Données projet'!$B$9,Paramètres!$A$1:$I$89,3,0)*0.475*44/12</f>
        <v>0.63326365041002219</v>
      </c>
      <c r="AB93" s="23">
        <f>EXP(-LN(2)/2)*AB92+(1-EXP(-LN(2)/2))/(LN(2)/2)*V93*Y93*VLOOKUP('Données projet'!$B$9,Paramètres!$A$1:$I$89,3,0)*0.475*44/12</f>
        <v>1.4217499131158628E-8</v>
      </c>
      <c r="AC93" s="24">
        <f t="shared" si="57"/>
        <v>3.779784674947944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274.99999999999989</v>
      </c>
      <c r="AJ93" s="14">
        <f>AI93*VLOOKUP('Données projet'!$B$10,Paramètres!$A$1:$I$89,3,0)*VLOOKUP('Données projet'!$B$10,Paramètres!$A$1:$I$89,5,0)</f>
        <v>248.81999999999988</v>
      </c>
      <c r="AK93" s="14">
        <f t="shared" si="89"/>
        <v>60.333192077890018</v>
      </c>
      <c r="AL93" s="22">
        <f t="shared" si="58"/>
        <v>538.44180953565819</v>
      </c>
      <c r="AM93" s="62">
        <f t="shared" si="59"/>
        <v>831.77514286899145</v>
      </c>
      <c r="AN93" s="62">
        <f ca="1">AVERAGE(OFFSET($AM$3,0,0,'Données projet'!$E$10+1,1))-AVERAGE(OFFSET($H$3,0,0,'Données projet'!$E$10+1,1))</f>
        <v>221.11420634571317</v>
      </c>
      <c r="AO93" s="62">
        <f t="shared" si="90"/>
        <v>133.63266168802033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6.3550942286383367E-14</v>
      </c>
      <c r="BF93" s="14">
        <f t="shared" si="91"/>
        <v>1.0064464192543978E-12</v>
      </c>
      <c r="BG93" s="22">
        <f t="shared" si="61"/>
        <v>1.8635787380168604E-12</v>
      </c>
      <c r="BH93" s="62">
        <f t="shared" si="62"/>
        <v>293.33333333333519</v>
      </c>
      <c r="BI93" s="62">
        <f ca="1">AVERAGE(OFFSET($BH$3,0,0,'Données projet'!$E$11+1,1))-AVERAGE(OFFSET($H$3,0,0,'Données projet'!$E$11+1,1))</f>
        <v>277.5990520183687</v>
      </c>
      <c r="BJ93" s="62">
        <f t="shared" si="92"/>
        <v>338.50140415303872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1.5415011369131955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1.9807690212961402E-8</v>
      </c>
      <c r="BS93" s="24">
        <f t="shared" si="63"/>
        <v>1.5415011567208856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-1.7053025658242404E-13</v>
      </c>
      <c r="O94" s="14">
        <f>N94*VLOOKUP('Données projet'!$B$9,Paramètres!$A$1:$I$89,3,0)*VLOOKUP('Données projet'!$B$9,Paramètres!$A$1:$I$89,5,0)</f>
        <v>-1.0197709343628959E-13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131.58904681787436</v>
      </c>
      <c r="T94" s="62">
        <f t="shared" si="88"/>
        <v>208.65872561216122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3.0848196524963512</v>
      </c>
      <c r="AA94" s="23">
        <f>EXP(-LN(2)/25)*AA93+(1-EXP(-LN(2)/25))/(LN(2)/25)*Calculateur!V94*Calculateur!X94*VLOOKUP('Données projet'!$B$9,Paramètres!$A$1:$I$89,3,0)*0.475*44/12</f>
        <v>0.61594702258767209</v>
      </c>
      <c r="AB94" s="23">
        <f>EXP(-LN(2)/2)*AB93+(1-EXP(-LN(2)/2))/(LN(2)/2)*V94*Y94*VLOOKUP('Données projet'!$B$9,Paramètres!$A$1:$I$89,3,0)*0.475*44/12</f>
        <v>1.0053290047156113E-8</v>
      </c>
      <c r="AC94" s="24">
        <f t="shared" si="57"/>
        <v>3.7007666851373133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258.99999999999989</v>
      </c>
      <c r="AJ94" s="14">
        <f>AI94*VLOOKUP('Données projet'!$B$10,Paramètres!$A$1:$I$89,3,0)*VLOOKUP('Données projet'!$B$10,Paramètres!$A$1:$I$89,5,0)</f>
        <v>234.34319999999988</v>
      </c>
      <c r="AK94" s="14">
        <f t="shared" si="89"/>
        <v>57.220758006491614</v>
      </c>
      <c r="AL94" s="22">
        <f t="shared" si="58"/>
        <v>507.80722686130594</v>
      </c>
      <c r="AM94" s="62">
        <f t="shared" si="59"/>
        <v>801.14056019463919</v>
      </c>
      <c r="AN94" s="62">
        <f ca="1">AVERAGE(OFFSET($AM$3,0,0,'Données projet'!$E$10+1,1))-AVERAGE(OFFSET($H$3,0,0,'Données projet'!$E$10+1,1))</f>
        <v>221.11420634571317</v>
      </c>
      <c r="AO94" s="62">
        <f t="shared" si="90"/>
        <v>133.63266168802033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6.3550942286383367E-14</v>
      </c>
      <c r="BF94" s="14">
        <f t="shared" si="91"/>
        <v>1.0064464192543978E-12</v>
      </c>
      <c r="BG94" s="22">
        <f t="shared" si="61"/>
        <v>1.8635787380168604E-12</v>
      </c>
      <c r="BH94" s="62">
        <f t="shared" si="62"/>
        <v>293.33333333333519</v>
      </c>
      <c r="BI94" s="62">
        <f ca="1">AVERAGE(OFFSET($BH$3,0,0,'Données projet'!$E$11+1,1))-AVERAGE(OFFSET($H$3,0,0,'Données projet'!$E$11+1,1))</f>
        <v>277.5990520183687</v>
      </c>
      <c r="BJ94" s="62">
        <f t="shared" si="92"/>
        <v>338.50140415303872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1.5112732398411819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1.4006152069227417E-8</v>
      </c>
      <c r="BS94" s="24">
        <f t="shared" si="63"/>
        <v>1.5112732538473339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-1.7053025658242404E-13</v>
      </c>
      <c r="O95" s="14">
        <f>N95*VLOOKUP('Données projet'!$B$9,Paramètres!$A$1:$I$89,3,0)*VLOOKUP('Données projet'!$B$9,Paramètres!$A$1:$I$89,5,0)</f>
        <v>-1.0197709343628959E-13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131.58904681787436</v>
      </c>
      <c r="T95" s="62">
        <f t="shared" si="88"/>
        <v>208.65872561216122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3.0243282206650979</v>
      </c>
      <c r="AA95" s="23">
        <f>EXP(-LN(2)/25)*AA94+(1-EXP(-LN(2)/25))/(LN(2)/25)*Calculateur!V95*Calculateur!X95*VLOOKUP('Données projet'!$B$9,Paramètres!$A$1:$I$89,3,0)*0.475*44/12</f>
        <v>0.59910391886376602</v>
      </c>
      <c r="AB95" s="23">
        <f>EXP(-LN(2)/2)*AB94+(1-EXP(-LN(2)/2))/(LN(2)/2)*V95*Y95*VLOOKUP('Données projet'!$B$9,Paramètres!$A$1:$I$89,3,0)*0.475*44/12</f>
        <v>7.1087495655793138E-9</v>
      </c>
      <c r="AC95" s="24">
        <f t="shared" si="57"/>
        <v>3.6234321466376134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263.99999999999989</v>
      </c>
      <c r="AJ95" s="14">
        <f>AI95*VLOOKUP('Données projet'!$B$10,Paramètres!$A$1:$I$89,3,0)*VLOOKUP('Données projet'!$B$10,Paramètres!$A$1:$I$89,5,0)</f>
        <v>238.86719999999988</v>
      </c>
      <c r="AK95" s="14">
        <f t="shared" si="89"/>
        <v>58.195735973104156</v>
      </c>
      <c r="AL95" s="22">
        <f t="shared" si="58"/>
        <v>517.38461348648957</v>
      </c>
      <c r="AM95" s="62">
        <f t="shared" si="59"/>
        <v>810.71794681982283</v>
      </c>
      <c r="AN95" s="62">
        <f ca="1">AVERAGE(OFFSET($AM$3,0,0,'Données projet'!$E$10+1,1))-AVERAGE(OFFSET($H$3,0,0,'Données projet'!$E$10+1,1))</f>
        <v>221.11420634571317</v>
      </c>
      <c r="AO95" s="62">
        <f t="shared" si="90"/>
        <v>133.63266168802033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6.3550942286383367E-14</v>
      </c>
      <c r="BF95" s="14">
        <f t="shared" si="91"/>
        <v>1.0064464192543978E-12</v>
      </c>
      <c r="BG95" s="22">
        <f t="shared" si="61"/>
        <v>1.8635787380168604E-12</v>
      </c>
      <c r="BH95" s="62">
        <f t="shared" si="62"/>
        <v>293.33333333333519</v>
      </c>
      <c r="BI95" s="62">
        <f ca="1">AVERAGE(OFFSET($BH$3,0,0,'Données projet'!$E$11+1,1))-AVERAGE(OFFSET($H$3,0,0,'Données projet'!$E$11+1,1))</f>
        <v>277.5990520183687</v>
      </c>
      <c r="BJ95" s="62">
        <f t="shared" si="92"/>
        <v>338.50140415303872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1.4816380933935538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9.9038451064807012E-9</v>
      </c>
      <c r="BS95" s="24">
        <f t="shared" si="63"/>
        <v>1.4816381032973989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-1.7053025658242404E-13</v>
      </c>
      <c r="O96" s="14">
        <f>N96*VLOOKUP('Données projet'!$B$9,Paramètres!$A$1:$I$89,3,0)*VLOOKUP('Données projet'!$B$9,Paramètres!$A$1:$I$89,5,0)</f>
        <v>-1.0197709343628959E-13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131.58904681787436</v>
      </c>
      <c r="T96" s="62">
        <f t="shared" si="88"/>
        <v>208.65872561216122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2.965022988915925</v>
      </c>
      <c r="AA96" s="23">
        <f>EXP(-LN(2)/25)*AA95+(1-EXP(-LN(2)/25))/(LN(2)/25)*Calculateur!V96*Calculateur!X96*VLOOKUP('Données projet'!$B$9,Paramètres!$A$1:$I$89,3,0)*0.475*44/12</f>
        <v>0.58272139069693052</v>
      </c>
      <c r="AB96" s="23">
        <f>EXP(-LN(2)/2)*AB95+(1-EXP(-LN(2)/2))/(LN(2)/2)*V96*Y96*VLOOKUP('Données projet'!$B$9,Paramètres!$A$1:$I$89,3,0)*0.475*44/12</f>
        <v>5.0266450235780565E-9</v>
      </c>
      <c r="AC96" s="24">
        <f t="shared" si="57"/>
        <v>3.5477443846395005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268.99999999999989</v>
      </c>
      <c r="AJ96" s="14">
        <f>AI96*VLOOKUP('Données projet'!$B$10,Paramètres!$A$1:$I$89,3,0)*VLOOKUP('Données projet'!$B$10,Paramètres!$A$1:$I$89,5,0)</f>
        <v>243.39119999999988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820.29159382285388</v>
      </c>
      <c r="AN96" s="62">
        <f ca="1">AVERAGE(OFFSET($AM$3,0,0,'Données projet'!$E$10+1,1))-AVERAGE(OFFSET($H$3,0,0,'Données projet'!$E$10+1,1))</f>
        <v>221.11420634571317</v>
      </c>
      <c r="AO96" s="62">
        <f t="shared" si="90"/>
        <v>133.63266168802033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6.3550942286383367E-14</v>
      </c>
      <c r="BF96" s="14">
        <f t="shared" si="91"/>
        <v>1.0064464192543978E-12</v>
      </c>
      <c r="BG96" s="22">
        <f t="shared" si="61"/>
        <v>1.8635787380168604E-12</v>
      </c>
      <c r="BH96" s="62">
        <f t="shared" si="62"/>
        <v>293.33333333333519</v>
      </c>
      <c r="BI96" s="62">
        <f ca="1">AVERAGE(OFFSET($BH$3,0,0,'Données projet'!$E$11+1,1))-AVERAGE(OFFSET($H$3,0,0,'Données projet'!$E$11+1,1))</f>
        <v>277.5990520183687</v>
      </c>
      <c r="BJ96" s="62">
        <f t="shared" si="92"/>
        <v>338.50140415303872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1.4525840740921092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7.0030760346137087E-9</v>
      </c>
      <c r="BS96" s="24">
        <f t="shared" si="63"/>
        <v>1.4525840810951853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-1.7053025658242404E-13</v>
      </c>
      <c r="O97" s="14">
        <f>N97*VLOOKUP('Données projet'!$B$9,Paramètres!$A$1:$I$89,3,0)*VLOOKUP('Données projet'!$B$9,Paramètres!$A$1:$I$89,5,0)</f>
        <v>-1.0197709343628959E-13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131.58904681787436</v>
      </c>
      <c r="T97" s="62">
        <f t="shared" si="88"/>
        <v>208.65872561216122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2.9068806965887339</v>
      </c>
      <c r="AA97" s="23">
        <f>EXP(-LN(2)/25)*AA96+(1-EXP(-LN(2)/25))/(LN(2)/25)*Calculateur!V97*Calculateur!X97*VLOOKUP('Données projet'!$B$9,Paramètres!$A$1:$I$89,3,0)*0.475*44/12</f>
        <v>0.56678684362433684</v>
      </c>
      <c r="AB97" s="23">
        <f>EXP(-LN(2)/2)*AB96+(1-EXP(-LN(2)/2))/(LN(2)/2)*V97*Y97*VLOOKUP('Données projet'!$B$9,Paramètres!$A$1:$I$89,3,0)*0.475*44/12</f>
        <v>3.5543747827896569E-9</v>
      </c>
      <c r="AC97" s="24">
        <f t="shared" si="57"/>
        <v>3.4736675437674451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273.99999999999989</v>
      </c>
      <c r="AJ97" s="14">
        <f>AI97*VLOOKUP('Données projet'!$B$10,Paramètres!$A$1:$I$89,3,0)*VLOOKUP('Données projet'!$B$10,Paramètres!$A$1:$I$89,5,0)</f>
        <v>247.91519999999991</v>
      </c>
      <c r="AK97" s="14">
        <f t="shared" si="89"/>
        <v>60.139294964297406</v>
      </c>
      <c r="AL97" s="22">
        <f t="shared" si="58"/>
        <v>536.52824539615108</v>
      </c>
      <c r="AM97" s="62">
        <f t="shared" si="59"/>
        <v>829.86157872948434</v>
      </c>
      <c r="AN97" s="62">
        <f ca="1">AVERAGE(OFFSET($AM$3,0,0,'Données projet'!$E$10+1,1))-AVERAGE(OFFSET($H$3,0,0,'Données projet'!$E$10+1,1))</f>
        <v>221.11420634571317</v>
      </c>
      <c r="AO97" s="62">
        <f t="shared" si="90"/>
        <v>133.63266168802033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6.3550942286383367E-14</v>
      </c>
      <c r="BF97" s="14">
        <f t="shared" si="91"/>
        <v>1.0064464192543978E-12</v>
      </c>
      <c r="BG97" s="22">
        <f t="shared" si="61"/>
        <v>1.8635787380168604E-12</v>
      </c>
      <c r="BH97" s="62">
        <f t="shared" si="62"/>
        <v>293.33333333333519</v>
      </c>
      <c r="BI97" s="62">
        <f ca="1">AVERAGE(OFFSET($BH$3,0,0,'Données projet'!$E$11+1,1))-AVERAGE(OFFSET($H$3,0,0,'Données projet'!$E$11+1,1))</f>
        <v>277.5990520183687</v>
      </c>
      <c r="BJ97" s="62">
        <f t="shared" si="92"/>
        <v>338.50140415303872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1.4240997863879641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4.9519225532403506E-9</v>
      </c>
      <c r="BS97" s="24">
        <f t="shared" si="63"/>
        <v>1.4240997913398867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-1.7053025658242404E-13</v>
      </c>
      <c r="O98" s="14">
        <f>N98*VLOOKUP('Données projet'!$B$9,Paramètres!$A$1:$I$89,3,0)*VLOOKUP('Données projet'!$B$9,Paramètres!$A$1:$I$89,5,0)</f>
        <v>-1.0197709343628959E-13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131.58904681787436</v>
      </c>
      <c r="T98" s="62">
        <f t="shared" si="88"/>
        <v>208.65872561216122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2.8498785391507826</v>
      </c>
      <c r="AA98" s="23">
        <f>EXP(-LN(2)/25)*AA97+(1-EXP(-LN(2)/25))/(LN(2)/25)*Calculateur!V98*Calculateur!X98*VLOOKUP('Données projet'!$B$9,Paramètres!$A$1:$I$89,3,0)*0.475*44/12</f>
        <v>0.55128802757940465</v>
      </c>
      <c r="AB98" s="23">
        <f>EXP(-LN(2)/2)*AB97+(1-EXP(-LN(2)/2))/(LN(2)/2)*V98*Y98*VLOOKUP('Données projet'!$B$9,Paramètres!$A$1:$I$89,3,0)*0.475*44/12</f>
        <v>2.5133225117890283E-9</v>
      </c>
      <c r="AC98" s="24">
        <f t="shared" si="57"/>
        <v>3.4011665692435096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278.99999999999989</v>
      </c>
      <c r="AJ98" s="14">
        <f>AI98*VLOOKUP('Données projet'!$B$10,Paramètres!$A$1:$I$89,3,0)*VLOOKUP('Données projet'!$B$10,Paramètres!$A$1:$I$89,5,0)</f>
        <v>252.43919999999991</v>
      </c>
      <c r="AK98" s="14">
        <f t="shared" si="89"/>
        <v>61.107963296116218</v>
      </c>
      <c r="AL98" s="22">
        <f t="shared" si="58"/>
        <v>546.09464274073559</v>
      </c>
      <c r="AM98" s="62">
        <f t="shared" si="59"/>
        <v>839.42797607406897</v>
      </c>
      <c r="AN98" s="62">
        <f ca="1">AVERAGE(OFFSET($AM$3,0,0,'Données projet'!$E$10+1,1))-AVERAGE(OFFSET($H$3,0,0,'Données projet'!$E$10+1,1))</f>
        <v>221.11420634571317</v>
      </c>
      <c r="AO98" s="62">
        <f t="shared" si="90"/>
        <v>133.63266168802033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6.3550942286383367E-14</v>
      </c>
      <c r="BF98" s="14">
        <f t="shared" si="91"/>
        <v>1.0064464192543978E-12</v>
      </c>
      <c r="BG98" s="22">
        <f t="shared" si="61"/>
        <v>1.8635787380168604E-12</v>
      </c>
      <c r="BH98" s="62">
        <f t="shared" si="62"/>
        <v>293.33333333333519</v>
      </c>
      <c r="BI98" s="62">
        <f ca="1">AVERAGE(OFFSET($BH$3,0,0,'Données projet'!$E$11+1,1))-AVERAGE(OFFSET($H$3,0,0,'Données projet'!$E$11+1,1))</f>
        <v>277.5990520183687</v>
      </c>
      <c r="BJ98" s="62">
        <f t="shared" si="92"/>
        <v>338.50140415303872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1.3961740581919972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3.5015380173068544E-9</v>
      </c>
      <c r="BS98" s="24">
        <f t="shared" si="63"/>
        <v>1.3961740616935352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-1.7053025658242404E-13</v>
      </c>
      <c r="O99" s="14">
        <f>N99*VLOOKUP('Données projet'!$B$9,Paramètres!$A$1:$I$89,3,0)*VLOOKUP('Données projet'!$B$9,Paramètres!$A$1:$I$89,5,0)</f>
        <v>-1.0197709343628959E-13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131.58904681787436</v>
      </c>
      <c r="T99" s="62">
        <f t="shared" si="88"/>
        <v>208.65872561216122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2.7939941592523061</v>
      </c>
      <c r="AA99" s="23">
        <f>EXP(-LN(2)/25)*AA98+(1-EXP(-LN(2)/25))/(LN(2)/25)*Calculateur!V99*Calculateur!X99*VLOOKUP('Données projet'!$B$9,Paramètres!$A$1:$I$89,3,0)*0.475*44/12</f>
        <v>0.53621302747426847</v>
      </c>
      <c r="AB99" s="23">
        <f>EXP(-LN(2)/2)*AB98+(1-EXP(-LN(2)/2))/(LN(2)/2)*V99*Y99*VLOOKUP('Données projet'!$B$9,Paramètres!$A$1:$I$89,3,0)*0.475*44/12</f>
        <v>1.7771873913948284E-9</v>
      </c>
      <c r="AC99" s="24">
        <f t="shared" si="57"/>
        <v>3.3302071885037616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262.7999999999999</v>
      </c>
      <c r="AJ99" s="14">
        <f>AI99*VLOOKUP('Données projet'!$B$10,Paramètres!$A$1:$I$89,3,0)*VLOOKUP('Données projet'!$B$10,Paramètres!$A$1:$I$89,5,0)</f>
        <v>237.78143999999989</v>
      </c>
      <c r="AK99" s="14">
        <f t="shared" si="89"/>
        <v>57.9619387969109</v>
      </c>
      <c r="AL99" s="22">
        <f t="shared" si="58"/>
        <v>515.08638473795293</v>
      </c>
      <c r="AM99" s="62">
        <f t="shared" si="59"/>
        <v>808.4197180712863</v>
      </c>
      <c r="AN99" s="62">
        <f ca="1">AVERAGE(OFFSET($AM$3,0,0,'Données projet'!$E$10+1,1))-AVERAGE(OFFSET($H$3,0,0,'Données projet'!$E$10+1,1))</f>
        <v>221.11420634571317</v>
      </c>
      <c r="AO99" s="62">
        <f t="shared" si="90"/>
        <v>133.63266168802033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6.3550942286383367E-14</v>
      </c>
      <c r="BF99" s="14">
        <f t="shared" si="91"/>
        <v>1.0064464192543978E-12</v>
      </c>
      <c r="BG99" s="22">
        <f t="shared" si="61"/>
        <v>1.8635787380168604E-12</v>
      </c>
      <c r="BH99" s="62">
        <f t="shared" si="62"/>
        <v>293.33333333333519</v>
      </c>
      <c r="BI99" s="62">
        <f ca="1">AVERAGE(OFFSET($BH$3,0,0,'Données projet'!$E$11+1,1))-AVERAGE(OFFSET($H$3,0,0,'Données projet'!$E$11+1,1))</f>
        <v>277.5990520183687</v>
      </c>
      <c r="BJ99" s="62">
        <f t="shared" si="92"/>
        <v>338.50140415303872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1.368795936492941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2.4759612766201753E-9</v>
      </c>
      <c r="BS99" s="24">
        <f t="shared" si="63"/>
        <v>1.3687959389689022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-1.7053025658242404E-13</v>
      </c>
      <c r="O100" s="14">
        <f>N100*VLOOKUP('Données projet'!$B$9,Paramètres!$A$1:$I$89,3,0)*VLOOKUP('Données projet'!$B$9,Paramètres!$A$1:$I$89,5,0)</f>
        <v>-1.0197709343628959E-13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131.58904681787436</v>
      </c>
      <c r="T100" s="62">
        <f t="shared" si="88"/>
        <v>208.65872561216122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2.7392056379575327</v>
      </c>
      <c r="AA100" s="23">
        <f>EXP(-LN(2)/25)*AA99+(1-EXP(-LN(2)/25))/(LN(2)/25)*Calculateur!V100*Calculateur!X100*VLOOKUP('Données projet'!$B$9,Paramètres!$A$1:$I$89,3,0)*0.475*44/12</f>
        <v>0.52155025403976696</v>
      </c>
      <c r="AB100" s="23">
        <f>EXP(-LN(2)/2)*AB99+(1-EXP(-LN(2)/2))/(LN(2)/2)*V100*Y100*VLOOKUP('Données projet'!$B$9,Paramètres!$A$1:$I$89,3,0)*0.475*44/12</f>
        <v>1.2566612558945141E-9</v>
      </c>
      <c r="AC100" s="24">
        <f t="shared" si="57"/>
        <v>3.2607558932539611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267.59999999999991</v>
      </c>
      <c r="AJ100" s="14">
        <f>AI100*VLOOKUP('Données projet'!$B$10,Paramètres!$A$1:$I$89,3,0)*VLOOKUP('Données projet'!$B$10,Paramètres!$A$1:$I$89,5,0)</f>
        <v>242.12447999999992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817.61134507876181</v>
      </c>
      <c r="AN100" s="62">
        <f ca="1">AVERAGE(OFFSET($AM$3,0,0,'Données projet'!$E$10+1,1))-AVERAGE(OFFSET($H$3,0,0,'Données projet'!$E$10+1,1))</f>
        <v>221.11420634571317</v>
      </c>
      <c r="AO100" s="62">
        <f t="shared" si="90"/>
        <v>133.63266168802033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6.3550942286383367E-14</v>
      </c>
      <c r="BF100" s="14">
        <f t="shared" si="91"/>
        <v>1.0064464192543978E-12</v>
      </c>
      <c r="BG100" s="22">
        <f t="shared" si="61"/>
        <v>1.8635787380168604E-12</v>
      </c>
      <c r="BH100" s="62">
        <f t="shared" si="62"/>
        <v>293.33333333333519</v>
      </c>
      <c r="BI100" s="62">
        <f ca="1">AVERAGE(OFFSET($BH$3,0,0,'Données projet'!$E$11+1,1))-AVERAGE(OFFSET($H$3,0,0,'Données projet'!$E$11+1,1))</f>
        <v>277.5990520183687</v>
      </c>
      <c r="BJ100" s="62">
        <f t="shared" si="92"/>
        <v>338.50140415303872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1.3419546830613978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1.7507690086534272E-9</v>
      </c>
      <c r="BS100" s="24">
        <f t="shared" si="63"/>
        <v>1.3419546848121668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-1.7053025658242404E-13</v>
      </c>
      <c r="O101" s="14">
        <f>N101*VLOOKUP('Données projet'!$B$9,Paramètres!$A$1:$I$89,3,0)*VLOOKUP('Données projet'!$B$9,Paramètres!$A$1:$I$89,5,0)</f>
        <v>-1.0197709343628959E-13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131.58904681787436</v>
      </c>
      <c r="T101" s="62">
        <f t="shared" si="88"/>
        <v>208.65872561216122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2.6854914861476518</v>
      </c>
      <c r="AA101" s="23">
        <f>EXP(-LN(2)/25)*AA100+(1-EXP(-LN(2)/25))/(LN(2)/25)*Calculateur!V101*Calculateur!X101*VLOOKUP('Données projet'!$B$9,Paramètres!$A$1:$I$89,3,0)*0.475*44/12</f>
        <v>0.50728843491591369</v>
      </c>
      <c r="AB101" s="23">
        <f>EXP(-LN(2)/2)*AB100+(1-EXP(-LN(2)/2))/(LN(2)/2)*V101*Y101*VLOOKUP('Données projet'!$B$9,Paramètres!$A$1:$I$89,3,0)*0.475*44/12</f>
        <v>8.8859369569741422E-10</v>
      </c>
      <c r="AC101" s="24">
        <f t="shared" si="57"/>
        <v>3.1927799219521593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272.39999999999992</v>
      </c>
      <c r="AJ101" s="14">
        <f>AI101*VLOOKUP('Données projet'!$B$10,Paramètres!$A$1:$I$89,3,0)*VLOOKUP('Données projet'!$B$10,Paramètres!$A$1:$I$89,5,0)</f>
        <v>246.46751999999989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826.7995773959276</v>
      </c>
      <c r="AN101" s="62">
        <f ca="1">AVERAGE(OFFSET($AM$3,0,0,'Données projet'!$E$10+1,1))-AVERAGE(OFFSET($H$3,0,0,'Données projet'!$E$10+1,1))</f>
        <v>221.11420634571317</v>
      </c>
      <c r="AO101" s="62">
        <f t="shared" si="90"/>
        <v>133.63266168802033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6.3550942286383367E-14</v>
      </c>
      <c r="BF101" s="14">
        <f t="shared" si="91"/>
        <v>1.0064464192543978E-12</v>
      </c>
      <c r="BG101" s="22">
        <f t="shared" si="61"/>
        <v>1.8635787380168604E-12</v>
      </c>
      <c r="BH101" s="62">
        <f t="shared" si="62"/>
        <v>293.33333333333519</v>
      </c>
      <c r="BI101" s="62">
        <f ca="1">AVERAGE(OFFSET($BH$3,0,0,'Données projet'!$E$11+1,1))-AVERAGE(OFFSET($H$3,0,0,'Données projet'!$E$11+1,1))</f>
        <v>277.5990520183687</v>
      </c>
      <c r="BJ101" s="62">
        <f t="shared" si="92"/>
        <v>338.50140415303872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1.3156397702380991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1.2379806383100876E-9</v>
      </c>
      <c r="BS101" s="24">
        <f t="shared" si="63"/>
        <v>1.3156397714760797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-1.7053025658242404E-13</v>
      </c>
      <c r="O102" s="14">
        <f>N102*VLOOKUP('Données projet'!$B$9,Paramètres!$A$1:$I$89,3,0)*VLOOKUP('Données projet'!$B$9,Paramètres!$A$1:$I$89,5,0)</f>
        <v>-1.0197709343628959E-13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131.58904681787436</v>
      </c>
      <c r="T102" s="62">
        <f t="shared" si="88"/>
        <v>208.65872561216122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2.6328306360923648</v>
      </c>
      <c r="AA102" s="23">
        <f>EXP(-LN(2)/25)*AA101+(1-EXP(-LN(2)/25))/(LN(2)/25)*Calculateur!V102*Calculateur!X102*VLOOKUP('Données projet'!$B$9,Paramètres!$A$1:$I$89,3,0)*0.475*44/12</f>
        <v>0.49341660598599868</v>
      </c>
      <c r="AB102" s="23">
        <f>EXP(-LN(2)/2)*AB101+(1-EXP(-LN(2)/2))/(LN(2)/2)*V102*Y102*VLOOKUP('Données projet'!$B$9,Paramètres!$A$1:$I$89,3,0)*0.475*44/12</f>
        <v>6.2833062794725707E-10</v>
      </c>
      <c r="AC102" s="24">
        <f t="shared" si="57"/>
        <v>3.1262472427066941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277.19999999999993</v>
      </c>
      <c r="AJ102" s="14">
        <f>AI102*VLOOKUP('Données projet'!$B$10,Paramètres!$A$1:$I$89,3,0)*VLOOKUP('Données projet'!$B$10,Paramètres!$A$1:$I$89,5,0)</f>
        <v>250.81055999999992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835.98448174248915</v>
      </c>
      <c r="AN102" s="62">
        <f ca="1">AVERAGE(OFFSET($AM$3,0,0,'Données projet'!$E$10+1,1))-AVERAGE(OFFSET($H$3,0,0,'Données projet'!$E$10+1,1))</f>
        <v>221.11420634571317</v>
      </c>
      <c r="AO102" s="62">
        <f t="shared" si="90"/>
        <v>133.63266168802033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6.3550942286383367E-14</v>
      </c>
      <c r="BF102" s="14">
        <f t="shared" si="91"/>
        <v>1.0064464192543978E-12</v>
      </c>
      <c r="BG102" s="22">
        <f t="shared" si="61"/>
        <v>1.8635787380168604E-12</v>
      </c>
      <c r="BH102" s="62">
        <f t="shared" si="62"/>
        <v>293.33333333333519</v>
      </c>
      <c r="BI102" s="62">
        <f ca="1">AVERAGE(OFFSET($BH$3,0,0,'Données projet'!$E$11+1,1))-AVERAGE(OFFSET($H$3,0,0,'Données projet'!$E$11+1,1))</f>
        <v>277.5990520183687</v>
      </c>
      <c r="BJ102" s="62">
        <f t="shared" si="92"/>
        <v>338.50140415303872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1.2898408768047533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8.7538450432671359E-10</v>
      </c>
      <c r="BS102" s="24">
        <f t="shared" si="63"/>
        <v>1.2898408776801378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-1.7053025658242404E-13</v>
      </c>
      <c r="O103" s="14">
        <f>N103*VLOOKUP('Données projet'!$B$9,Paramètres!$A$1:$I$89,3,0)*VLOOKUP('Données projet'!$B$9,Paramètres!$A$1:$I$89,5,0)</f>
        <v>-1.0197709343628959E-13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131.58904681787436</v>
      </c>
      <c r="T103" s="62">
        <f t="shared" si="88"/>
        <v>208.65872561216122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2.5812024331867152</v>
      </c>
      <c r="AA103" s="23">
        <f>EXP(-LN(2)/25)*AA102+(1-EXP(-LN(2)/25))/(LN(2)/25)*Calculateur!V103*Calculateur!X103*VLOOKUP('Données projet'!$B$9,Paramètres!$A$1:$I$89,3,0)*0.475*44/12</f>
        <v>0.47992410294765997</v>
      </c>
      <c r="AB103" s="23">
        <f>EXP(-LN(2)/2)*AB102+(1-EXP(-LN(2)/2))/(LN(2)/2)*V103*Y103*VLOOKUP('Données projet'!$B$9,Paramètres!$A$1:$I$89,3,0)*0.475*44/12</f>
        <v>4.4429684784870711E-10</v>
      </c>
      <c r="AC103" s="24">
        <f t="shared" si="57"/>
        <v>3.061126536578672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281.99999999999994</v>
      </c>
      <c r="AJ103" s="14">
        <f>AI103*VLOOKUP('Données projet'!$B$10,Paramètres!$A$1:$I$89,3,0)*VLOOKUP('Données projet'!$B$10,Paramètres!$A$1:$I$89,5,0)</f>
        <v>255.15359999999993</v>
      </c>
      <c r="AK103" s="14">
        <f t="shared" si="89"/>
        <v>61.688192762754426</v>
      </c>
      <c r="AL103" s="22">
        <f t="shared" si="58"/>
        <v>551.83278906179714</v>
      </c>
      <c r="AM103" s="62">
        <f t="shared" si="59"/>
        <v>845.16612239513051</v>
      </c>
      <c r="AN103" s="62">
        <f ca="1">AVERAGE(OFFSET($AM$3,0,0,'Données projet'!$E$10+1,1))-AVERAGE(OFFSET($H$3,0,0,'Données projet'!$E$10+1,1))</f>
        <v>221.11420634571317</v>
      </c>
      <c r="AO103" s="62">
        <f t="shared" si="90"/>
        <v>133.63266168802033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6.3550942286383367E-14</v>
      </c>
      <c r="BF103" s="14">
        <f t="shared" si="91"/>
        <v>1.0064464192543978E-12</v>
      </c>
      <c r="BG103" s="22">
        <f t="shared" si="61"/>
        <v>1.8635787380168604E-12</v>
      </c>
      <c r="BH103" s="62">
        <f t="shared" si="62"/>
        <v>293.33333333333519</v>
      </c>
      <c r="BI103" s="62">
        <f ca="1">AVERAGE(OFFSET($BH$3,0,0,'Données projet'!$E$11+1,1))-AVERAGE(OFFSET($H$3,0,0,'Données projet'!$E$11+1,1))</f>
        <v>277.5990520183687</v>
      </c>
      <c r="BJ103" s="62">
        <f t="shared" si="92"/>
        <v>338.50140415303872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1.2645478839358644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6.1899031915504382E-10</v>
      </c>
      <c r="BS103" s="24">
        <f t="shared" si="63"/>
        <v>1.2645478845548548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-1.7053025658242404E-13</v>
      </c>
      <c r="O104" s="14">
        <f>N104*VLOOKUP('Données projet'!$B$9,Paramètres!$A$1:$I$89,3,0)*VLOOKUP('Données projet'!$B$9,Paramètres!$A$1:$I$89,5,0)</f>
        <v>-1.0197709343628959E-13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131.58904681787436</v>
      </c>
      <c r="T104" s="62">
        <f t="shared" si="88"/>
        <v>208.65872561216122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2.5305866278499511</v>
      </c>
      <c r="AA104" s="23">
        <f>EXP(-LN(2)/25)*AA103+(1-EXP(-LN(2)/25))/(LN(2)/25)*Calculateur!V104*Calculateur!X104*VLOOKUP('Données projet'!$B$9,Paramètres!$A$1:$I$89,3,0)*0.475*44/12</f>
        <v>0.46680055311444452</v>
      </c>
      <c r="AB104" s="23">
        <f>EXP(-LN(2)/2)*AB103+(1-EXP(-LN(2)/2))/(LN(2)/2)*V104*Y104*VLOOKUP('Données projet'!$B$9,Paramètres!$A$1:$I$89,3,0)*0.475*44/12</f>
        <v>3.1416531397362853E-10</v>
      </c>
      <c r="AC104" s="24">
        <f t="shared" si="57"/>
        <v>2.9973871812785609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265.59999999999997</v>
      </c>
      <c r="AJ104" s="14">
        <f>AI104*VLOOKUP('Données projet'!$B$10,Paramètres!$A$1:$I$89,3,0)*VLOOKUP('Données projet'!$B$10,Paramètres!$A$1:$I$89,5,0)</f>
        <v>240.31487999999996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813.78191695834039</v>
      </c>
      <c r="AN104" s="62">
        <f ca="1">AVERAGE(OFFSET($AM$3,0,0,'Données projet'!$E$10+1,1))-AVERAGE(OFFSET($H$3,0,0,'Données projet'!$E$10+1,1))</f>
        <v>221.11420634571317</v>
      </c>
      <c r="AO104" s="62">
        <f t="shared" si="90"/>
        <v>133.63266168802033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6.3550942286383367E-14</v>
      </c>
      <c r="BF104" s="14">
        <f t="shared" si="91"/>
        <v>1.0064464192543978E-12</v>
      </c>
      <c r="BG104" s="22">
        <f t="shared" si="61"/>
        <v>1.8635787380168604E-12</v>
      </c>
      <c r="BH104" s="62">
        <f t="shared" si="62"/>
        <v>293.33333333333519</v>
      </c>
      <c r="BI104" s="62">
        <f ca="1">AVERAGE(OFFSET($BH$3,0,0,'Données projet'!$E$11+1,1))-AVERAGE(OFFSET($H$3,0,0,'Données projet'!$E$11+1,1))</f>
        <v>277.5990520183687</v>
      </c>
      <c r="BJ104" s="62">
        <f t="shared" si="92"/>
        <v>338.50140415303872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1.2397508712299319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4.3769225216335679E-10</v>
      </c>
      <c r="BS104" s="24">
        <f t="shared" si="63"/>
        <v>1.2397508716676242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-1.7053025658242404E-13</v>
      </c>
      <c r="O105" s="14">
        <f>N105*VLOOKUP('Données projet'!$B$9,Paramètres!$A$1:$I$89,3,0)*VLOOKUP('Données projet'!$B$9,Paramètres!$A$1:$I$89,5,0)</f>
        <v>-1.0197709343628959E-13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131.58904681787436</v>
      </c>
      <c r="T105" s="62">
        <f t="shared" si="88"/>
        <v>208.65872561216122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2.4809633675832479</v>
      </c>
      <c r="AA105" s="23">
        <f>EXP(-LN(2)/25)*AA104+(1-EXP(-LN(2)/25))/(LN(2)/25)*Calculateur!V105*Calculateur!X105*VLOOKUP('Données projet'!$B$9,Paramètres!$A$1:$I$89,3,0)*0.475*44/12</f>
        <v>0.45403586744155583</v>
      </c>
      <c r="AB105" s="23">
        <f>EXP(-LN(2)/2)*AB104+(1-EXP(-LN(2)/2))/(LN(2)/2)*V105*Y105*VLOOKUP('Données projet'!$B$9,Paramètres!$A$1:$I$89,3,0)*0.475*44/12</f>
        <v>2.2214842392435356E-10</v>
      </c>
      <c r="AC105" s="24">
        <f t="shared" si="57"/>
        <v>2.9349992352469521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270.2</v>
      </c>
      <c r="AJ105" s="14">
        <f>AI105*VLOOKUP('Données projet'!$B$10,Paramètres!$A$1:$I$89,3,0)*VLOOKUP('Données projet'!$B$10,Paramètres!$A$1:$I$89,5,0)</f>
        <v>244.47695999999996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822.58872132565784</v>
      </c>
      <c r="AN105" s="62">
        <f ca="1">AVERAGE(OFFSET($AM$3,0,0,'Données projet'!$E$10+1,1))-AVERAGE(OFFSET($H$3,0,0,'Données projet'!$E$10+1,1))</f>
        <v>221.11420634571317</v>
      </c>
      <c r="AO105" s="62">
        <f t="shared" si="90"/>
        <v>133.63266168802033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6.3550942286383367E-14</v>
      </c>
      <c r="BF105" s="14">
        <f t="shared" si="91"/>
        <v>1.0064464192543978E-12</v>
      </c>
      <c r="BG105" s="22">
        <f t="shared" si="61"/>
        <v>1.8635787380168604E-12</v>
      </c>
      <c r="BH105" s="62">
        <f t="shared" si="62"/>
        <v>293.33333333333519</v>
      </c>
      <c r="BI105" s="62">
        <f ca="1">AVERAGE(OFFSET($BH$3,0,0,'Données projet'!$E$11+1,1))-AVERAGE(OFFSET($H$3,0,0,'Données projet'!$E$11+1,1))</f>
        <v>277.5990520183687</v>
      </c>
      <c r="BJ105" s="62">
        <f t="shared" si="92"/>
        <v>338.50140415303872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1.2154401128184784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3.0949515957752191E-10</v>
      </c>
      <c r="BS105" s="24">
        <f t="shared" si="63"/>
        <v>1.2154401131279735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-1.7053025658242404E-13</v>
      </c>
      <c r="O106" s="14">
        <f>N106*VLOOKUP('Données projet'!$B$9,Paramètres!$A$1:$I$89,3,0)*VLOOKUP('Données projet'!$B$9,Paramètres!$A$1:$I$89,5,0)</f>
        <v>-1.0197709343628959E-13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131.58904681787436</v>
      </c>
      <c r="T106" s="62">
        <f t="shared" si="88"/>
        <v>208.65872561216122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2.4323131891831746</v>
      </c>
      <c r="AA106" s="23">
        <f>EXP(-LN(2)/25)*AA105+(1-EXP(-LN(2)/25))/(LN(2)/25)*Calculateur!V106*Calculateur!X106*VLOOKUP('Données projet'!$B$9,Paramètres!$A$1:$I$89,3,0)*0.475*44/12</f>
        <v>0.44162023276965795</v>
      </c>
      <c r="AB106" s="23">
        <f>EXP(-LN(2)/2)*AB105+(1-EXP(-LN(2)/2))/(LN(2)/2)*V106*Y106*VLOOKUP('Données projet'!$B$9,Paramètres!$A$1:$I$89,3,0)*0.475*44/12</f>
        <v>1.5708265698681427E-10</v>
      </c>
      <c r="AC106" s="24">
        <f t="shared" si="57"/>
        <v>2.8739334221099155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274.8</v>
      </c>
      <c r="AJ106" s="14">
        <f>AI106*VLOOKUP('Données projet'!$B$10,Paramètres!$A$1:$I$89,3,0)*VLOOKUP('Données projet'!$B$10,Paramètres!$A$1:$I$89,5,0)</f>
        <v>248.63903999999999</v>
      </c>
      <c r="AK106" s="14">
        <f t="shared" si="89"/>
        <v>60.294419230169972</v>
      </c>
      <c r="AL106" s="22">
        <f t="shared" si="58"/>
        <v>538.05910815921266</v>
      </c>
      <c r="AM106" s="62">
        <f t="shared" si="59"/>
        <v>831.39244149254591</v>
      </c>
      <c r="AN106" s="62">
        <f ca="1">AVERAGE(OFFSET($AM$3,0,0,'Données projet'!$E$10+1,1))-AVERAGE(OFFSET($H$3,0,0,'Données projet'!$E$10+1,1))</f>
        <v>221.11420634571317</v>
      </c>
      <c r="AO106" s="62">
        <f t="shared" si="90"/>
        <v>133.63266168802033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6.3550942286383367E-14</v>
      </c>
      <c r="BF106" s="14">
        <f t="shared" si="91"/>
        <v>1.0064464192543978E-12</v>
      </c>
      <c r="BG106" s="22">
        <f t="shared" si="61"/>
        <v>1.8635787380168604E-12</v>
      </c>
      <c r="BH106" s="62">
        <f t="shared" si="62"/>
        <v>293.33333333333519</v>
      </c>
      <c r="BI106" s="62">
        <f ca="1">AVERAGE(OFFSET($BH$3,0,0,'Données projet'!$E$11+1,1))-AVERAGE(OFFSET($H$3,0,0,'Données projet'!$E$11+1,1))</f>
        <v>277.5990520183687</v>
      </c>
      <c r="BJ106" s="62">
        <f t="shared" si="92"/>
        <v>338.50140415303872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1.1916060735513752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2.188461260816784E-10</v>
      </c>
      <c r="BS106" s="24">
        <f t="shared" si="63"/>
        <v>1.1916060737702212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-1.7053025658242404E-13</v>
      </c>
      <c r="O107" s="14">
        <f>N107*VLOOKUP('Données projet'!$B$9,Paramètres!$A$1:$I$89,3,0)*VLOOKUP('Données projet'!$B$9,Paramètres!$A$1:$I$89,5,0)</f>
        <v>-1.0197709343628959E-13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131.58904681787436</v>
      </c>
      <c r="T107" s="62">
        <f t="shared" si="88"/>
        <v>208.65872561216122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2.384617011107848</v>
      </c>
      <c r="AA107" s="23">
        <f>EXP(-LN(2)/25)*AA106+(1-EXP(-LN(2)/25))/(LN(2)/25)*Calculateur!V107*Calculateur!X107*VLOOKUP('Données projet'!$B$9,Paramètres!$A$1:$I$89,3,0)*0.475*44/12</f>
        <v>0.42954410428077294</v>
      </c>
      <c r="AB107" s="23">
        <f>EXP(-LN(2)/2)*AB106+(1-EXP(-LN(2)/2))/(LN(2)/2)*V107*Y107*VLOOKUP('Données projet'!$B$9,Paramètres!$A$1:$I$89,3,0)*0.475*44/12</f>
        <v>1.1107421196217678E-10</v>
      </c>
      <c r="AC107" s="24">
        <f t="shared" si="57"/>
        <v>2.8141611154996951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279.40000000000003</v>
      </c>
      <c r="AJ107" s="14">
        <f>AI107*VLOOKUP('Données projet'!$B$10,Paramètres!$A$1:$I$89,3,0)*VLOOKUP('Données projet'!$B$10,Paramètres!$A$1:$I$89,5,0)</f>
        <v>252.80112000000005</v>
      </c>
      <c r="AK107" s="14">
        <f t="shared" si="89"/>
        <v>61.185369021394266</v>
      </c>
      <c r="AL107" s="22">
        <f t="shared" si="58"/>
        <v>546.85980171226174</v>
      </c>
      <c r="AM107" s="62">
        <f t="shared" si="59"/>
        <v>840.193135045595</v>
      </c>
      <c r="AN107" s="62">
        <f ca="1">AVERAGE(OFFSET($AM$3,0,0,'Données projet'!$E$10+1,1))-AVERAGE(OFFSET($H$3,0,0,'Données projet'!$E$10+1,1))</f>
        <v>221.11420634571317</v>
      </c>
      <c r="AO107" s="62">
        <f t="shared" si="90"/>
        <v>133.63266168802033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6.3550942286383367E-14</v>
      </c>
      <c r="BF107" s="14">
        <f t="shared" si="91"/>
        <v>1.0064464192543978E-12</v>
      </c>
      <c r="BG107" s="22">
        <f t="shared" si="61"/>
        <v>1.8635787380168604E-12</v>
      </c>
      <c r="BH107" s="62">
        <f t="shared" si="62"/>
        <v>293.33333333333519</v>
      </c>
      <c r="BI107" s="62">
        <f ca="1">AVERAGE(OFFSET($BH$3,0,0,'Données projet'!$E$11+1,1))-AVERAGE(OFFSET($H$3,0,0,'Données projet'!$E$11+1,1))</f>
        <v>277.5990520183687</v>
      </c>
      <c r="BJ107" s="62">
        <f t="shared" si="92"/>
        <v>338.50140415303872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1.1682394052569713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1.5474757978876096E-10</v>
      </c>
      <c r="BS107" s="24">
        <f t="shared" si="63"/>
        <v>1.1682394054117189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-1.7053025658242404E-13</v>
      </c>
      <c r="O108" s="14">
        <f>N108*VLOOKUP('Données projet'!$B$9,Paramètres!$A$1:$I$89,3,0)*VLOOKUP('Données projet'!$B$9,Paramètres!$A$1:$I$89,5,0)</f>
        <v>-1.0197709343628959E-13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131.58904681787436</v>
      </c>
      <c r="T108" s="62">
        <f t="shared" si="88"/>
        <v>208.65872561216122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2.3378561259927824</v>
      </c>
      <c r="AA108" s="23">
        <f>EXP(-LN(2)/25)*AA107+(1-EXP(-LN(2)/25))/(LN(2)/25)*Calculateur!V108*Calculateur!X108*VLOOKUP('Données projet'!$B$9,Paramètres!$A$1:$I$89,3,0)*0.475*44/12</f>
        <v>0.41779819816047248</v>
      </c>
      <c r="AB108" s="23">
        <f>EXP(-LN(2)/2)*AB107+(1-EXP(-LN(2)/2))/(LN(2)/2)*V108*Y108*VLOOKUP('Données projet'!$B$9,Paramètres!$A$1:$I$89,3,0)*0.475*44/12</f>
        <v>7.8541328493407133E-11</v>
      </c>
      <c r="AC108" s="24">
        <f t="shared" si="57"/>
        <v>2.7556543242317959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284.00000000000006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848.99085756649288</v>
      </c>
      <c r="AN108" s="62">
        <f ca="1">AVERAGE(OFFSET($AM$3,0,0,'Données projet'!$E$10+1,1))-AVERAGE(OFFSET($H$3,0,0,'Données projet'!$E$10+1,1))</f>
        <v>221.11420634571317</v>
      </c>
      <c r="AO108" s="62">
        <f t="shared" si="90"/>
        <v>133.63266168802033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6.3550942286383367E-14</v>
      </c>
      <c r="BF108" s="14">
        <f t="shared" si="91"/>
        <v>1.0064464192543978E-12</v>
      </c>
      <c r="BG108" s="22">
        <f t="shared" si="61"/>
        <v>1.8635787380168604E-12</v>
      </c>
      <c r="BH108" s="62">
        <f t="shared" si="62"/>
        <v>293.33333333333519</v>
      </c>
      <c r="BI108" s="62">
        <f ca="1">AVERAGE(OFFSET($BH$3,0,0,'Données projet'!$E$11+1,1))-AVERAGE(OFFSET($H$3,0,0,'Données projet'!$E$11+1,1))</f>
        <v>277.5990520183687</v>
      </c>
      <c r="BJ108" s="62">
        <f t="shared" si="92"/>
        <v>338.50140415303872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1.1453309430755603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1.094230630408392E-10</v>
      </c>
      <c r="BS108" s="24">
        <f t="shared" si="63"/>
        <v>1.1453309431849834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-1.7053025658242404E-13</v>
      </c>
      <c r="O109" s="14">
        <f>N109*VLOOKUP('Données projet'!$B$9,Paramètres!$A$1:$I$89,3,0)*VLOOKUP('Données projet'!$B$9,Paramètres!$A$1:$I$89,5,0)</f>
        <v>-1.0197709343628959E-13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131.58904681787436</v>
      </c>
      <c r="T109" s="62">
        <f t="shared" si="88"/>
        <v>208.65872561216122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2.2920121933134996</v>
      </c>
      <c r="AA109" s="23">
        <f>EXP(-LN(2)/25)*AA108+(1-EXP(-LN(2)/25))/(LN(2)/25)*Calculateur!V109*Calculateur!X109*VLOOKUP('Données projet'!$B$9,Paramètres!$A$1:$I$89,3,0)*0.475*44/12</f>
        <v>0.40637348446072202</v>
      </c>
      <c r="AB109" s="23">
        <f>EXP(-LN(2)/2)*AB108+(1-EXP(-LN(2)/2))/(LN(2)/2)*V109*Y109*VLOOKUP('Données projet'!$B$9,Paramètres!$A$1:$I$89,3,0)*0.475*44/12</f>
        <v>5.5537105981088389E-11</v>
      </c>
      <c r="AC109" s="24">
        <f t="shared" si="57"/>
        <v>2.6983856778297586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268.20000000000005</v>
      </c>
      <c r="AJ109" s="14">
        <f>AI109*VLOOKUP('Données projet'!$B$10,Paramètres!$A$1:$I$89,3,0)*VLOOKUP('Données projet'!$B$10,Paramètres!$A$1:$I$89,5,0)</f>
        <v>242.66736000000003</v>
      </c>
      <c r="AK109" s="14">
        <f t="shared" si="89"/>
        <v>59.013056290731797</v>
      </c>
      <c r="AL109" s="22">
        <f t="shared" si="58"/>
        <v>525.42672503969129</v>
      </c>
      <c r="AM109" s="62">
        <f t="shared" si="59"/>
        <v>818.76005837302455</v>
      </c>
      <c r="AN109" s="62">
        <f ca="1">AVERAGE(OFFSET($AM$3,0,0,'Données projet'!$E$10+1,1))-AVERAGE(OFFSET($H$3,0,0,'Données projet'!$E$10+1,1))</f>
        <v>221.11420634571317</v>
      </c>
      <c r="AO109" s="62">
        <f t="shared" si="90"/>
        <v>133.63266168802033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6.3550942286383367E-14</v>
      </c>
      <c r="BF109" s="14">
        <f t="shared" si="91"/>
        <v>1.0064464192543978E-12</v>
      </c>
      <c r="BG109" s="22">
        <f t="shared" si="61"/>
        <v>1.8635787380168604E-12</v>
      </c>
      <c r="BH109" s="62">
        <f t="shared" si="62"/>
        <v>293.33333333333519</v>
      </c>
      <c r="BI109" s="62">
        <f ca="1">AVERAGE(OFFSET($BH$3,0,0,'Données projet'!$E$11+1,1))-AVERAGE(OFFSET($H$3,0,0,'Données projet'!$E$11+1,1))</f>
        <v>277.5990520183687</v>
      </c>
      <c r="BJ109" s="62">
        <f t="shared" si="92"/>
        <v>338.50140415303872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1.1228717018647445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7.7373789894380478E-11</v>
      </c>
      <c r="BS109" s="24">
        <f t="shared" si="63"/>
        <v>1.1228717019421184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-1.7053025658242404E-13</v>
      </c>
      <c r="O110" s="14">
        <f>N110*VLOOKUP('Données projet'!$B$9,Paramètres!$A$1:$I$89,3,0)*VLOOKUP('Données projet'!$B$9,Paramètres!$A$1:$I$89,5,0)</f>
        <v>-1.0197709343628959E-13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131.58904681787436</v>
      </c>
      <c r="T110" s="62">
        <f t="shared" si="88"/>
        <v>208.65872561216122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2.2470672321920198</v>
      </c>
      <c r="AA110" s="23">
        <f>EXP(-LN(2)/25)*AA109+(1-EXP(-LN(2)/25))/(LN(2)/25)*Calculateur!V110*Calculateur!X110*VLOOKUP('Données projet'!$B$9,Paramètres!$A$1:$I$89,3,0)*0.475*44/12</f>
        <v>0.3952611801578908</v>
      </c>
      <c r="AB110" s="23">
        <f>EXP(-LN(2)/2)*AB109+(1-EXP(-LN(2)/2))/(LN(2)/2)*V110*Y110*VLOOKUP('Données projet'!$B$9,Paramètres!$A$1:$I$89,3,0)*0.475*44/12</f>
        <v>3.9270664246703567E-11</v>
      </c>
      <c r="AC110" s="24">
        <f t="shared" si="57"/>
        <v>2.6423284123891815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272.40000000000003</v>
      </c>
      <c r="AJ110" s="14">
        <f>AI110*VLOOKUP('Données projet'!$B$10,Paramètres!$A$1:$I$89,3,0)*VLOOKUP('Données projet'!$B$10,Paramètres!$A$1:$I$89,5,0)</f>
        <v>246.46752000000004</v>
      </c>
      <c r="AK110" s="14">
        <f t="shared" si="89"/>
        <v>59.828888074217033</v>
      </c>
      <c r="AL110" s="22">
        <f t="shared" si="58"/>
        <v>533.46624406259468</v>
      </c>
      <c r="AM110" s="62">
        <f t="shared" si="59"/>
        <v>826.79957739592805</v>
      </c>
      <c r="AN110" s="62">
        <f ca="1">AVERAGE(OFFSET($AM$3,0,0,'Données projet'!$E$10+1,1))-AVERAGE(OFFSET($H$3,0,0,'Données projet'!$E$10+1,1))</f>
        <v>221.11420634571317</v>
      </c>
      <c r="AO110" s="62">
        <f t="shared" si="90"/>
        <v>133.63266168802033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6.3550942286383367E-14</v>
      </c>
      <c r="BF110" s="14">
        <f t="shared" si="91"/>
        <v>1.0064464192543978E-12</v>
      </c>
      <c r="BG110" s="22">
        <f t="shared" si="61"/>
        <v>1.8635787380168604E-12</v>
      </c>
      <c r="BH110" s="62">
        <f t="shared" si="62"/>
        <v>293.33333333333519</v>
      </c>
      <c r="BI110" s="62">
        <f ca="1">AVERAGE(OFFSET($BH$3,0,0,'Données projet'!$E$11+1,1))-AVERAGE(OFFSET($H$3,0,0,'Données projet'!$E$11+1,1))</f>
        <v>277.5990520183687</v>
      </c>
      <c r="BJ110" s="62">
        <f t="shared" si="92"/>
        <v>338.50140415303872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1.1008528726752882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5.4711531520419599E-11</v>
      </c>
      <c r="BS110" s="24">
        <f t="shared" si="63"/>
        <v>1.1008528727299998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-1.7053025658242404E-13</v>
      </c>
      <c r="O111" s="14">
        <f>N111*VLOOKUP('Données projet'!$B$9,Paramètres!$A$1:$I$89,3,0)*VLOOKUP('Données projet'!$B$9,Paramètres!$A$1:$I$89,5,0)</f>
        <v>-1.0197709343628959E-13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131.58904681787436</v>
      </c>
      <c r="T111" s="62">
        <f t="shared" si="88"/>
        <v>208.65872561216122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2.2030036143444129</v>
      </c>
      <c r="AA111" s="23">
        <f>EXP(-LN(2)/25)*AA110+(1-EXP(-LN(2)/25))/(LN(2)/25)*Calculateur!V111*Calculateur!X111*VLOOKUP('Données projet'!$B$9,Paramètres!$A$1:$I$89,3,0)*0.475*44/12</f>
        <v>0.38445274240059119</v>
      </c>
      <c r="AB111" s="23">
        <f>EXP(-LN(2)/2)*AB110+(1-EXP(-LN(2)/2))/(LN(2)/2)*V111*Y111*VLOOKUP('Données projet'!$B$9,Paramètres!$A$1:$I$89,3,0)*0.475*44/12</f>
        <v>2.7768552990544194E-11</v>
      </c>
      <c r="AC111" s="24">
        <f t="shared" si="57"/>
        <v>2.5874563567727726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276.60000000000002</v>
      </c>
      <c r="AJ111" s="14">
        <f>AI111*VLOOKUP('Données projet'!$B$10,Paramètres!$A$1:$I$89,3,0)*VLOOKUP('Données projet'!$B$10,Paramètres!$A$1:$I$89,5,0)</f>
        <v>250.26768000000001</v>
      </c>
      <c r="AK111" s="14">
        <f t="shared" si="89"/>
        <v>60.643256925083442</v>
      </c>
      <c r="AL111" s="22">
        <f t="shared" si="58"/>
        <v>541.50321514452025</v>
      </c>
      <c r="AM111" s="62">
        <f t="shared" si="59"/>
        <v>834.83654847785351</v>
      </c>
      <c r="AN111" s="62">
        <f ca="1">AVERAGE(OFFSET($AM$3,0,0,'Données projet'!$E$10+1,1))-AVERAGE(OFFSET($H$3,0,0,'Données projet'!$E$10+1,1))</f>
        <v>221.11420634571317</v>
      </c>
      <c r="AO111" s="62">
        <f t="shared" si="90"/>
        <v>133.63266168802033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6.3550942286383367E-14</v>
      </c>
      <c r="BF111" s="14">
        <f t="shared" si="91"/>
        <v>1.0064464192543978E-12</v>
      </c>
      <c r="BG111" s="22">
        <f t="shared" si="61"/>
        <v>1.8635787380168604E-12</v>
      </c>
      <c r="BH111" s="62">
        <f t="shared" si="62"/>
        <v>293.33333333333519</v>
      </c>
      <c r="BI111" s="62">
        <f ca="1">AVERAGE(OFFSET($BH$3,0,0,'Données projet'!$E$11+1,1))-AVERAGE(OFFSET($H$3,0,0,'Données projet'!$E$11+1,1))</f>
        <v>277.5990520183687</v>
      </c>
      <c r="BJ111" s="62">
        <f t="shared" si="92"/>
        <v>338.50140415303872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1.0792658192960776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3.8686894947190239E-11</v>
      </c>
      <c r="BS111" s="24">
        <f t="shared" si="63"/>
        <v>1.0792658193347644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-1.7053025658242404E-13</v>
      </c>
      <c r="O112" s="14">
        <f>N112*VLOOKUP('Données projet'!$B$9,Paramètres!$A$1:$I$89,3,0)*VLOOKUP('Données projet'!$B$9,Paramètres!$A$1:$I$89,5,0)</f>
        <v>-1.0197709343628959E-13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131.58904681787436</v>
      </c>
      <c r="T112" s="62">
        <f t="shared" si="88"/>
        <v>208.65872561216122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2.1598040571666446</v>
      </c>
      <c r="AA112" s="23">
        <f>EXP(-LN(2)/25)*AA111+(1-EXP(-LN(2)/25))/(LN(2)/25)*Calculateur!V112*Calculateur!X112*VLOOKUP('Données projet'!$B$9,Paramètres!$A$1:$I$89,3,0)*0.475*44/12</f>
        <v>0.37393986194215595</v>
      </c>
      <c r="AB112" s="23">
        <f>EXP(-LN(2)/2)*AB111+(1-EXP(-LN(2)/2))/(LN(2)/2)*V112*Y112*VLOOKUP('Données projet'!$B$9,Paramètres!$A$1:$I$89,3,0)*0.475*44/12</f>
        <v>1.9635332123351783E-11</v>
      </c>
      <c r="AC112" s="24">
        <f t="shared" si="57"/>
        <v>2.5337439191284359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280.8</v>
      </c>
      <c r="AJ112" s="14">
        <f>AI112*VLOOKUP('Données projet'!$B$10,Paramètres!$A$1:$I$89,3,0)*VLOOKUP('Données projet'!$B$10,Paramètres!$A$1:$I$89,5,0)</f>
        <v>254.06784000000002</v>
      </c>
      <c r="AK112" s="14">
        <f t="shared" si="89"/>
        <v>61.456187622750775</v>
      </c>
      <c r="AL112" s="22">
        <f t="shared" si="58"/>
        <v>549.53768144295771</v>
      </c>
      <c r="AM112" s="62">
        <f t="shared" si="59"/>
        <v>842.87101477629108</v>
      </c>
      <c r="AN112" s="62">
        <f ca="1">AVERAGE(OFFSET($AM$3,0,0,'Données projet'!$E$10+1,1))-AVERAGE(OFFSET($H$3,0,0,'Données projet'!$E$10+1,1))</f>
        <v>221.11420634571317</v>
      </c>
      <c r="AO112" s="62">
        <f t="shared" si="90"/>
        <v>133.63266168802033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6.3550942286383367E-14</v>
      </c>
      <c r="BF112" s="14">
        <f t="shared" si="91"/>
        <v>1.0064464192543978E-12</v>
      </c>
      <c r="BG112" s="22">
        <f t="shared" si="61"/>
        <v>1.8635787380168604E-12</v>
      </c>
      <c r="BH112" s="62">
        <f t="shared" si="62"/>
        <v>293.33333333333519</v>
      </c>
      <c r="BI112" s="62">
        <f ca="1">AVERAGE(OFFSET($BH$3,0,0,'Données projet'!$E$11+1,1))-AVERAGE(OFFSET($H$3,0,0,'Données projet'!$E$11+1,1))</f>
        <v>277.5990520183687</v>
      </c>
      <c r="BJ112" s="62">
        <f t="shared" si="92"/>
        <v>338.50140415303872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1.0581020748668308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2.73557657602098E-11</v>
      </c>
      <c r="BS112" s="24">
        <f t="shared" si="63"/>
        <v>1.0581020748941865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-1.7053025658242404E-13</v>
      </c>
      <c r="O113" s="14">
        <f>N113*VLOOKUP('Données projet'!$B$9,Paramètres!$A$1:$I$89,3,0)*VLOOKUP('Données projet'!$B$9,Paramètres!$A$1:$I$89,5,0)</f>
        <v>-1.0197709343628959E-13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131.58904681787436</v>
      </c>
      <c r="T113" s="62">
        <f t="shared" si="88"/>
        <v>208.65872561216122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2.117451616956004</v>
      </c>
      <c r="AA113" s="23">
        <f>EXP(-LN(2)/25)*AA112+(1-EXP(-LN(2)/25))/(LN(2)/25)*Calculateur!V113*Calculateur!X113*VLOOKUP('Données projet'!$B$9,Paramètres!$A$1:$I$89,3,0)*0.475*44/12</f>
        <v>0.36371445675270503</v>
      </c>
      <c r="AB113" s="23">
        <f>EXP(-LN(2)/2)*AB112+(1-EXP(-LN(2)/2))/(LN(2)/2)*V113*Y113*VLOOKUP('Données projet'!$B$9,Paramètres!$A$1:$I$89,3,0)*0.475*44/12</f>
        <v>1.3884276495272097E-11</v>
      </c>
      <c r="AC113" s="24">
        <f t="shared" si="57"/>
        <v>2.4811660737225933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285</v>
      </c>
      <c r="AJ113" s="14">
        <f>AI113*VLOOKUP('Données projet'!$B$10,Paramètres!$A$1:$I$89,3,0)*VLOOKUP('Données projet'!$B$10,Paramètres!$A$1:$I$89,5,0)</f>
        <v>257.86799999999999</v>
      </c>
      <c r="AK113" s="14">
        <f t="shared" si="89"/>
        <v>62.267704162827528</v>
      </c>
      <c r="AL113" s="22">
        <f t="shared" si="58"/>
        <v>557.56968475025803</v>
      </c>
      <c r="AM113" s="62">
        <f t="shared" si="59"/>
        <v>850.90301808359141</v>
      </c>
      <c r="AN113" s="62">
        <f ca="1">AVERAGE(OFFSET($AM$3,0,0,'Données projet'!$E$10+1,1))-AVERAGE(OFFSET($H$3,0,0,'Données projet'!$E$10+1,1))</f>
        <v>221.11420634571317</v>
      </c>
      <c r="AO113" s="62">
        <f t="shared" si="90"/>
        <v>133.63266168802033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6.3550942286383367E-14</v>
      </c>
      <c r="BF113" s="14">
        <f t="shared" si="91"/>
        <v>1.0064464192543978E-12</v>
      </c>
      <c r="BG113" s="22">
        <f t="shared" si="61"/>
        <v>1.8635787380168604E-12</v>
      </c>
      <c r="BH113" s="62">
        <f t="shared" si="62"/>
        <v>293.33333333333519</v>
      </c>
      <c r="BI113" s="62">
        <f ca="1">AVERAGE(OFFSET($BH$3,0,0,'Données projet'!$E$11+1,1))-AVERAGE(OFFSET($H$3,0,0,'Données projet'!$E$11+1,1))</f>
        <v>277.5990520183687</v>
      </c>
      <c r="BJ113" s="62">
        <f t="shared" si="92"/>
        <v>338.50140415303872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1.0373533385572322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1.9343447473595119E-11</v>
      </c>
      <c r="BS113" s="24">
        <f t="shared" si="63"/>
        <v>1.0373533385765756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-1.7053025658242404E-13</v>
      </c>
      <c r="O114" s="14">
        <f>N114*VLOOKUP('Données projet'!$B$9,Paramètres!$A$1:$I$89,3,0)*VLOOKUP('Données projet'!$B$9,Paramètres!$A$1:$I$89,5,0)</f>
        <v>-1.0197709343628959E-13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131.58904681787436</v>
      </c>
      <c r="T114" s="62">
        <f t="shared" si="88"/>
        <v>208.65872561216122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2.0759296822654565</v>
      </c>
      <c r="AA114" s="23">
        <f>EXP(-LN(2)/25)*AA113+(1-EXP(-LN(2)/25))/(LN(2)/25)*Calculateur!V114*Calculateur!X114*VLOOKUP('Données projet'!$B$9,Paramètres!$A$1:$I$89,3,0)*0.475*44/12</f>
        <v>0.35376866580589034</v>
      </c>
      <c r="AB114" s="23">
        <f>EXP(-LN(2)/2)*AB113+(1-EXP(-LN(2)/2))/(LN(2)/2)*V114*Y114*VLOOKUP('Données projet'!$B$9,Paramètres!$A$1:$I$89,3,0)*0.475*44/12</f>
        <v>9.8176660616758917E-12</v>
      </c>
      <c r="AC114" s="24">
        <f t="shared" si="57"/>
        <v>2.4296983480811645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269.8</v>
      </c>
      <c r="AJ114" s="14">
        <f>AI114*VLOOKUP('Données projet'!$B$10,Paramètres!$A$1:$I$89,3,0)*VLOOKUP('Données projet'!$B$10,Paramètres!$A$1:$I$89,5,0)</f>
        <v>244.11504000000002</v>
      </c>
      <c r="AK114" s="14">
        <f t="shared" si="89"/>
        <v>59.324023461759062</v>
      </c>
      <c r="AL114" s="22">
        <f t="shared" si="58"/>
        <v>528.48970219589705</v>
      </c>
      <c r="AM114" s="62">
        <f t="shared" si="59"/>
        <v>821.82303552923031</v>
      </c>
      <c r="AN114" s="62">
        <f ca="1">AVERAGE(OFFSET($AM$3,0,0,'Données projet'!$E$10+1,1))-AVERAGE(OFFSET($H$3,0,0,'Données projet'!$E$10+1,1))</f>
        <v>221.11420634571317</v>
      </c>
      <c r="AO114" s="62">
        <f t="shared" si="90"/>
        <v>133.63266168802033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6.3550942286383367E-14</v>
      </c>
      <c r="BF114" s="14">
        <f t="shared" si="91"/>
        <v>1.0064464192543978E-12</v>
      </c>
      <c r="BG114" s="22">
        <f t="shared" si="61"/>
        <v>1.8635787380168604E-12</v>
      </c>
      <c r="BH114" s="62">
        <f t="shared" si="62"/>
        <v>293.33333333333519</v>
      </c>
      <c r="BI114" s="62">
        <f ca="1">AVERAGE(OFFSET($BH$3,0,0,'Données projet'!$E$11+1,1))-AVERAGE(OFFSET($H$3,0,0,'Données projet'!$E$11+1,1))</f>
        <v>277.5990520183687</v>
      </c>
      <c r="BJ114" s="62">
        <f t="shared" si="92"/>
        <v>338.50140415303872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1.0170114723111852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1.36778828801049E-11</v>
      </c>
      <c r="BS114" s="24">
        <f t="shared" si="63"/>
        <v>1.0170114723248631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-1.7053025658242404E-13</v>
      </c>
      <c r="O115" s="14">
        <f>N115*VLOOKUP('Données projet'!$B$9,Paramètres!$A$1:$I$89,3,0)*VLOOKUP('Données projet'!$B$9,Paramètres!$A$1:$I$89,5,0)</f>
        <v>-1.0197709343628959E-13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131.58904681787436</v>
      </c>
      <c r="T115" s="62">
        <f t="shared" si="88"/>
        <v>208.65872561216122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2.0352219673883112</v>
      </c>
      <c r="AA115" s="23">
        <f>EXP(-LN(2)/25)*AA114+(1-EXP(-LN(2)/25))/(LN(2)/25)*Calculateur!V115*Calculateur!X115*VLOOKUP('Données projet'!$B$9,Paramètres!$A$1:$I$89,3,0)*0.475*44/12</f>
        <v>0.34409484303554266</v>
      </c>
      <c r="AB115" s="23">
        <f>EXP(-LN(2)/2)*AB114+(1-EXP(-LN(2)/2))/(LN(2)/2)*V115*Y115*VLOOKUP('Données projet'!$B$9,Paramètres!$A$1:$I$89,3,0)*0.475*44/12</f>
        <v>6.9421382476360486E-12</v>
      </c>
      <c r="AC115" s="24">
        <f t="shared" si="57"/>
        <v>2.379316810430796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273.60000000000002</v>
      </c>
      <c r="AJ115" s="14">
        <f>AI115*VLOOKUP('Données projet'!$B$10,Paramètres!$A$1:$I$89,3,0)*VLOOKUP('Données projet'!$B$10,Paramètres!$A$1:$I$89,5,0)</f>
        <v>247.55328</v>
      </c>
      <c r="AK115" s="14">
        <f t="shared" si="89"/>
        <v>60.061713068870255</v>
      </c>
      <c r="AL115" s="22">
        <f t="shared" si="58"/>
        <v>535.76277959494905</v>
      </c>
      <c r="AM115" s="62">
        <f t="shared" si="59"/>
        <v>829.09611292828231</v>
      </c>
      <c r="AN115" s="62">
        <f ca="1">AVERAGE(OFFSET($AM$3,0,0,'Données projet'!$E$10+1,1))-AVERAGE(OFFSET($H$3,0,0,'Données projet'!$E$10+1,1))</f>
        <v>221.11420634571317</v>
      </c>
      <c r="AO115" s="62">
        <f t="shared" si="90"/>
        <v>133.63266168802033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6.3550942286383367E-14</v>
      </c>
      <c r="BF115" s="14">
        <f t="shared" si="91"/>
        <v>1.0064464192543978E-12</v>
      </c>
      <c r="BG115" s="22">
        <f t="shared" si="61"/>
        <v>1.8635787380168604E-12</v>
      </c>
      <c r="BH115" s="62">
        <f t="shared" si="62"/>
        <v>293.33333333333519</v>
      </c>
      <c r="BI115" s="62">
        <f ca="1">AVERAGE(OFFSET($BH$3,0,0,'Données projet'!$E$11+1,1))-AVERAGE(OFFSET($H$3,0,0,'Données projet'!$E$11+1,1))</f>
        <v>277.5990520183687</v>
      </c>
      <c r="BJ115" s="62">
        <f t="shared" si="92"/>
        <v>338.50140415303872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0.99706849765490979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9.6717237367975597E-12</v>
      </c>
      <c r="BS115" s="24">
        <f t="shared" si="63"/>
        <v>0.9970684976645815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-1.7053025658242404E-13</v>
      </c>
      <c r="O116" s="14">
        <f>N116*VLOOKUP('Données projet'!$B$9,Paramètres!$A$1:$I$89,3,0)*VLOOKUP('Données projet'!$B$9,Paramètres!$A$1:$I$89,5,0)</f>
        <v>-1.0197709343628959E-13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131.58904681787436</v>
      </c>
      <c r="T116" s="62">
        <f t="shared" si="88"/>
        <v>208.65872561216122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1.995312505970652</v>
      </c>
      <c r="AA116" s="23">
        <f>EXP(-LN(2)/25)*AA115+(1-EXP(-LN(2)/25))/(LN(2)/25)*Calculateur!V116*Calculateur!X116*VLOOKUP('Données projet'!$B$9,Paramètres!$A$1:$I$89,3,0)*0.475*44/12</f>
        <v>0.33468555145757439</v>
      </c>
      <c r="AB116" s="23">
        <f>EXP(-LN(2)/2)*AB115+(1-EXP(-LN(2)/2))/(LN(2)/2)*V116*Y116*VLOOKUP('Données projet'!$B$9,Paramètres!$A$1:$I$89,3,0)*0.475*44/12</f>
        <v>4.9088330308379458E-12</v>
      </c>
      <c r="AC116" s="24">
        <f t="shared" si="57"/>
        <v>2.3299980574331354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277.40000000000003</v>
      </c>
      <c r="AJ116" s="14">
        <f>AI116*VLOOKUP('Données projet'!$B$10,Paramètres!$A$1:$I$89,3,0)*VLOOKUP('Données projet'!$B$10,Paramètres!$A$1:$I$89,5,0)</f>
        <v>250.99152000000001</v>
      </c>
      <c r="AK116" s="14">
        <f t="shared" si="89"/>
        <v>60.798211000769406</v>
      </c>
      <c r="AL116" s="22">
        <f t="shared" si="58"/>
        <v>543.0337814930067</v>
      </c>
      <c r="AM116" s="62">
        <f t="shared" si="59"/>
        <v>836.36711482633996</v>
      </c>
      <c r="AN116" s="62">
        <f ca="1">AVERAGE(OFFSET($AM$3,0,0,'Données projet'!$E$10+1,1))-AVERAGE(OFFSET($H$3,0,0,'Données projet'!$E$10+1,1))</f>
        <v>221.11420634571317</v>
      </c>
      <c r="AO116" s="62">
        <f t="shared" si="90"/>
        <v>133.63266168802033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6.3550942286383367E-14</v>
      </c>
      <c r="BF116" s="14">
        <f t="shared" si="91"/>
        <v>1.0064464192543978E-12</v>
      </c>
      <c r="BG116" s="22">
        <f t="shared" si="61"/>
        <v>1.8635787380168604E-12</v>
      </c>
      <c r="BH116" s="62">
        <f t="shared" si="62"/>
        <v>293.33333333333519</v>
      </c>
      <c r="BI116" s="62">
        <f ca="1">AVERAGE(OFFSET($BH$3,0,0,'Données projet'!$E$11+1,1))-AVERAGE(OFFSET($H$3,0,0,'Données projet'!$E$11+1,1))</f>
        <v>277.5990520183687</v>
      </c>
      <c r="BJ116" s="62">
        <f t="shared" si="92"/>
        <v>338.50140415303872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0.97751659256763057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6.8389414400524499E-12</v>
      </c>
      <c r="BS116" s="24">
        <f t="shared" si="63"/>
        <v>0.97751659257446954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-1.7053025658242404E-13</v>
      </c>
      <c r="O117" s="14">
        <f>N117*VLOOKUP('Données projet'!$B$9,Paramètres!$A$1:$I$89,3,0)*VLOOKUP('Données projet'!$B$9,Paramètres!$A$1:$I$89,5,0)</f>
        <v>-1.0197709343628959E-13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131.58904681787436</v>
      </c>
      <c r="T117" s="62">
        <f t="shared" si="88"/>
        <v>208.65872561216122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1.9561856447490253</v>
      </c>
      <c r="AA117" s="23">
        <f>EXP(-LN(2)/25)*AA116+(1-EXP(-LN(2)/25))/(LN(2)/25)*Calculateur!V117*Calculateur!X117*VLOOKUP('Données projet'!$B$9,Paramètres!$A$1:$I$89,3,0)*0.475*44/12</f>
        <v>0.3255335574526188</v>
      </c>
      <c r="AB117" s="23">
        <f>EXP(-LN(2)/2)*AB116+(1-EXP(-LN(2)/2))/(LN(2)/2)*V117*Y117*VLOOKUP('Données projet'!$B$9,Paramètres!$A$1:$I$89,3,0)*0.475*44/12</f>
        <v>3.4710691238180243E-12</v>
      </c>
      <c r="AC117" s="24">
        <f t="shared" si="57"/>
        <v>2.2817192022051151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281.20000000000005</v>
      </c>
      <c r="AJ117" s="14">
        <f>AI117*VLOOKUP('Données projet'!$B$10,Paramètres!$A$1:$I$89,3,0)*VLOOKUP('Données projet'!$B$10,Paramètres!$A$1:$I$89,5,0)</f>
        <v>254.42976000000002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843.63607294105645</v>
      </c>
      <c r="AN117" s="62">
        <f ca="1">AVERAGE(OFFSET($AM$3,0,0,'Données projet'!$E$10+1,1))-AVERAGE(OFFSET($H$3,0,0,'Données projet'!$E$10+1,1))</f>
        <v>221.11420634571317</v>
      </c>
      <c r="AO117" s="62">
        <f t="shared" si="90"/>
        <v>133.63266168802033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6.3550942286383367E-14</v>
      </c>
      <c r="BF117" s="14">
        <f t="shared" si="91"/>
        <v>1.0064464192543978E-12</v>
      </c>
      <c r="BG117" s="22">
        <f t="shared" si="61"/>
        <v>1.8635787380168604E-12</v>
      </c>
      <c r="BH117" s="62">
        <f t="shared" si="62"/>
        <v>293.33333333333519</v>
      </c>
      <c r="BI117" s="62">
        <f ca="1">AVERAGE(OFFSET($BH$3,0,0,'Données projet'!$E$11+1,1))-AVERAGE(OFFSET($H$3,0,0,'Données projet'!$E$11+1,1))</f>
        <v>277.5990520183687</v>
      </c>
      <c r="BJ117" s="62">
        <f t="shared" si="92"/>
        <v>338.50140415303872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0.9583480884136284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4.8358618683987799E-12</v>
      </c>
      <c r="BS117" s="24">
        <f t="shared" si="63"/>
        <v>0.95834808841846431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-1.7053025658242404E-13</v>
      </c>
      <c r="O118" s="14">
        <f>N118*VLOOKUP('Données projet'!$B$9,Paramètres!$A$1:$I$89,3,0)*VLOOKUP('Données projet'!$B$9,Paramètres!$A$1:$I$89,5,0)</f>
        <v>-1.0197709343628959E-13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131.58904681787436</v>
      </c>
      <c r="T118" s="62">
        <f t="shared" si="88"/>
        <v>208.65872561216122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1.9178260374109259</v>
      </c>
      <c r="AA118" s="23">
        <f>EXP(-LN(2)/25)*AA117+(1-EXP(-LN(2)/25))/(LN(2)/25)*Calculateur!V118*Calculateur!X118*VLOOKUP('Données projet'!$B$9,Paramètres!$A$1:$I$89,3,0)*0.475*44/12</f>
        <v>0.31663182520501115</v>
      </c>
      <c r="AB118" s="23">
        <f>EXP(-LN(2)/2)*AB117+(1-EXP(-LN(2)/2))/(LN(2)/2)*V118*Y118*VLOOKUP('Données projet'!$B$9,Paramètres!$A$1:$I$89,3,0)*0.475*44/12</f>
        <v>2.4544165154189729E-12</v>
      </c>
      <c r="AC118" s="24">
        <f t="shared" si="57"/>
        <v>2.2344578626183917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285.00000000000006</v>
      </c>
      <c r="AJ118" s="14">
        <f>AI118*VLOOKUP('Données projet'!$B$10,Paramètres!$A$1:$I$89,3,0)*VLOOKUP('Données projet'!$B$10,Paramètres!$A$1:$I$89,5,0)</f>
        <v>257.86800000000005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850.90301808359141</v>
      </c>
      <c r="AN118" s="62">
        <f ca="1">AVERAGE(OFFSET($AM$3,0,0,'Données projet'!$E$10+1,1))-AVERAGE(OFFSET($H$3,0,0,'Données projet'!$E$10+1,1))</f>
        <v>221.11420634571317</v>
      </c>
      <c r="AO118" s="62">
        <f t="shared" si="90"/>
        <v>133.63266168802033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6.3550942286383367E-14</v>
      </c>
      <c r="BF118" s="14">
        <f t="shared" si="91"/>
        <v>1.0064464192543978E-12</v>
      </c>
      <c r="BG118" s="22">
        <f t="shared" si="61"/>
        <v>1.8635787380168604E-12</v>
      </c>
      <c r="BH118" s="62">
        <f t="shared" si="62"/>
        <v>293.33333333333519</v>
      </c>
      <c r="BI118" s="62">
        <f ca="1">AVERAGE(OFFSET($BH$3,0,0,'Données projet'!$E$11+1,1))-AVERAGE(OFFSET($H$3,0,0,'Données projet'!$E$11+1,1))</f>
        <v>277.5990520183687</v>
      </c>
      <c r="BJ118" s="62">
        <f t="shared" si="92"/>
        <v>338.50140415303872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0.93955546693445302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3.419470720026225E-12</v>
      </c>
      <c r="BS118" s="24">
        <f t="shared" si="63"/>
        <v>0.93955546693787251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-1.7053025658242404E-13</v>
      </c>
      <c r="O119" s="14">
        <f>N119*VLOOKUP('Données projet'!$B$9,Paramètres!$A$1:$I$89,3,0)*VLOOKUP('Données projet'!$B$9,Paramètres!$A$1:$I$89,5,0)</f>
        <v>-1.0197709343628959E-13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131.58904681787436</v>
      </c>
      <c r="T119" s="62">
        <f t="shared" si="88"/>
        <v>208.65872561216122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1.8802186385756765</v>
      </c>
      <c r="AA119" s="23">
        <f>EXP(-LN(2)/25)*AA118+(1-EXP(-LN(2)/25))/(LN(2)/25)*Calculateur!V119*Calculateur!X119*VLOOKUP('Données projet'!$B$9,Paramètres!$A$1:$I$89,3,0)*0.475*44/12</f>
        <v>0.3079735112938361</v>
      </c>
      <c r="AB119" s="23">
        <f>EXP(-LN(2)/2)*AB118+(1-EXP(-LN(2)/2))/(LN(2)/2)*V119*Y119*VLOOKUP('Données projet'!$B$9,Paramètres!$A$1:$I$89,3,0)*0.475*44/12</f>
        <v>1.7355345619090122E-12</v>
      </c>
      <c r="AC119" s="24">
        <f t="shared" si="57"/>
        <v>2.1881921498712482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270.60000000000008</v>
      </c>
      <c r="AJ119" s="14">
        <f>AI119*VLOOKUP('Données projet'!$B$10,Paramètres!$A$1:$I$89,3,0)*VLOOKUP('Données projet'!$B$10,Paramètres!$A$1:$I$89,5,0)</f>
        <v>244.83888000000007</v>
      </c>
      <c r="AK119" s="14">
        <f t="shared" si="89"/>
        <v>59.479426489427787</v>
      </c>
      <c r="AL119" s="22">
        <f t="shared" si="58"/>
        <v>530.02105046908684</v>
      </c>
      <c r="AM119" s="62">
        <f t="shared" si="59"/>
        <v>823.35438380242022</v>
      </c>
      <c r="AN119" s="62">
        <f ca="1">AVERAGE(OFFSET($AM$3,0,0,'Données projet'!$E$10+1,1))-AVERAGE(OFFSET($H$3,0,0,'Données projet'!$E$10+1,1))</f>
        <v>221.11420634571317</v>
      </c>
      <c r="AO119" s="62">
        <f t="shared" si="90"/>
        <v>133.63266168802033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6.3550942286383367E-14</v>
      </c>
      <c r="BF119" s="14">
        <f t="shared" si="91"/>
        <v>1.0064464192543978E-12</v>
      </c>
      <c r="BG119" s="22">
        <f t="shared" si="61"/>
        <v>1.8635787380168604E-12</v>
      </c>
      <c r="BH119" s="62">
        <f t="shared" si="62"/>
        <v>293.33333333333519</v>
      </c>
      <c r="BI119" s="62">
        <f ca="1">AVERAGE(OFFSET($BH$3,0,0,'Données projet'!$E$11+1,1))-AVERAGE(OFFSET($H$3,0,0,'Données projet'!$E$11+1,1))</f>
        <v>277.5990520183687</v>
      </c>
      <c r="BJ119" s="62">
        <f t="shared" si="92"/>
        <v>338.50140415303872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0.92113135730011708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2.4179309341993899E-12</v>
      </c>
      <c r="BS119" s="24">
        <f t="shared" si="63"/>
        <v>0.92113135730253504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-1.7053025658242404E-13</v>
      </c>
      <c r="O120" s="14">
        <f>N120*VLOOKUP('Données projet'!$B$9,Paramètres!$A$1:$I$89,3,0)*VLOOKUP('Données projet'!$B$9,Paramètres!$A$1:$I$89,5,0)</f>
        <v>-1.0197709343628959E-13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131.58904681787436</v>
      </c>
      <c r="T120" s="62">
        <f t="shared" si="88"/>
        <v>208.65872561216122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1.843348697893338</v>
      </c>
      <c r="AA120" s="23">
        <f>EXP(-LN(2)/25)*AA119+(1-EXP(-LN(2)/25))/(LN(2)/25)*Calculateur!V120*Calculateur!X120*VLOOKUP('Données projet'!$B$9,Paramètres!$A$1:$I$89,3,0)*0.475*44/12</f>
        <v>0.29955195943188306</v>
      </c>
      <c r="AB120" s="23">
        <f>EXP(-LN(2)/2)*AB119+(1-EXP(-LN(2)/2))/(LN(2)/2)*V120*Y120*VLOOKUP('Données projet'!$B$9,Paramètres!$A$1:$I$89,3,0)*0.475*44/12</f>
        <v>1.2272082577094865E-12</v>
      </c>
      <c r="AC120" s="24">
        <f t="shared" si="57"/>
        <v>2.142900657326448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274.2000000000001</v>
      </c>
      <c r="AJ120" s="14">
        <f>AI120*VLOOKUP('Données projet'!$B$10,Paramètres!$A$1:$I$89,3,0)*VLOOKUP('Données projet'!$B$10,Paramètres!$A$1:$I$89,5,0)</f>
        <v>248.09616000000011</v>
      </c>
      <c r="AK120" s="14">
        <f t="shared" si="89"/>
        <v>60.178080967364686</v>
      </c>
      <c r="AL120" s="22">
        <f t="shared" si="58"/>
        <v>536.91096968482691</v>
      </c>
      <c r="AM120" s="62">
        <f t="shared" si="59"/>
        <v>830.24430301816028</v>
      </c>
      <c r="AN120" s="62">
        <f ca="1">AVERAGE(OFFSET($AM$3,0,0,'Données projet'!$E$10+1,1))-AVERAGE(OFFSET($H$3,0,0,'Données projet'!$E$10+1,1))</f>
        <v>221.11420634571317</v>
      </c>
      <c r="AO120" s="62">
        <f t="shared" si="90"/>
        <v>133.63266168802033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6.3550942286383367E-14</v>
      </c>
      <c r="BF120" s="14">
        <f t="shared" si="91"/>
        <v>1.0064464192543978E-12</v>
      </c>
      <c r="BG120" s="22">
        <f t="shared" si="61"/>
        <v>1.8635787380168604E-12</v>
      </c>
      <c r="BH120" s="62">
        <f t="shared" si="62"/>
        <v>293.33333333333519</v>
      </c>
      <c r="BI120" s="62">
        <f ca="1">AVERAGE(OFFSET($BH$3,0,0,'Données projet'!$E$11+1,1))-AVERAGE(OFFSET($H$3,0,0,'Données projet'!$E$11+1,1))</f>
        <v>277.5990520183687</v>
      </c>
      <c r="BJ120" s="62">
        <f t="shared" si="92"/>
        <v>338.50140415303872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0.9030685332181132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1.7097353600131125E-12</v>
      </c>
      <c r="BS120" s="24">
        <f t="shared" si="63"/>
        <v>0.90306853321982294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-1.7053025658242404E-13</v>
      </c>
      <c r="O121" s="14">
        <f>N121*VLOOKUP('Données projet'!$B$9,Paramètres!$A$1:$I$89,3,0)*VLOOKUP('Données projet'!$B$9,Paramètres!$A$1:$I$89,5,0)</f>
        <v>-1.0197709343628959E-13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131.58904681787436</v>
      </c>
      <c r="T121" s="62">
        <f t="shared" si="88"/>
        <v>208.65872561216122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1.8072017542593368</v>
      </c>
      <c r="AA121" s="23">
        <f>EXP(-LN(2)/25)*AA120+(1-EXP(-LN(2)/25))/(LN(2)/25)*Calculateur!V121*Calculateur!X121*VLOOKUP('Données projet'!$B$9,Paramètres!$A$1:$I$89,3,0)*0.475*44/12</f>
        <v>0.29136069534846532</v>
      </c>
      <c r="AB121" s="23">
        <f>EXP(-LN(2)/2)*AB120+(1-EXP(-LN(2)/2))/(LN(2)/2)*V121*Y121*VLOOKUP('Données projet'!$B$9,Paramètres!$A$1:$I$89,3,0)*0.475*44/12</f>
        <v>8.6776728095450608E-13</v>
      </c>
      <c r="AC121" s="24">
        <f t="shared" si="57"/>
        <v>2.0985624496086697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277.80000000000013</v>
      </c>
      <c r="AJ121" s="14">
        <f>AI121*VLOOKUP('Données projet'!$B$10,Paramètres!$A$1:$I$89,3,0)*VLOOKUP('Données projet'!$B$10,Paramètres!$A$1:$I$89,5,0)</f>
        <v>251.35344000000009</v>
      </c>
      <c r="AK121" s="14">
        <f t="shared" si="89"/>
        <v>60.875668525285015</v>
      </c>
      <c r="AL121" s="22">
        <f t="shared" si="58"/>
        <v>543.79903068153817</v>
      </c>
      <c r="AM121" s="62">
        <f t="shared" si="59"/>
        <v>837.13236401487143</v>
      </c>
      <c r="AN121" s="62">
        <f ca="1">AVERAGE(OFFSET($AM$3,0,0,'Données projet'!$E$10+1,1))-AVERAGE(OFFSET($H$3,0,0,'Données projet'!$E$10+1,1))</f>
        <v>221.11420634571317</v>
      </c>
      <c r="AO121" s="62">
        <f t="shared" si="90"/>
        <v>133.63266168802033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6.3550942286383367E-14</v>
      </c>
      <c r="BF121" s="14">
        <f t="shared" si="91"/>
        <v>1.0064464192543978E-12</v>
      </c>
      <c r="BG121" s="22">
        <f t="shared" si="61"/>
        <v>1.8635787380168604E-12</v>
      </c>
      <c r="BH121" s="62">
        <f t="shared" si="62"/>
        <v>293.33333333333519</v>
      </c>
      <c r="BI121" s="62">
        <f ca="1">AVERAGE(OFFSET($BH$3,0,0,'Données projet'!$E$11+1,1))-AVERAGE(OFFSET($H$3,0,0,'Données projet'!$E$11+1,1))</f>
        <v>277.5990520183687</v>
      </c>
      <c r="BJ121" s="62">
        <f t="shared" si="92"/>
        <v>338.50140415303872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0.88535991009912252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1.208965467099695E-12</v>
      </c>
      <c r="BS121" s="24">
        <f t="shared" si="63"/>
        <v>0.88535991010033144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-1.7053025658242404E-13</v>
      </c>
      <c r="O122" s="14">
        <f>N122*VLOOKUP('Données projet'!$B$9,Paramètres!$A$1:$I$89,3,0)*VLOOKUP('Données projet'!$B$9,Paramètres!$A$1:$I$89,5,0)</f>
        <v>-1.0197709343628959E-13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131.58904681787436</v>
      </c>
      <c r="T122" s="62">
        <f t="shared" si="88"/>
        <v>208.65872561216122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1.7717636301425399</v>
      </c>
      <c r="AA122" s="23">
        <f>EXP(-LN(2)/25)*AA121+(1-EXP(-LN(2)/25))/(LN(2)/25)*Calculateur!V122*Calculateur!X122*VLOOKUP('Données projet'!$B$9,Paramètres!$A$1:$I$89,3,0)*0.475*44/12</f>
        <v>0.28339342181216848</v>
      </c>
      <c r="AB122" s="23">
        <f>EXP(-LN(2)/2)*AB121+(1-EXP(-LN(2)/2))/(LN(2)/2)*V122*Y122*VLOOKUP('Données projet'!$B$9,Paramètres!$A$1:$I$89,3,0)*0.475*44/12</f>
        <v>6.1360412885474323E-13</v>
      </c>
      <c r="AC122" s="24">
        <f t="shared" si="57"/>
        <v>2.0551570519553222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281.40000000000015</v>
      </c>
      <c r="AJ122" s="14">
        <f>AI122*VLOOKUP('Données projet'!$B$10,Paramètres!$A$1:$I$89,3,0)*VLOOKUP('Données projet'!$B$10,Paramètres!$A$1:$I$89,5,0)</f>
        <v>254.61072000000013</v>
      </c>
      <c r="AK122" s="14">
        <f t="shared" si="89"/>
        <v>61.572204587965729</v>
      </c>
      <c r="AL122" s="22">
        <f t="shared" si="58"/>
        <v>550.68526032404054</v>
      </c>
      <c r="AM122" s="62">
        <f t="shared" si="59"/>
        <v>844.01859365737391</v>
      </c>
      <c r="AN122" s="62">
        <f ca="1">AVERAGE(OFFSET($AM$3,0,0,'Données projet'!$E$10+1,1))-AVERAGE(OFFSET($H$3,0,0,'Données projet'!$E$10+1,1))</f>
        <v>221.11420634571317</v>
      </c>
      <c r="AO122" s="62">
        <f t="shared" si="90"/>
        <v>133.63266168802033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6.3550942286383367E-14</v>
      </c>
      <c r="BF122" s="14">
        <f t="shared" si="91"/>
        <v>1.0064464192543978E-12</v>
      </c>
      <c r="BG122" s="22">
        <f t="shared" si="61"/>
        <v>1.8635787380168604E-12</v>
      </c>
      <c r="BH122" s="62">
        <f t="shared" si="62"/>
        <v>293.33333333333519</v>
      </c>
      <c r="BI122" s="62">
        <f ca="1">AVERAGE(OFFSET($BH$3,0,0,'Données projet'!$E$11+1,1))-AVERAGE(OFFSET($H$3,0,0,'Données projet'!$E$11+1,1))</f>
        <v>277.5990520183687</v>
      </c>
      <c r="BJ122" s="62">
        <f t="shared" si="92"/>
        <v>338.50140415303872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0.86799854227830175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8.5486768000655624E-13</v>
      </c>
      <c r="BS122" s="24">
        <f t="shared" si="63"/>
        <v>0.86799854227915663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-1.7053025658242404E-13</v>
      </c>
      <c r="O123" s="14">
        <f>N123*VLOOKUP('Données projet'!$B$9,Paramètres!$A$1:$I$89,3,0)*VLOOKUP('Données projet'!$B$9,Paramètres!$A$1:$I$89,5,0)</f>
        <v>-1.0197709343628959E-13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131.58904681787436</v>
      </c>
      <c r="T123" s="62">
        <f t="shared" si="88"/>
        <v>208.65872561216122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1.7370204260245519</v>
      </c>
      <c r="AA123" s="23">
        <f>EXP(-LN(2)/25)*AA122+(1-EXP(-LN(2)/25))/(LN(2)/25)*Calculateur!V123*Calculateur!X123*VLOOKUP('Données projet'!$B$9,Paramètres!$A$1:$I$89,3,0)*0.475*44/12</f>
        <v>0.27564401378970238</v>
      </c>
      <c r="AB123" s="23">
        <f>EXP(-LN(2)/2)*AB122+(1-EXP(-LN(2)/2))/(LN(2)/2)*V123*Y123*VLOOKUP('Données projet'!$B$9,Paramètres!$A$1:$I$89,3,0)*0.475*44/12</f>
        <v>4.3388364047725304E-13</v>
      </c>
      <c r="AC123" s="24">
        <f t="shared" si="57"/>
        <v>2.0126644398146882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285.00000000000017</v>
      </c>
      <c r="AJ123" s="14">
        <f>AI123*VLOOKUP('Données projet'!$B$10,Paramètres!$A$1:$I$89,3,0)*VLOOKUP('Données projet'!$B$10,Paramètres!$A$1:$I$89,5,0)</f>
        <v>257.86800000000017</v>
      </c>
      <c r="AK123" s="14">
        <f t="shared" si="89"/>
        <v>62.267704162827577</v>
      </c>
      <c r="AL123" s="22">
        <f t="shared" si="58"/>
        <v>557.56968475025826</v>
      </c>
      <c r="AM123" s="62">
        <f t="shared" si="59"/>
        <v>850.90301808359163</v>
      </c>
      <c r="AN123" s="62">
        <f ca="1">AVERAGE(OFFSET($AM$3,0,0,'Données projet'!$E$10+1,1))-AVERAGE(OFFSET($H$3,0,0,'Données projet'!$E$10+1,1))</f>
        <v>221.11420634571317</v>
      </c>
      <c r="AO123" s="62">
        <f t="shared" si="90"/>
        <v>133.63266168802033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6.3550942286383367E-14</v>
      </c>
      <c r="BF123" s="14">
        <f t="shared" si="91"/>
        <v>1.0064464192543978E-12</v>
      </c>
      <c r="BG123" s="22">
        <f t="shared" si="61"/>
        <v>1.8635787380168604E-12</v>
      </c>
      <c r="BH123" s="62">
        <f t="shared" si="62"/>
        <v>293.33333333333519</v>
      </c>
      <c r="BI123" s="62">
        <f ca="1">AVERAGE(OFFSET($BH$3,0,0,'Données projet'!$E$11+1,1))-AVERAGE(OFFSET($H$3,0,0,'Données projet'!$E$11+1,1))</f>
        <v>277.5990520183687</v>
      </c>
      <c r="BJ123" s="62">
        <f t="shared" si="92"/>
        <v>338.50140415303872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0.8509776202910585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6.0448273354984748E-13</v>
      </c>
      <c r="BS123" s="24">
        <f t="shared" si="63"/>
        <v>0.85097762029166302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-1.7053025658242404E-13</v>
      </c>
      <c r="O124" s="14">
        <f>N124*VLOOKUP('Données projet'!$B$9,Paramètres!$A$1:$I$89,3,0)*VLOOKUP('Données projet'!$B$9,Paramètres!$A$1:$I$89,5,0)</f>
        <v>-1.0197709343628959E-13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131.58904681787436</v>
      </c>
      <c r="T124" s="62">
        <f t="shared" si="88"/>
        <v>208.65872561216122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1.7029585149480555</v>
      </c>
      <c r="AA124" s="23">
        <f>EXP(-LN(2)/25)*AA123+(1-EXP(-LN(2)/25))/(LN(2)/25)*Calculateur!V124*Calculateur!X124*VLOOKUP('Données projet'!$B$9,Paramètres!$A$1:$I$89,3,0)*0.475*44/12</f>
        <v>0.26810651373713429</v>
      </c>
      <c r="AB124" s="23">
        <f>EXP(-LN(2)/2)*AB123+(1-EXP(-LN(2)/2))/(LN(2)/2)*V124*Y124*VLOOKUP('Données projet'!$B$9,Paramètres!$A$1:$I$89,3,0)*0.475*44/12</f>
        <v>3.0680206442737162E-13</v>
      </c>
      <c r="AC124" s="24">
        <f t="shared" si="57"/>
        <v>1.9710650286854967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1.5429577615577727E-13</v>
      </c>
      <c r="AK124" s="14">
        <f t="shared" si="89"/>
        <v>2.2038482767263348E-12</v>
      </c>
      <c r="AL124" s="22">
        <f t="shared" si="58"/>
        <v>4.107100892103012E-12</v>
      </c>
      <c r="AM124" s="62">
        <f t="shared" si="59"/>
        <v>293.33333333333741</v>
      </c>
      <c r="AN124" s="62">
        <f ca="1">AVERAGE(OFFSET($AM$3,0,0,'Données projet'!$E$10+1,1))-AVERAGE(OFFSET($H$3,0,0,'Données projet'!$E$10+1,1))</f>
        <v>221.11420634571317</v>
      </c>
      <c r="AO124" s="62">
        <f t="shared" si="90"/>
        <v>133.63266168802033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6.3550942286383367E-14</v>
      </c>
      <c r="BF124" s="14">
        <f t="shared" si="91"/>
        <v>1.0064464192543978E-12</v>
      </c>
      <c r="BG124" s="22">
        <f t="shared" si="61"/>
        <v>1.8635787380168604E-12</v>
      </c>
      <c r="BH124" s="62">
        <f t="shared" si="62"/>
        <v>293.33333333333519</v>
      </c>
      <c r="BI124" s="62">
        <f ca="1">AVERAGE(OFFSET($BH$3,0,0,'Données projet'!$E$11+1,1))-AVERAGE(OFFSET($H$3,0,0,'Données projet'!$E$11+1,1))</f>
        <v>277.5990520183687</v>
      </c>
      <c r="BJ124" s="62">
        <f t="shared" si="92"/>
        <v>338.50140415303872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0.83429046820224773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4.2743384000327812E-13</v>
      </c>
      <c r="BS124" s="24">
        <f t="shared" si="63"/>
        <v>0.83429046820267516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-1.7053025658242404E-13</v>
      </c>
      <c r="O125" s="14">
        <f>N125*VLOOKUP('Données projet'!$B$9,Paramètres!$A$1:$I$89,3,0)*VLOOKUP('Données projet'!$B$9,Paramètres!$A$1:$I$89,5,0)</f>
        <v>-1.0197709343628959E-13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131.58904681787436</v>
      </c>
      <c r="T125" s="62">
        <f t="shared" si="88"/>
        <v>208.65872561216122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1.6695645371720549</v>
      </c>
      <c r="AA125" s="23">
        <f>EXP(-LN(2)/25)*AA124+(1-EXP(-LN(2)/25))/(LN(2)/25)*Calculateur!V125*Calculateur!X125*VLOOKUP('Données projet'!$B$9,Paramètres!$A$1:$I$89,3,0)*0.475*44/12</f>
        <v>0.26077512701988353</v>
      </c>
      <c r="AB125" s="23">
        <f>EXP(-LN(2)/2)*AB124+(1-EXP(-LN(2)/2))/(LN(2)/2)*V125*Y125*VLOOKUP('Données projet'!$B$9,Paramètres!$A$1:$I$89,3,0)*0.475*44/12</f>
        <v>2.1694182023862652E-13</v>
      </c>
      <c r="AC125" s="24">
        <f t="shared" si="57"/>
        <v>1.9303396641921553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1.5429577615577727E-13</v>
      </c>
      <c r="AK125" s="14">
        <f t="shared" si="89"/>
        <v>2.2038482767263348E-12</v>
      </c>
      <c r="AL125" s="22">
        <f t="shared" si="58"/>
        <v>4.107100892103012E-12</v>
      </c>
      <c r="AM125" s="62">
        <f t="shared" si="59"/>
        <v>293.33333333333741</v>
      </c>
      <c r="AN125" s="62">
        <f ca="1">AVERAGE(OFFSET($AM$3,0,0,'Données projet'!$E$10+1,1))-AVERAGE(OFFSET($H$3,0,0,'Données projet'!$E$10+1,1))</f>
        <v>221.11420634571317</v>
      </c>
      <c r="AO125" s="62">
        <f t="shared" si="90"/>
        <v>133.63266168802033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6.3550942286383367E-14</v>
      </c>
      <c r="BF125" s="14">
        <f t="shared" si="91"/>
        <v>1.0064464192543978E-12</v>
      </c>
      <c r="BG125" s="22">
        <f t="shared" si="61"/>
        <v>1.8635787380168604E-12</v>
      </c>
      <c r="BH125" s="62">
        <f t="shared" si="62"/>
        <v>293.33333333333519</v>
      </c>
      <c r="BI125" s="62">
        <f ca="1">AVERAGE(OFFSET($BH$3,0,0,'Données projet'!$E$11+1,1))-AVERAGE(OFFSET($H$3,0,0,'Données projet'!$E$11+1,1))</f>
        <v>277.5990520183687</v>
      </c>
      <c r="BJ125" s="62">
        <f t="shared" si="92"/>
        <v>338.50140415303872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0.81793054098774076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3.0224136677492374E-13</v>
      </c>
      <c r="BS125" s="24">
        <f t="shared" si="63"/>
        <v>0.81793054098804296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-1.7053025658242404E-13</v>
      </c>
      <c r="O126" s="14">
        <f>N126*VLOOKUP('Données projet'!$B$9,Paramètres!$A$1:$I$89,3,0)*VLOOKUP('Données projet'!$B$9,Paramètres!$A$1:$I$89,5,0)</f>
        <v>-1.0197709343628959E-13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131.58904681787436</v>
      </c>
      <c r="T126" s="62">
        <f t="shared" si="88"/>
        <v>208.65872561216122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1.6368253949319265</v>
      </c>
      <c r="AA126" s="23">
        <f>EXP(-LN(2)/25)*AA125+(1-EXP(-LN(2)/25))/(LN(2)/25)*Calculateur!V126*Calculateur!X126*VLOOKUP('Données projet'!$B$9,Paramètres!$A$1:$I$89,3,0)*0.475*44/12</f>
        <v>0.2536442174579569</v>
      </c>
      <c r="AB126" s="23">
        <f>EXP(-LN(2)/2)*AB125+(1-EXP(-LN(2)/2))/(LN(2)/2)*V126*Y126*VLOOKUP('Données projet'!$B$9,Paramètres!$A$1:$I$89,3,0)*0.475*44/12</f>
        <v>1.5340103221368581E-13</v>
      </c>
      <c r="AC126" s="24">
        <f t="shared" si="57"/>
        <v>1.8904696123900369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1.5429577615577727E-13</v>
      </c>
      <c r="AK126" s="14">
        <f t="shared" si="89"/>
        <v>2.2038482767263348E-12</v>
      </c>
      <c r="AL126" s="22">
        <f t="shared" si="58"/>
        <v>4.107100892103012E-12</v>
      </c>
      <c r="AM126" s="62">
        <f t="shared" si="59"/>
        <v>293.33333333333741</v>
      </c>
      <c r="AN126" s="62">
        <f ca="1">AVERAGE(OFFSET($AM$3,0,0,'Données projet'!$E$10+1,1))-AVERAGE(OFFSET($H$3,0,0,'Données projet'!$E$10+1,1))</f>
        <v>221.11420634571317</v>
      </c>
      <c r="AO126" s="62">
        <f t="shared" si="90"/>
        <v>133.63266168802033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6.3550942286383367E-14</v>
      </c>
      <c r="BF126" s="14">
        <f t="shared" si="91"/>
        <v>1.0064464192543978E-12</v>
      </c>
      <c r="BG126" s="22">
        <f t="shared" si="61"/>
        <v>1.8635787380168604E-12</v>
      </c>
      <c r="BH126" s="62">
        <f t="shared" si="62"/>
        <v>293.33333333333519</v>
      </c>
      <c r="BI126" s="62">
        <f ca="1">AVERAGE(OFFSET($BH$3,0,0,'Données projet'!$E$11+1,1))-AVERAGE(OFFSET($H$3,0,0,'Données projet'!$E$11+1,1))</f>
        <v>277.5990520183687</v>
      </c>
      <c r="BJ126" s="62">
        <f t="shared" si="92"/>
        <v>338.50140415303872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0.80189142196733998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2.1371692000163906E-13</v>
      </c>
      <c r="BS126" s="24">
        <f t="shared" si="63"/>
        <v>0.8018914219675537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-1.7053025658242404E-13</v>
      </c>
      <c r="O127" s="14">
        <f>N127*VLOOKUP('Données projet'!$B$9,Paramètres!$A$1:$I$89,3,0)*VLOOKUP('Données projet'!$B$9,Paramètres!$A$1:$I$89,5,0)</f>
        <v>-1.0197709343628959E-13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131.58904681787436</v>
      </c>
      <c r="T127" s="62">
        <f t="shared" si="88"/>
        <v>208.65872561216122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1.604728247302222</v>
      </c>
      <c r="AA127" s="23">
        <f>EXP(-LN(2)/25)*AA126+(1-EXP(-LN(2)/25))/(LN(2)/25)*Calculateur!V127*Calculateur!X127*VLOOKUP('Données projet'!$B$9,Paramètres!$A$1:$I$89,3,0)*0.475*44/12</f>
        <v>0.2467083029929994</v>
      </c>
      <c r="AB127" s="23">
        <f>EXP(-LN(2)/2)*AB126+(1-EXP(-LN(2)/2))/(LN(2)/2)*V127*Y127*VLOOKUP('Données projet'!$B$9,Paramètres!$A$1:$I$89,3,0)*0.475*44/12</f>
        <v>1.0847091011931326E-13</v>
      </c>
      <c r="AC127" s="24">
        <f t="shared" si="57"/>
        <v>1.8514365502953301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1.5429577615577727E-13</v>
      </c>
      <c r="AK127" s="14">
        <f t="shared" si="89"/>
        <v>2.2038482767263348E-12</v>
      </c>
      <c r="AL127" s="22">
        <f t="shared" si="58"/>
        <v>4.107100892103012E-12</v>
      </c>
      <c r="AM127" s="62">
        <f t="shared" si="59"/>
        <v>293.33333333333741</v>
      </c>
      <c r="AN127" s="62">
        <f ca="1">AVERAGE(OFFSET($AM$3,0,0,'Données projet'!$E$10+1,1))-AVERAGE(OFFSET($H$3,0,0,'Données projet'!$E$10+1,1))</f>
        <v>221.11420634571317</v>
      </c>
      <c r="AO127" s="62">
        <f t="shared" si="90"/>
        <v>133.63266168802033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6.3550942286383367E-14</v>
      </c>
      <c r="BF127" s="14">
        <f t="shared" si="91"/>
        <v>1.0064464192543978E-12</v>
      </c>
      <c r="BG127" s="22">
        <f t="shared" si="61"/>
        <v>1.8635787380168604E-12</v>
      </c>
      <c r="BH127" s="62">
        <f t="shared" si="62"/>
        <v>293.33333333333519</v>
      </c>
      <c r="BI127" s="62">
        <f ca="1">AVERAGE(OFFSET($BH$3,0,0,'Données projet'!$E$11+1,1))-AVERAGE(OFFSET($H$3,0,0,'Données projet'!$E$11+1,1))</f>
        <v>277.5990520183687</v>
      </c>
      <c r="BJ127" s="62">
        <f t="shared" si="92"/>
        <v>338.50140415303872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0.78616682028803264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1.5112068338746187E-13</v>
      </c>
      <c r="BS127" s="24">
        <f t="shared" si="63"/>
        <v>0.78616682028818374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-1.7053025658242404E-13</v>
      </c>
      <c r="O128" s="14">
        <f>N128*VLOOKUP('Données projet'!$B$9,Paramètres!$A$1:$I$89,3,0)*VLOOKUP('Données projet'!$B$9,Paramètres!$A$1:$I$89,5,0)</f>
        <v>-1.0197709343628959E-13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131.58904681787436</v>
      </c>
      <c r="T128" s="62">
        <f t="shared" si="88"/>
        <v>208.65872561216122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1.5732605051602091</v>
      </c>
      <c r="AA128" s="23">
        <f>EXP(-LN(2)/25)*AA127+(1-EXP(-LN(2)/25))/(LN(2)/25)*Calculateur!V128*Calculateur!X128*VLOOKUP('Données projet'!$B$9,Paramètres!$A$1:$I$89,3,0)*0.475*44/12</f>
        <v>0.23996205147383004</v>
      </c>
      <c r="AB128" s="23">
        <f>EXP(-LN(2)/2)*AB127+(1-EXP(-LN(2)/2))/(LN(2)/2)*V128*Y128*VLOOKUP('Données projet'!$B$9,Paramètres!$A$1:$I$89,3,0)*0.475*44/12</f>
        <v>7.6700516106842904E-14</v>
      </c>
      <c r="AC128" s="24">
        <f t="shared" si="57"/>
        <v>1.8132225566341158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1.5429577615577727E-13</v>
      </c>
      <c r="AK128" s="14">
        <f t="shared" si="89"/>
        <v>2.2038482767263348E-12</v>
      </c>
      <c r="AL128" s="22">
        <f t="shared" si="58"/>
        <v>4.107100892103012E-12</v>
      </c>
      <c r="AM128" s="62">
        <f t="shared" si="59"/>
        <v>293.33333333333741</v>
      </c>
      <c r="AN128" s="62">
        <f ca="1">AVERAGE(OFFSET($AM$3,0,0,'Données projet'!$E$10+1,1))-AVERAGE(OFFSET($H$3,0,0,'Données projet'!$E$10+1,1))</f>
        <v>221.11420634571317</v>
      </c>
      <c r="AO128" s="62">
        <f t="shared" si="90"/>
        <v>133.63266168802033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6.3550942286383367E-14</v>
      </c>
      <c r="BF128" s="14">
        <f t="shared" si="91"/>
        <v>1.0064464192543978E-12</v>
      </c>
      <c r="BG128" s="22">
        <f t="shared" si="61"/>
        <v>1.8635787380168604E-12</v>
      </c>
      <c r="BH128" s="62">
        <f t="shared" si="62"/>
        <v>293.33333333333519</v>
      </c>
      <c r="BI128" s="62">
        <f ca="1">AVERAGE(OFFSET($BH$3,0,0,'Données projet'!$E$11+1,1))-AVERAGE(OFFSET($H$3,0,0,'Données projet'!$E$11+1,1))</f>
        <v>277.5990520183687</v>
      </c>
      <c r="BJ128" s="62">
        <f t="shared" si="92"/>
        <v>338.50140415303872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0.77075056845659662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1.0685846000081953E-13</v>
      </c>
      <c r="BS128" s="24">
        <f t="shared" si="63"/>
        <v>0.77075056845670342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-1.7053025658242404E-13</v>
      </c>
      <c r="O129" s="14">
        <f>N129*VLOOKUP('Données projet'!$B$9,Paramètres!$A$1:$I$89,3,0)*VLOOKUP('Données projet'!$B$9,Paramètres!$A$1:$I$89,5,0)</f>
        <v>-1.0197709343628959E-13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131.58904681787436</v>
      </c>
      <c r="T129" s="62">
        <f t="shared" si="88"/>
        <v>208.65872561216122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1.5424098262481736</v>
      </c>
      <c r="AA129" s="23">
        <f>EXP(-LN(2)/25)*AA128+(1-EXP(-LN(2)/25))/(LN(2)/25)*Calculateur!V129*Calculateur!X129*VLOOKUP('Données projet'!$B$9,Paramètres!$A$1:$I$89,3,0)*0.475*44/12</f>
        <v>0.23340027655722231</v>
      </c>
      <c r="AB129" s="23">
        <f>EXP(-LN(2)/2)*AB128+(1-EXP(-LN(2)/2))/(LN(2)/2)*V129*Y129*VLOOKUP('Données projet'!$B$9,Paramètres!$A$1:$I$89,3,0)*0.475*44/12</f>
        <v>5.423545505965663E-14</v>
      </c>
      <c r="AC129" s="24">
        <f t="shared" si="57"/>
        <v>1.77581010280545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1.5429577615577727E-13</v>
      </c>
      <c r="AK129" s="14">
        <f t="shared" si="89"/>
        <v>2.2038482767263348E-12</v>
      </c>
      <c r="AL129" s="22">
        <f t="shared" si="58"/>
        <v>4.107100892103012E-12</v>
      </c>
      <c r="AM129" s="62">
        <f t="shared" si="59"/>
        <v>293.33333333333741</v>
      </c>
      <c r="AN129" s="62">
        <f ca="1">AVERAGE(OFFSET($AM$3,0,0,'Données projet'!$E$10+1,1))-AVERAGE(OFFSET($H$3,0,0,'Données projet'!$E$10+1,1))</f>
        <v>221.11420634571317</v>
      </c>
      <c r="AO129" s="62">
        <f t="shared" si="90"/>
        <v>133.63266168802033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6.3550942286383367E-14</v>
      </c>
      <c r="BF129" s="14">
        <f t="shared" si="91"/>
        <v>1.0064464192543978E-12</v>
      </c>
      <c r="BG129" s="22">
        <f t="shared" si="61"/>
        <v>1.8635787380168604E-12</v>
      </c>
      <c r="BH129" s="62">
        <f t="shared" si="62"/>
        <v>293.33333333333519</v>
      </c>
      <c r="BI129" s="62">
        <f ca="1">AVERAGE(OFFSET($BH$3,0,0,'Données projet'!$E$11+1,1))-AVERAGE(OFFSET($H$3,0,0,'Données projet'!$E$11+1,1))</f>
        <v>277.5990520183687</v>
      </c>
      <c r="BJ129" s="62">
        <f t="shared" si="92"/>
        <v>338.50140415303872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0.75563661992058984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7.5560341693730935E-14</v>
      </c>
      <c r="BS129" s="24">
        <f t="shared" si="63"/>
        <v>0.75563661992066544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-1.7053025658242404E-13</v>
      </c>
      <c r="O130" s="14">
        <f>N130*VLOOKUP('Données projet'!$B$9,Paramètres!$A$1:$I$89,3,0)*VLOOKUP('Données projet'!$B$9,Paramètres!$A$1:$I$89,5,0)</f>
        <v>-1.0197709343628959E-13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131.58904681787436</v>
      </c>
      <c r="T130" s="62">
        <f t="shared" si="88"/>
        <v>208.65872561216122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1.5121641103325469</v>
      </c>
      <c r="AA130" s="23">
        <f>EXP(-LN(2)/25)*AA129+(1-EXP(-LN(2)/25))/(LN(2)/25)*Calculateur!V130*Calculateur!X130*VLOOKUP('Données projet'!$B$9,Paramètres!$A$1:$I$89,3,0)*0.475*44/12</f>
        <v>0.22701793372077797</v>
      </c>
      <c r="AB130" s="23">
        <f>EXP(-LN(2)/2)*AB129+(1-EXP(-LN(2)/2))/(LN(2)/2)*V130*Y130*VLOOKUP('Données projet'!$B$9,Paramètres!$A$1:$I$89,3,0)*0.475*44/12</f>
        <v>3.8350258053421452E-14</v>
      </c>
      <c r="AC130" s="24">
        <f t="shared" si="57"/>
        <v>1.7391820440533634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1.5429577615577727E-13</v>
      </c>
      <c r="AK130" s="14">
        <f t="shared" si="89"/>
        <v>2.2038482767263348E-12</v>
      </c>
      <c r="AL130" s="22">
        <f t="shared" si="58"/>
        <v>4.107100892103012E-12</v>
      </c>
      <c r="AM130" s="62">
        <f t="shared" si="59"/>
        <v>293.33333333333741</v>
      </c>
      <c r="AN130" s="62">
        <f ca="1">AVERAGE(OFFSET($AM$3,0,0,'Données projet'!$E$10+1,1))-AVERAGE(OFFSET($H$3,0,0,'Données projet'!$E$10+1,1))</f>
        <v>221.11420634571317</v>
      </c>
      <c r="AO130" s="62">
        <f t="shared" si="90"/>
        <v>133.63266168802033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6.3550942286383367E-14</v>
      </c>
      <c r="BF130" s="14">
        <f t="shared" si="91"/>
        <v>1.0064464192543978E-12</v>
      </c>
      <c r="BG130" s="22">
        <f t="shared" si="61"/>
        <v>1.8635787380168604E-12</v>
      </c>
      <c r="BH130" s="62">
        <f t="shared" si="62"/>
        <v>293.33333333333519</v>
      </c>
      <c r="BI130" s="62">
        <f ca="1">AVERAGE(OFFSET($BH$3,0,0,'Données projet'!$E$11+1,1))-AVERAGE(OFFSET($H$3,0,0,'Données projet'!$E$11+1,1))</f>
        <v>277.5990520183687</v>
      </c>
      <c r="BJ130" s="62">
        <f t="shared" si="92"/>
        <v>338.50140415303872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0.74081904669677578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5.3429230000409765E-14</v>
      </c>
      <c r="BS130" s="24">
        <f t="shared" si="63"/>
        <v>0.74081904669682919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-1.7053025658242404E-13</v>
      </c>
      <c r="O131" s="14">
        <f>N131*VLOOKUP('Données projet'!$B$9,Paramètres!$A$1:$I$89,3,0)*VLOOKUP('Données projet'!$B$9,Paramètres!$A$1:$I$89,5,0)</f>
        <v>-1.0197709343628959E-13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131.58904681787436</v>
      </c>
      <c r="T131" s="62">
        <f t="shared" si="88"/>
        <v>208.65872561216122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1.4825114944579605</v>
      </c>
      <c r="AA131" s="23">
        <f>EXP(-LN(2)/25)*AA130+(1-EXP(-LN(2)/25))/(LN(2)/25)*Calculateur!V131*Calculateur!X131*VLOOKUP('Données projet'!$B$9,Paramètres!$A$1:$I$89,3,0)*0.475*44/12</f>
        <v>0.22081011638482903</v>
      </c>
      <c r="AB131" s="23">
        <f>EXP(-LN(2)/2)*AB130+(1-EXP(-LN(2)/2))/(LN(2)/2)*V131*Y131*VLOOKUP('Données projet'!$B$9,Paramètres!$A$1:$I$89,3,0)*0.475*44/12</f>
        <v>2.7117727529828315E-14</v>
      </c>
      <c r="AC131" s="24">
        <f t="shared" si="57"/>
        <v>1.7033216108428166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1.5429577615577727E-13</v>
      </c>
      <c r="AK131" s="14">
        <f t="shared" si="89"/>
        <v>2.2038482767263348E-12</v>
      </c>
      <c r="AL131" s="22">
        <f t="shared" si="58"/>
        <v>4.107100892103012E-12</v>
      </c>
      <c r="AM131" s="62">
        <f t="shared" si="59"/>
        <v>293.33333333333741</v>
      </c>
      <c r="AN131" s="62">
        <f ca="1">AVERAGE(OFFSET($AM$3,0,0,'Données projet'!$E$10+1,1))-AVERAGE(OFFSET($H$3,0,0,'Données projet'!$E$10+1,1))</f>
        <v>221.11420634571317</v>
      </c>
      <c r="AO131" s="62">
        <f t="shared" si="90"/>
        <v>133.63266168802033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6.3550942286383367E-14</v>
      </c>
      <c r="BF131" s="14">
        <f t="shared" si="91"/>
        <v>1.0064464192543978E-12</v>
      </c>
      <c r="BG131" s="22">
        <f t="shared" si="61"/>
        <v>1.8635787380168604E-12</v>
      </c>
      <c r="BH131" s="62">
        <f t="shared" si="62"/>
        <v>293.33333333333519</v>
      </c>
      <c r="BI131" s="62">
        <f ca="1">AVERAGE(OFFSET($BH$3,0,0,'Données projet'!$E$11+1,1))-AVERAGE(OFFSET($H$3,0,0,'Données projet'!$E$11+1,1))</f>
        <v>277.5990520183687</v>
      </c>
      <c r="BJ131" s="62">
        <f t="shared" si="92"/>
        <v>338.50140415303872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0.7262920370460535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3.7780170846865468E-14</v>
      </c>
      <c r="BS131" s="24">
        <f t="shared" si="63"/>
        <v>0.72629203704609124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-1.7053025658242404E-13</v>
      </c>
      <c r="O132" s="14">
        <f>N132*VLOOKUP('Données projet'!$B$9,Paramètres!$A$1:$I$89,3,0)*VLOOKUP('Données projet'!$B$9,Paramètres!$A$1:$I$89,5,0)</f>
        <v>-1.0197709343628959E-13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131.58904681787436</v>
      </c>
      <c r="T132" s="62">
        <f t="shared" si="88"/>
        <v>208.65872561216122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1.453440348294365</v>
      </c>
      <c r="AA132" s="23">
        <f>EXP(-LN(2)/25)*AA131+(1-EXP(-LN(2)/25))/(LN(2)/25)*Calculateur!V132*Calculateur!X132*VLOOKUP('Données projet'!$B$9,Paramètres!$A$1:$I$89,3,0)*0.475*44/12</f>
        <v>0.21477205214038653</v>
      </c>
      <c r="AB132" s="23">
        <f>EXP(-LN(2)/2)*AB131+(1-EXP(-LN(2)/2))/(LN(2)/2)*V132*Y132*VLOOKUP('Données projet'!$B$9,Paramètres!$A$1:$I$89,3,0)*0.475*44/12</f>
        <v>1.9175129026710726E-14</v>
      </c>
      <c r="AC132" s="24">
        <f t="shared" ref="AC132:AC153" si="111">SUM(Z132:AB132)</f>
        <v>1.6682124004347707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1.5429577615577727E-13</v>
      </c>
      <c r="AK132" s="14">
        <f t="shared" si="89"/>
        <v>2.2038482767263348E-12</v>
      </c>
      <c r="AL132" s="22">
        <f t="shared" ref="AL132:AL153" si="112">(AJ132+AK132)*0.475*44/12</f>
        <v>4.107100892103012E-12</v>
      </c>
      <c r="AM132" s="62">
        <f t="shared" ref="AM132:AM195" si="113">AL132+(AD132+AE132)*44/12</f>
        <v>293.33333333333741</v>
      </c>
      <c r="AN132" s="62">
        <f ca="1">AVERAGE(OFFSET($AM$3,0,0,'Données projet'!$E$10+1,1))-AVERAGE(OFFSET($H$3,0,0,'Données projet'!$E$10+1,1))</f>
        <v>221.11420634571317</v>
      </c>
      <c r="AO132" s="62">
        <f t="shared" si="90"/>
        <v>133.63266168802033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6.3550942286383367E-14</v>
      </c>
      <c r="BF132" s="14">
        <f t="shared" si="91"/>
        <v>1.0064464192543978E-12</v>
      </c>
      <c r="BG132" s="22">
        <f t="shared" ref="BG132:BG153" si="115">(BE132+BF132)*0.475*44/12</f>
        <v>1.8635787380168604E-12</v>
      </c>
      <c r="BH132" s="62">
        <f t="shared" ref="BH132:BH195" si="116">BG132+(AY132+AZ132)*44/12</f>
        <v>293.33333333333519</v>
      </c>
      <c r="BI132" s="62">
        <f ca="1">AVERAGE(OFFSET($BH$3,0,0,'Données projet'!$E$11+1,1))-AVERAGE(OFFSET($H$3,0,0,'Données projet'!$E$11+1,1))</f>
        <v>277.5990520183687</v>
      </c>
      <c r="BJ132" s="62">
        <f t="shared" si="92"/>
        <v>338.50140415303872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0.71204989319398093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2.6714615000204882E-14</v>
      </c>
      <c r="BS132" s="24">
        <f t="shared" ref="BS132:BS153" si="117">SUM(BP132:BR132)</f>
        <v>0.71204989319400769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-1.7053025658242404E-13</v>
      </c>
      <c r="O133" s="14">
        <f>N133*VLOOKUP('Données projet'!$B$9,Paramètres!$A$1:$I$89,3,0)*VLOOKUP('Données projet'!$B$9,Paramètres!$A$1:$I$89,5,0)</f>
        <v>-1.0197709343628959E-13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131.58904681787436</v>
      </c>
      <c r="T133" s="62">
        <f t="shared" ref="T133:T196" si="142">$T$3</f>
        <v>208.65872561216122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1.4249392695753893</v>
      </c>
      <c r="AA133" s="23">
        <f>EXP(-LN(2)/25)*AA132+(1-EXP(-LN(2)/25))/(LN(2)/25)*Calculateur!V133*Calculateur!X133*VLOOKUP('Données projet'!$B$9,Paramètres!$A$1:$I$89,3,0)*0.475*44/12</f>
        <v>0.20889909908023629</v>
      </c>
      <c r="AB133" s="23">
        <f>EXP(-LN(2)/2)*AB132+(1-EXP(-LN(2)/2))/(LN(2)/2)*V133*Y133*VLOOKUP('Données projet'!$B$9,Paramètres!$A$1:$I$89,3,0)*0.475*44/12</f>
        <v>1.3558863764914157E-14</v>
      </c>
      <c r="AC133" s="24">
        <f t="shared" si="111"/>
        <v>1.633838368655639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1.5429577615577727E-13</v>
      </c>
      <c r="AK133" s="14">
        <f t="shared" ref="AK133:AK153" si="143">EXP(-1.0587+0.8836*LN(AJ133)+0.284)</f>
        <v>2.2038482767263348E-12</v>
      </c>
      <c r="AL133" s="22">
        <f t="shared" si="112"/>
        <v>4.107100892103012E-12</v>
      </c>
      <c r="AM133" s="62">
        <f t="shared" si="113"/>
        <v>293.33333333333741</v>
      </c>
      <c r="AN133" s="62">
        <f ca="1">AVERAGE(OFFSET($AM$3,0,0,'Données projet'!$E$10+1,1))-AVERAGE(OFFSET($H$3,0,0,'Données projet'!$E$10+1,1))</f>
        <v>221.11420634571317</v>
      </c>
      <c r="AO133" s="62">
        <f t="shared" ref="AO133:AO196" si="144">$AO$3</f>
        <v>133.63266168802033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6.3550942286383367E-14</v>
      </c>
      <c r="BF133" s="14">
        <f t="shared" ref="BF133:BF153" si="145">EXP(-1.0587+0.8836*LN(BE133)+0.284)</f>
        <v>1.0064464192543978E-12</v>
      </c>
      <c r="BG133" s="22">
        <f t="shared" si="115"/>
        <v>1.8635787380168604E-12</v>
      </c>
      <c r="BH133" s="62">
        <f t="shared" si="116"/>
        <v>293.33333333333519</v>
      </c>
      <c r="BI133" s="62">
        <f ca="1">AVERAGE(OFFSET($BH$3,0,0,'Données projet'!$E$11+1,1))-AVERAGE(OFFSET($H$3,0,0,'Données projet'!$E$11+1,1))</f>
        <v>277.5990520183687</v>
      </c>
      <c r="BJ133" s="62">
        <f t="shared" ref="BJ133:BJ196" si="146">$BJ$3</f>
        <v>338.50140415303872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0.69808702909599751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1.8890085423432734E-14</v>
      </c>
      <c r="BS133" s="24">
        <f t="shared" si="117"/>
        <v>0.69808702909601639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-1.7053025658242404E-13</v>
      </c>
      <c r="O134" s="14">
        <f>N134*VLOOKUP('Données projet'!$B$9,Paramètres!$A$1:$I$89,3,0)*VLOOKUP('Données projet'!$B$9,Paramètres!$A$1:$I$89,5,0)</f>
        <v>-1.0197709343628959E-13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131.58904681787436</v>
      </c>
      <c r="T134" s="62">
        <f t="shared" si="142"/>
        <v>208.65872561216122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1.3969970796261513</v>
      </c>
      <c r="AA134" s="23">
        <f>EXP(-LN(2)/25)*AA133+(1-EXP(-LN(2)/25))/(LN(2)/25)*Calculateur!V134*Calculateur!X134*VLOOKUP('Données projet'!$B$9,Paramètres!$A$1:$I$89,3,0)*0.475*44/12</f>
        <v>0.20318674223036107</v>
      </c>
      <c r="AB134" s="23">
        <f>EXP(-LN(2)/2)*AB133+(1-EXP(-LN(2)/2))/(LN(2)/2)*V134*Y134*VLOOKUP('Données projet'!$B$9,Paramètres!$A$1:$I$89,3,0)*0.475*44/12</f>
        <v>9.587564513355363E-15</v>
      </c>
      <c r="AC134" s="24">
        <f t="shared" si="111"/>
        <v>1.6001838218565219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1.5429577615577727E-13</v>
      </c>
      <c r="AK134" s="14">
        <f t="shared" si="143"/>
        <v>2.2038482767263348E-12</v>
      </c>
      <c r="AL134" s="22">
        <f t="shared" si="112"/>
        <v>4.107100892103012E-12</v>
      </c>
      <c r="AM134" s="62">
        <f t="shared" si="113"/>
        <v>293.33333333333741</v>
      </c>
      <c r="AN134" s="62">
        <f ca="1">AVERAGE(OFFSET($AM$3,0,0,'Données projet'!$E$10+1,1))-AVERAGE(OFFSET($H$3,0,0,'Données projet'!$E$10+1,1))</f>
        <v>221.11420634571317</v>
      </c>
      <c r="AO134" s="62">
        <f t="shared" si="144"/>
        <v>133.63266168802033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6.3550942286383367E-14</v>
      </c>
      <c r="BF134" s="14">
        <f t="shared" si="145"/>
        <v>1.0064464192543978E-12</v>
      </c>
      <c r="BG134" s="22">
        <f t="shared" si="115"/>
        <v>1.8635787380168604E-12</v>
      </c>
      <c r="BH134" s="62">
        <f t="shared" si="116"/>
        <v>293.33333333333519</v>
      </c>
      <c r="BI134" s="62">
        <f ca="1">AVERAGE(OFFSET($BH$3,0,0,'Données projet'!$E$11+1,1))-AVERAGE(OFFSET($H$3,0,0,'Données projet'!$E$11+1,1))</f>
        <v>277.5990520183687</v>
      </c>
      <c r="BJ134" s="62">
        <f t="shared" si="146"/>
        <v>338.50140415303872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0.68439796824646937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1.3357307500102441E-14</v>
      </c>
      <c r="BS134" s="24">
        <f t="shared" si="117"/>
        <v>0.68439796824648269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-1.7053025658242404E-13</v>
      </c>
      <c r="O135" s="14">
        <f>N135*VLOOKUP('Données projet'!$B$9,Paramètres!$A$1:$I$89,3,0)*VLOOKUP('Données projet'!$B$9,Paramètres!$A$1:$I$89,5,0)</f>
        <v>-1.0197709343628959E-13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131.58904681787436</v>
      </c>
      <c r="T135" s="62">
        <f t="shared" si="142"/>
        <v>208.65872561216122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1.3696028189787648</v>
      </c>
      <c r="AA135" s="23">
        <f>EXP(-LN(2)/25)*AA134+(1-EXP(-LN(2)/25))/(LN(2)/25)*Calculateur!V135*Calculateur!X135*VLOOKUP('Données projet'!$B$9,Paramètres!$A$1:$I$89,3,0)*0.475*44/12</f>
        <v>0.19763059007894546</v>
      </c>
      <c r="AB135" s="23">
        <f>EXP(-LN(2)/2)*AB134+(1-EXP(-LN(2)/2))/(LN(2)/2)*V135*Y135*VLOOKUP('Données projet'!$B$9,Paramètres!$A$1:$I$89,3,0)*0.475*44/12</f>
        <v>6.7794318824570787E-15</v>
      </c>
      <c r="AC135" s="24">
        <f t="shared" si="111"/>
        <v>1.5672334090577171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1.5429577615577727E-13</v>
      </c>
      <c r="AK135" s="14">
        <f t="shared" si="143"/>
        <v>2.2038482767263348E-12</v>
      </c>
      <c r="AL135" s="22">
        <f t="shared" si="112"/>
        <v>4.107100892103012E-12</v>
      </c>
      <c r="AM135" s="62">
        <f t="shared" si="113"/>
        <v>293.33333333333741</v>
      </c>
      <c r="AN135" s="62">
        <f ca="1">AVERAGE(OFFSET($AM$3,0,0,'Données projet'!$E$10+1,1))-AVERAGE(OFFSET($H$3,0,0,'Données projet'!$E$10+1,1))</f>
        <v>221.11420634571317</v>
      </c>
      <c r="AO135" s="62">
        <f t="shared" si="144"/>
        <v>133.63266168802033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6.3550942286383367E-14</v>
      </c>
      <c r="BF135" s="14">
        <f t="shared" si="145"/>
        <v>1.0064464192543978E-12</v>
      </c>
      <c r="BG135" s="22">
        <f t="shared" si="115"/>
        <v>1.8635787380168604E-12</v>
      </c>
      <c r="BH135" s="62">
        <f t="shared" si="116"/>
        <v>293.33333333333519</v>
      </c>
      <c r="BI135" s="62">
        <f ca="1">AVERAGE(OFFSET($BH$3,0,0,'Données projet'!$E$11+1,1))-AVERAGE(OFFSET($H$3,0,0,'Données projet'!$E$11+1,1))</f>
        <v>277.5990520183687</v>
      </c>
      <c r="BJ135" s="62">
        <f t="shared" si="146"/>
        <v>338.50140415303872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0.67097734153069777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9.4450427117163669E-15</v>
      </c>
      <c r="BS135" s="24">
        <f t="shared" si="117"/>
        <v>0.67097734153070721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-1.7053025658242404E-13</v>
      </c>
      <c r="O136" s="14">
        <f>N136*VLOOKUP('Données projet'!$B$9,Paramètres!$A$1:$I$89,3,0)*VLOOKUP('Données projet'!$B$9,Paramètres!$A$1:$I$89,5,0)</f>
        <v>-1.0197709343628959E-13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131.58904681787436</v>
      </c>
      <c r="T136" s="62">
        <f t="shared" si="142"/>
        <v>208.65872561216122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1.3427457430738243</v>
      </c>
      <c r="AA136" s="23">
        <f>EXP(-LN(2)/25)*AA135+(1-EXP(-LN(2)/25))/(LN(2)/25)*Calculateur!V136*Calculateur!X136*VLOOKUP('Données projet'!$B$9,Paramètres!$A$1:$I$89,3,0)*0.475*44/12</f>
        <v>0.19222637120029565</v>
      </c>
      <c r="AB136" s="23">
        <f>EXP(-LN(2)/2)*AB135+(1-EXP(-LN(2)/2))/(LN(2)/2)*V136*Y136*VLOOKUP('Données projet'!$B$9,Paramètres!$A$1:$I$89,3,0)*0.475*44/12</f>
        <v>4.7937822566776815E-15</v>
      </c>
      <c r="AC136" s="24">
        <f t="shared" si="111"/>
        <v>1.5349721142741248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1.5429577615577727E-13</v>
      </c>
      <c r="AK136" s="14">
        <f t="shared" si="143"/>
        <v>2.2038482767263348E-12</v>
      </c>
      <c r="AL136" s="22">
        <f t="shared" si="112"/>
        <v>4.107100892103012E-12</v>
      </c>
      <c r="AM136" s="62">
        <f t="shared" si="113"/>
        <v>293.33333333333741</v>
      </c>
      <c r="AN136" s="62">
        <f ca="1">AVERAGE(OFFSET($AM$3,0,0,'Données projet'!$E$10+1,1))-AVERAGE(OFFSET($H$3,0,0,'Données projet'!$E$10+1,1))</f>
        <v>221.11420634571317</v>
      </c>
      <c r="AO136" s="62">
        <f t="shared" si="144"/>
        <v>133.63266168802033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6.3550942286383367E-14</v>
      </c>
      <c r="BF136" s="14">
        <f t="shared" si="145"/>
        <v>1.0064464192543978E-12</v>
      </c>
      <c r="BG136" s="22">
        <f t="shared" si="115"/>
        <v>1.8635787380168604E-12</v>
      </c>
      <c r="BH136" s="62">
        <f t="shared" si="116"/>
        <v>293.33333333333519</v>
      </c>
      <c r="BI136" s="62">
        <f ca="1">AVERAGE(OFFSET($BH$3,0,0,'Données projet'!$E$11+1,1))-AVERAGE(OFFSET($H$3,0,0,'Données projet'!$E$11+1,1))</f>
        <v>277.5990520183687</v>
      </c>
      <c r="BJ136" s="62">
        <f t="shared" si="146"/>
        <v>338.50140415303872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0.65781988511904843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6.6786537500512206E-15</v>
      </c>
      <c r="BS136" s="24">
        <f t="shared" si="117"/>
        <v>0.65781988511905509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-1.7053025658242404E-13</v>
      </c>
      <c r="O137" s="14">
        <f>N137*VLOOKUP('Données projet'!$B$9,Paramètres!$A$1:$I$89,3,0)*VLOOKUP('Données projet'!$B$9,Paramètres!$A$1:$I$89,5,0)</f>
        <v>-1.0197709343628959E-13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131.58904681787436</v>
      </c>
      <c r="T137" s="62">
        <f t="shared" si="142"/>
        <v>208.65872561216122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1.3164153180461811</v>
      </c>
      <c r="AA137" s="23">
        <f>EXP(-LN(2)/25)*AA136+(1-EXP(-LN(2)/25))/(LN(2)/25)*Calculateur!V137*Calculateur!X137*VLOOKUP('Données projet'!$B$9,Paramètres!$A$1:$I$89,3,0)*0.475*44/12</f>
        <v>0.18696993097107803</v>
      </c>
      <c r="AB137" s="23">
        <f>EXP(-LN(2)/2)*AB136+(1-EXP(-LN(2)/2))/(LN(2)/2)*V137*Y137*VLOOKUP('Données projet'!$B$9,Paramètres!$A$1:$I$89,3,0)*0.475*44/12</f>
        <v>3.3897159412285394E-15</v>
      </c>
      <c r="AC137" s="24">
        <f t="shared" si="111"/>
        <v>1.5033852490172623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1.5429577615577727E-13</v>
      </c>
      <c r="AK137" s="14">
        <f t="shared" si="143"/>
        <v>2.2038482767263348E-12</v>
      </c>
      <c r="AL137" s="22">
        <f t="shared" si="112"/>
        <v>4.107100892103012E-12</v>
      </c>
      <c r="AM137" s="62">
        <f t="shared" si="113"/>
        <v>293.33333333333741</v>
      </c>
      <c r="AN137" s="62">
        <f ca="1">AVERAGE(OFFSET($AM$3,0,0,'Données projet'!$E$10+1,1))-AVERAGE(OFFSET($H$3,0,0,'Données projet'!$E$10+1,1))</f>
        <v>221.11420634571317</v>
      </c>
      <c r="AO137" s="62">
        <f t="shared" si="144"/>
        <v>133.63266168802033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6.3550942286383367E-14</v>
      </c>
      <c r="BF137" s="14">
        <f t="shared" si="145"/>
        <v>1.0064464192543978E-12</v>
      </c>
      <c r="BG137" s="22">
        <f t="shared" si="115"/>
        <v>1.8635787380168604E-12</v>
      </c>
      <c r="BH137" s="62">
        <f t="shared" si="116"/>
        <v>293.33333333333519</v>
      </c>
      <c r="BI137" s="62">
        <f ca="1">AVERAGE(OFFSET($BH$3,0,0,'Données projet'!$E$11+1,1))-AVERAGE(OFFSET($H$3,0,0,'Données projet'!$E$11+1,1))</f>
        <v>277.5990520183687</v>
      </c>
      <c r="BJ137" s="62">
        <f t="shared" si="146"/>
        <v>338.50140415303872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0.64492043840237556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4.7225213558581835E-15</v>
      </c>
      <c r="BS137" s="24">
        <f t="shared" si="117"/>
        <v>0.64492043840238034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-1.7053025658242404E-13</v>
      </c>
      <c r="O138" s="14">
        <f>N138*VLOOKUP('Données projet'!$B$9,Paramètres!$A$1:$I$89,3,0)*VLOOKUP('Données projet'!$B$9,Paramètres!$A$1:$I$89,5,0)</f>
        <v>-1.0197709343628959E-13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131.58904681787436</v>
      </c>
      <c r="T138" s="62">
        <f t="shared" si="142"/>
        <v>208.65872561216122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1.2906012165933562</v>
      </c>
      <c r="AA138" s="23">
        <f>EXP(-LN(2)/25)*AA137+(1-EXP(-LN(2)/25))/(LN(2)/25)*Calculateur!V138*Calculateur!X138*VLOOKUP('Données projet'!$B$9,Paramètres!$A$1:$I$89,3,0)*0.475*44/12</f>
        <v>0.18185722837635257</v>
      </c>
      <c r="AB138" s="23">
        <f>EXP(-LN(2)/2)*AB137+(1-EXP(-LN(2)/2))/(LN(2)/2)*V138*Y138*VLOOKUP('Données projet'!$B$9,Paramètres!$A$1:$I$89,3,0)*0.475*44/12</f>
        <v>2.3968911283388407E-15</v>
      </c>
      <c r="AC138" s="24">
        <f t="shared" si="111"/>
        <v>1.4724584449697113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1.5429577615577727E-13</v>
      </c>
      <c r="AK138" s="14">
        <f t="shared" si="143"/>
        <v>2.2038482767263348E-12</v>
      </c>
      <c r="AL138" s="22">
        <f t="shared" si="112"/>
        <v>4.107100892103012E-12</v>
      </c>
      <c r="AM138" s="62">
        <f t="shared" si="113"/>
        <v>293.33333333333741</v>
      </c>
      <c r="AN138" s="62">
        <f ca="1">AVERAGE(OFFSET($AM$3,0,0,'Données projet'!$E$10+1,1))-AVERAGE(OFFSET($H$3,0,0,'Données projet'!$E$10+1,1))</f>
        <v>221.11420634571317</v>
      </c>
      <c r="AO138" s="62">
        <f t="shared" si="144"/>
        <v>133.63266168802033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6.3550942286383367E-14</v>
      </c>
      <c r="BF138" s="14">
        <f t="shared" si="145"/>
        <v>1.0064464192543978E-12</v>
      </c>
      <c r="BG138" s="22">
        <f t="shared" si="115"/>
        <v>1.8635787380168604E-12</v>
      </c>
      <c r="BH138" s="62">
        <f t="shared" si="116"/>
        <v>293.33333333333519</v>
      </c>
      <c r="BI138" s="62">
        <f ca="1">AVERAGE(OFFSET($BH$3,0,0,'Données projet'!$E$11+1,1))-AVERAGE(OFFSET($H$3,0,0,'Données projet'!$E$11+1,1))</f>
        <v>277.5990520183687</v>
      </c>
      <c r="BJ138" s="62">
        <f t="shared" si="146"/>
        <v>338.50140415303872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0.63227394196793107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3.3393268750256103E-15</v>
      </c>
      <c r="BS138" s="24">
        <f t="shared" si="117"/>
        <v>0.63227394196793441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-1.7053025658242404E-13</v>
      </c>
      <c r="O139" s="14">
        <f>N139*VLOOKUP('Données projet'!$B$9,Paramètres!$A$1:$I$89,3,0)*VLOOKUP('Données projet'!$B$9,Paramètres!$A$1:$I$89,5,0)</f>
        <v>-1.0197709343628959E-13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131.58904681787436</v>
      </c>
      <c r="T139" s="62">
        <f t="shared" si="142"/>
        <v>208.65872561216122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1.2652933139249742</v>
      </c>
      <c r="AA139" s="23">
        <f>EXP(-LN(2)/25)*AA138+(1-EXP(-LN(2)/25))/(LN(2)/25)*Calculateur!V139*Calculateur!X139*VLOOKUP('Données projet'!$B$9,Paramètres!$A$1:$I$89,3,0)*0.475*44/12</f>
        <v>0.1768843329029452</v>
      </c>
      <c r="AB139" s="23">
        <f>EXP(-LN(2)/2)*AB138+(1-EXP(-LN(2)/2))/(LN(2)/2)*V139*Y139*VLOOKUP('Données projet'!$B$9,Paramètres!$A$1:$I$89,3,0)*0.475*44/12</f>
        <v>1.6948579706142697E-15</v>
      </c>
      <c r="AC139" s="24">
        <f t="shared" si="111"/>
        <v>1.4421776468279213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1.5429577615577727E-13</v>
      </c>
      <c r="AK139" s="14">
        <f t="shared" si="143"/>
        <v>2.2038482767263348E-12</v>
      </c>
      <c r="AL139" s="22">
        <f t="shared" si="112"/>
        <v>4.107100892103012E-12</v>
      </c>
      <c r="AM139" s="62">
        <f t="shared" si="113"/>
        <v>293.33333333333741</v>
      </c>
      <c r="AN139" s="62">
        <f ca="1">AVERAGE(OFFSET($AM$3,0,0,'Données projet'!$E$10+1,1))-AVERAGE(OFFSET($H$3,0,0,'Données projet'!$E$10+1,1))</f>
        <v>221.11420634571317</v>
      </c>
      <c r="AO139" s="62">
        <f t="shared" si="144"/>
        <v>133.63266168802033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6.3550942286383367E-14</v>
      </c>
      <c r="BF139" s="14">
        <f t="shared" si="145"/>
        <v>1.0064464192543978E-12</v>
      </c>
      <c r="BG139" s="22">
        <f t="shared" si="115"/>
        <v>1.8635787380168604E-12</v>
      </c>
      <c r="BH139" s="62">
        <f t="shared" si="116"/>
        <v>293.33333333333519</v>
      </c>
      <c r="BI139" s="62">
        <f ca="1">AVERAGE(OFFSET($BH$3,0,0,'Données projet'!$E$11+1,1))-AVERAGE(OFFSET($H$3,0,0,'Données projet'!$E$11+1,1))</f>
        <v>277.5990520183687</v>
      </c>
      <c r="BJ139" s="62">
        <f t="shared" si="146"/>
        <v>338.50140415303872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0.61987543561496483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2.3612606779290917E-15</v>
      </c>
      <c r="BS139" s="24">
        <f t="shared" si="117"/>
        <v>0.61987543561496716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-1.7053025658242404E-13</v>
      </c>
      <c r="O140" s="14">
        <f>N140*VLOOKUP('Données projet'!$B$9,Paramètres!$A$1:$I$89,3,0)*VLOOKUP('Données projet'!$B$9,Paramètres!$A$1:$I$89,5,0)</f>
        <v>-1.0197709343628959E-13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131.58904681787436</v>
      </c>
      <c r="T140" s="62">
        <f t="shared" si="142"/>
        <v>208.65872561216122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1.2404816837916228</v>
      </c>
      <c r="AA140" s="23">
        <f>EXP(-LN(2)/25)*AA139+(1-EXP(-LN(2)/25))/(LN(2)/25)*Calculateur!V140*Calculateur!X140*VLOOKUP('Données projet'!$B$9,Paramètres!$A$1:$I$89,3,0)*0.475*44/12</f>
        <v>0.17204742151777136</v>
      </c>
      <c r="AB140" s="23">
        <f>EXP(-LN(2)/2)*AB139+(1-EXP(-LN(2)/2))/(LN(2)/2)*V140*Y140*VLOOKUP('Données projet'!$B$9,Paramètres!$A$1:$I$89,3,0)*0.475*44/12</f>
        <v>1.1984455641694204E-15</v>
      </c>
      <c r="AC140" s="24">
        <f t="shared" si="111"/>
        <v>1.4125291053093953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1.5429577615577727E-13</v>
      </c>
      <c r="AK140" s="14">
        <f t="shared" si="143"/>
        <v>2.2038482767263348E-12</v>
      </c>
      <c r="AL140" s="22">
        <f t="shared" si="112"/>
        <v>4.107100892103012E-12</v>
      </c>
      <c r="AM140" s="62">
        <f t="shared" si="113"/>
        <v>293.33333333333741</v>
      </c>
      <c r="AN140" s="62">
        <f ca="1">AVERAGE(OFFSET($AM$3,0,0,'Données projet'!$E$10+1,1))-AVERAGE(OFFSET($H$3,0,0,'Données projet'!$E$10+1,1))</f>
        <v>221.11420634571317</v>
      </c>
      <c r="AO140" s="62">
        <f t="shared" si="144"/>
        <v>133.63266168802033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6.3550942286383367E-14</v>
      </c>
      <c r="BF140" s="14">
        <f t="shared" si="145"/>
        <v>1.0064464192543978E-12</v>
      </c>
      <c r="BG140" s="22">
        <f t="shared" si="115"/>
        <v>1.8635787380168604E-12</v>
      </c>
      <c r="BH140" s="62">
        <f t="shared" si="116"/>
        <v>293.33333333333519</v>
      </c>
      <c r="BI140" s="62">
        <f ca="1">AVERAGE(OFFSET($BH$3,0,0,'Données projet'!$E$11+1,1))-AVERAGE(OFFSET($H$3,0,0,'Données projet'!$E$11+1,1))</f>
        <v>277.5990520183687</v>
      </c>
      <c r="BJ140" s="62">
        <f t="shared" si="146"/>
        <v>338.50140415303872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0.6077200564092381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1.6696634375128052E-15</v>
      </c>
      <c r="BS140" s="24">
        <f t="shared" si="117"/>
        <v>0.60772005640923976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-1.7053025658242404E-13</v>
      </c>
      <c r="O141" s="14">
        <f>N141*VLOOKUP('Données projet'!$B$9,Paramètres!$A$1:$I$89,3,0)*VLOOKUP('Données projet'!$B$9,Paramètres!$A$1:$I$89,5,0)</f>
        <v>-1.0197709343628959E-13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131.58904681787436</v>
      </c>
      <c r="T141" s="62">
        <f t="shared" si="142"/>
        <v>208.65872561216122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1.2161565945915862</v>
      </c>
      <c r="AA141" s="23">
        <f>EXP(-LN(2)/25)*AA140+(1-EXP(-LN(2)/25))/(LN(2)/25)*Calculateur!V141*Calculateur!X141*VLOOKUP('Données projet'!$B$9,Paramètres!$A$1:$I$89,3,0)*0.475*44/12</f>
        <v>0.16734277572878722</v>
      </c>
      <c r="AB141" s="23">
        <f>EXP(-LN(2)/2)*AB140+(1-EXP(-LN(2)/2))/(LN(2)/2)*V141*Y141*VLOOKUP('Données projet'!$B$9,Paramètres!$A$1:$I$89,3,0)*0.475*44/12</f>
        <v>8.4742898530713484E-16</v>
      </c>
      <c r="AC141" s="24">
        <f t="shared" si="111"/>
        <v>1.3834993703203744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1.5429577615577727E-13</v>
      </c>
      <c r="AK141" s="14">
        <f t="shared" si="143"/>
        <v>2.2038482767263348E-12</v>
      </c>
      <c r="AL141" s="22">
        <f t="shared" si="112"/>
        <v>4.107100892103012E-12</v>
      </c>
      <c r="AM141" s="62">
        <f t="shared" si="113"/>
        <v>293.33333333333741</v>
      </c>
      <c r="AN141" s="62">
        <f ca="1">AVERAGE(OFFSET($AM$3,0,0,'Données projet'!$E$10+1,1))-AVERAGE(OFFSET($H$3,0,0,'Données projet'!$E$10+1,1))</f>
        <v>221.11420634571317</v>
      </c>
      <c r="AO141" s="62">
        <f t="shared" si="144"/>
        <v>133.63266168802033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6.3550942286383367E-14</v>
      </c>
      <c r="BF141" s="14">
        <f t="shared" si="145"/>
        <v>1.0064464192543978E-12</v>
      </c>
      <c r="BG141" s="22">
        <f t="shared" si="115"/>
        <v>1.8635787380168604E-12</v>
      </c>
      <c r="BH141" s="62">
        <f t="shared" si="116"/>
        <v>293.33333333333519</v>
      </c>
      <c r="BI141" s="62">
        <f ca="1">AVERAGE(OFFSET($BH$3,0,0,'Données projet'!$E$11+1,1))-AVERAGE(OFFSET($H$3,0,0,'Données projet'!$E$11+1,1))</f>
        <v>277.5990520183687</v>
      </c>
      <c r="BJ141" s="62">
        <f t="shared" si="146"/>
        <v>338.50140415303872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0.59580303677568647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1.1806303389645459E-15</v>
      </c>
      <c r="BS141" s="24">
        <f t="shared" si="117"/>
        <v>0.59580303677568769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-1.7053025658242404E-13</v>
      </c>
      <c r="O142" s="14">
        <f>N142*VLOOKUP('Données projet'!$B$9,Paramètres!$A$1:$I$89,3,0)*VLOOKUP('Données projet'!$B$9,Paramètres!$A$1:$I$89,5,0)</f>
        <v>-1.0197709343628959E-13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131.58904681787436</v>
      </c>
      <c r="T142" s="62">
        <f t="shared" si="142"/>
        <v>208.65872561216122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1.1923085055539231</v>
      </c>
      <c r="AA142" s="23">
        <f>EXP(-LN(2)/25)*AA141+(1-EXP(-LN(2)/25))/(LN(2)/25)*Calculateur!V142*Calculateur!X142*VLOOKUP('Données projet'!$B$9,Paramètres!$A$1:$I$89,3,0)*0.475*44/12</f>
        <v>0.16276677872630943</v>
      </c>
      <c r="AB142" s="23">
        <f>EXP(-LN(2)/2)*AB141+(1-EXP(-LN(2)/2))/(LN(2)/2)*V142*Y142*VLOOKUP('Données projet'!$B$9,Paramètres!$A$1:$I$89,3,0)*0.475*44/12</f>
        <v>5.9922278208471019E-16</v>
      </c>
      <c r="AC142" s="24">
        <f t="shared" si="111"/>
        <v>1.3550752842802332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1.5429577615577727E-13</v>
      </c>
      <c r="AK142" s="14">
        <f t="shared" si="143"/>
        <v>2.2038482767263348E-12</v>
      </c>
      <c r="AL142" s="22">
        <f t="shared" si="112"/>
        <v>4.107100892103012E-12</v>
      </c>
      <c r="AM142" s="62">
        <f t="shared" si="113"/>
        <v>293.33333333333741</v>
      </c>
      <c r="AN142" s="62">
        <f ca="1">AVERAGE(OFFSET($AM$3,0,0,'Données projet'!$E$10+1,1))-AVERAGE(OFFSET($H$3,0,0,'Données projet'!$E$10+1,1))</f>
        <v>221.11420634571317</v>
      </c>
      <c r="AO142" s="62">
        <f t="shared" si="144"/>
        <v>133.63266168802033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6.3550942286383367E-14</v>
      </c>
      <c r="BF142" s="14">
        <f t="shared" si="145"/>
        <v>1.0064464192543978E-12</v>
      </c>
      <c r="BG142" s="22">
        <f t="shared" si="115"/>
        <v>1.8635787380168604E-12</v>
      </c>
      <c r="BH142" s="62">
        <f t="shared" si="116"/>
        <v>293.33333333333519</v>
      </c>
      <c r="BI142" s="62">
        <f ca="1">AVERAGE(OFFSET($BH$3,0,0,'Données projet'!$E$11+1,1))-AVERAGE(OFFSET($H$3,0,0,'Données projet'!$E$11+1,1))</f>
        <v>277.5990520183687</v>
      </c>
      <c r="BJ142" s="62">
        <f t="shared" si="146"/>
        <v>338.50140415303872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0.58411970262848456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8.3483171875640258E-16</v>
      </c>
      <c r="BS142" s="24">
        <f t="shared" si="117"/>
        <v>0.58411970262848545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-1.7053025658242404E-13</v>
      </c>
      <c r="O143" s="14">
        <f>N143*VLOOKUP('Données projet'!$B$9,Paramètres!$A$1:$I$89,3,0)*VLOOKUP('Données projet'!$B$9,Paramètres!$A$1:$I$89,5,0)</f>
        <v>-1.0197709343628959E-13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131.58904681787436</v>
      </c>
      <c r="T143" s="62">
        <f t="shared" si="142"/>
        <v>208.65872561216122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1.1689280629963905</v>
      </c>
      <c r="AA143" s="23">
        <f>EXP(-LN(2)/25)*AA142+(1-EXP(-LN(2)/25))/(LN(2)/25)*Calculateur!V143*Calculateur!X143*VLOOKUP('Données projet'!$B$9,Paramètres!$A$1:$I$89,3,0)*0.475*44/12</f>
        <v>0.1583159126025056</v>
      </c>
      <c r="AB143" s="23">
        <f>EXP(-LN(2)/2)*AB142+(1-EXP(-LN(2)/2))/(LN(2)/2)*V143*Y143*VLOOKUP('Données projet'!$B$9,Paramètres!$A$1:$I$89,3,0)*0.475*44/12</f>
        <v>4.2371449265356742E-16</v>
      </c>
      <c r="AC143" s="24">
        <f t="shared" si="111"/>
        <v>1.3272439755988965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1.5429577615577727E-13</v>
      </c>
      <c r="AK143" s="14">
        <f t="shared" si="143"/>
        <v>2.2038482767263348E-12</v>
      </c>
      <c r="AL143" s="22">
        <f t="shared" si="112"/>
        <v>4.107100892103012E-12</v>
      </c>
      <c r="AM143" s="62">
        <f t="shared" si="113"/>
        <v>293.33333333333741</v>
      </c>
      <c r="AN143" s="62">
        <f ca="1">AVERAGE(OFFSET($AM$3,0,0,'Données projet'!$E$10+1,1))-AVERAGE(OFFSET($H$3,0,0,'Données projet'!$E$10+1,1))</f>
        <v>221.11420634571317</v>
      </c>
      <c r="AO143" s="62">
        <f t="shared" si="144"/>
        <v>133.63266168802033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6.3550942286383367E-14</v>
      </c>
      <c r="BF143" s="14">
        <f t="shared" si="145"/>
        <v>1.0064464192543978E-12</v>
      </c>
      <c r="BG143" s="22">
        <f t="shared" si="115"/>
        <v>1.8635787380168604E-12</v>
      </c>
      <c r="BH143" s="62">
        <f t="shared" si="116"/>
        <v>293.33333333333519</v>
      </c>
      <c r="BI143" s="62">
        <f ca="1">AVERAGE(OFFSET($BH$3,0,0,'Données projet'!$E$11+1,1))-AVERAGE(OFFSET($H$3,0,0,'Données projet'!$E$11+1,1))</f>
        <v>277.5990520183687</v>
      </c>
      <c r="BJ143" s="62">
        <f t="shared" si="146"/>
        <v>338.50140415303872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0.57266547153777903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5.9031516948227293E-16</v>
      </c>
      <c r="BS143" s="24">
        <f t="shared" si="117"/>
        <v>0.57266547153777958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-1.7053025658242404E-13</v>
      </c>
      <c r="O144" s="14">
        <f>N144*VLOOKUP('Données projet'!$B$9,Paramètres!$A$1:$I$89,3,0)*VLOOKUP('Données projet'!$B$9,Paramètres!$A$1:$I$89,5,0)</f>
        <v>-1.0197709343628959E-13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131.58904681787436</v>
      </c>
      <c r="T144" s="62">
        <f t="shared" si="142"/>
        <v>208.65872561216122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1.1460060966567491</v>
      </c>
      <c r="AA144" s="23">
        <f>EXP(-LN(2)/25)*AA143+(1-EXP(-LN(2)/25))/(LN(2)/25)*Calculateur!V144*Calculateur!X144*VLOOKUP('Données projet'!$B$9,Paramètres!$A$1:$I$89,3,0)*0.475*44/12</f>
        <v>0.15398675564691808</v>
      </c>
      <c r="AB144" s="23">
        <f>EXP(-LN(2)/2)*AB143+(1-EXP(-LN(2)/2))/(LN(2)/2)*V144*Y144*VLOOKUP('Données projet'!$B$9,Paramètres!$A$1:$I$89,3,0)*0.475*44/12</f>
        <v>2.9961139104235509E-16</v>
      </c>
      <c r="AC144" s="24">
        <f t="shared" si="111"/>
        <v>1.2999928523036675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1.5429577615577727E-13</v>
      </c>
      <c r="AK144" s="14">
        <f t="shared" si="143"/>
        <v>2.2038482767263348E-12</v>
      </c>
      <c r="AL144" s="22">
        <f t="shared" si="112"/>
        <v>4.107100892103012E-12</v>
      </c>
      <c r="AM144" s="62">
        <f t="shared" si="113"/>
        <v>293.33333333333741</v>
      </c>
      <c r="AN144" s="62">
        <f ca="1">AVERAGE(OFFSET($AM$3,0,0,'Données projet'!$E$10+1,1))-AVERAGE(OFFSET($H$3,0,0,'Données projet'!$E$10+1,1))</f>
        <v>221.11420634571317</v>
      </c>
      <c r="AO144" s="62">
        <f t="shared" si="144"/>
        <v>133.63266168802033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6.3550942286383367E-14</v>
      </c>
      <c r="BF144" s="14">
        <f t="shared" si="145"/>
        <v>1.0064464192543978E-12</v>
      </c>
      <c r="BG144" s="22">
        <f t="shared" si="115"/>
        <v>1.8635787380168604E-12</v>
      </c>
      <c r="BH144" s="62">
        <f t="shared" si="116"/>
        <v>293.33333333333519</v>
      </c>
      <c r="BI144" s="62">
        <f ca="1">AVERAGE(OFFSET($BH$3,0,0,'Données projet'!$E$11+1,1))-AVERAGE(OFFSET($H$3,0,0,'Données projet'!$E$11+1,1))</f>
        <v>277.5990520183687</v>
      </c>
      <c r="BJ144" s="62">
        <f t="shared" si="146"/>
        <v>338.50140415303872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0.56143585093237114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4.1741585937820129E-16</v>
      </c>
      <c r="BS144" s="24">
        <f t="shared" si="117"/>
        <v>0.56143585093237158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-1.7053025658242404E-13</v>
      </c>
      <c r="O145" s="14">
        <f>N145*VLOOKUP('Données projet'!$B$9,Paramètres!$A$1:$I$89,3,0)*VLOOKUP('Données projet'!$B$9,Paramètres!$A$1:$I$89,5,0)</f>
        <v>-1.0197709343628959E-13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131.58904681787436</v>
      </c>
      <c r="T145" s="62">
        <f t="shared" si="142"/>
        <v>208.65872561216122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1.1235336160960092</v>
      </c>
      <c r="AA145" s="23">
        <f>EXP(-LN(2)/25)*AA144+(1-EXP(-LN(2)/25))/(LN(2)/25)*Calculateur!V145*Calculateur!X145*VLOOKUP('Données projet'!$B$9,Paramètres!$A$1:$I$89,3,0)*0.475*44/12</f>
        <v>0.14977597971594156</v>
      </c>
      <c r="AB145" s="23">
        <f>EXP(-LN(2)/2)*AB144+(1-EXP(-LN(2)/2))/(LN(2)/2)*V145*Y145*VLOOKUP('Données projet'!$B$9,Paramètres!$A$1:$I$89,3,0)*0.475*44/12</f>
        <v>2.1185724632678371E-16</v>
      </c>
      <c r="AC145" s="24">
        <f t="shared" si="111"/>
        <v>1.2733095958119509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1.5429577615577727E-13</v>
      </c>
      <c r="AK145" s="14">
        <f t="shared" si="143"/>
        <v>2.2038482767263348E-12</v>
      </c>
      <c r="AL145" s="22">
        <f t="shared" si="112"/>
        <v>4.107100892103012E-12</v>
      </c>
      <c r="AM145" s="62">
        <f t="shared" si="113"/>
        <v>293.33333333333741</v>
      </c>
      <c r="AN145" s="62">
        <f ca="1">AVERAGE(OFFSET($AM$3,0,0,'Données projet'!$E$10+1,1))-AVERAGE(OFFSET($H$3,0,0,'Données projet'!$E$10+1,1))</f>
        <v>221.11420634571317</v>
      </c>
      <c r="AO145" s="62">
        <f t="shared" si="144"/>
        <v>133.63266168802033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6.3550942286383367E-14</v>
      </c>
      <c r="BF145" s="14">
        <f t="shared" si="145"/>
        <v>1.0064464192543978E-12</v>
      </c>
      <c r="BG145" s="22">
        <f t="shared" si="115"/>
        <v>1.8635787380168604E-12</v>
      </c>
      <c r="BH145" s="62">
        <f t="shared" si="116"/>
        <v>293.33333333333519</v>
      </c>
      <c r="BI145" s="62">
        <f ca="1">AVERAGE(OFFSET($BH$3,0,0,'Données projet'!$E$11+1,1))-AVERAGE(OFFSET($H$3,0,0,'Données projet'!$E$11+1,1))</f>
        <v>277.5990520183687</v>
      </c>
      <c r="BJ145" s="62">
        <f t="shared" si="146"/>
        <v>338.50140415303872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0.5504264363376431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2.9515758474113647E-16</v>
      </c>
      <c r="BS145" s="24">
        <f t="shared" si="117"/>
        <v>0.55042643633764343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-1.7053025658242404E-13</v>
      </c>
      <c r="O146" s="14">
        <f>N146*VLOOKUP('Données projet'!$B$9,Paramètres!$A$1:$I$89,3,0)*VLOOKUP('Données projet'!$B$9,Paramètres!$A$1:$I$89,5,0)</f>
        <v>-1.0197709343628959E-13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131.58904681787436</v>
      </c>
      <c r="T146" s="62">
        <f t="shared" si="142"/>
        <v>208.65872561216122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1.1015018071722058</v>
      </c>
      <c r="AA146" s="23">
        <f>EXP(-LN(2)/25)*AA145+(1-EXP(-LN(2)/25))/(LN(2)/25)*Calculateur!V146*Calculateur!X146*VLOOKUP('Données projet'!$B$9,Paramètres!$A$1:$I$89,3,0)*0.475*44/12</f>
        <v>0.14568034767423269</v>
      </c>
      <c r="AB146" s="23">
        <f>EXP(-LN(2)/2)*AB145+(1-EXP(-LN(2)/2))/(LN(2)/2)*V146*Y146*VLOOKUP('Données projet'!$B$9,Paramètres!$A$1:$I$89,3,0)*0.475*44/12</f>
        <v>1.4980569552117755E-16</v>
      </c>
      <c r="AC146" s="24">
        <f t="shared" si="111"/>
        <v>1.2471821548464388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1.5429577615577727E-13</v>
      </c>
      <c r="AK146" s="14">
        <f t="shared" si="143"/>
        <v>2.2038482767263348E-12</v>
      </c>
      <c r="AL146" s="22">
        <f t="shared" si="112"/>
        <v>4.107100892103012E-12</v>
      </c>
      <c r="AM146" s="62">
        <f t="shared" si="113"/>
        <v>293.33333333333741</v>
      </c>
      <c r="AN146" s="62">
        <f ca="1">AVERAGE(OFFSET($AM$3,0,0,'Données projet'!$E$10+1,1))-AVERAGE(OFFSET($H$3,0,0,'Données projet'!$E$10+1,1))</f>
        <v>221.11420634571317</v>
      </c>
      <c r="AO146" s="62">
        <f t="shared" si="144"/>
        <v>133.63266168802033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6.3550942286383367E-14</v>
      </c>
      <c r="BF146" s="14">
        <f t="shared" si="145"/>
        <v>1.0064464192543978E-12</v>
      </c>
      <c r="BG146" s="22">
        <f t="shared" si="115"/>
        <v>1.8635787380168604E-12</v>
      </c>
      <c r="BH146" s="62">
        <f t="shared" si="116"/>
        <v>293.33333333333519</v>
      </c>
      <c r="BI146" s="62">
        <f ca="1">AVERAGE(OFFSET($BH$3,0,0,'Données projet'!$E$11+1,1))-AVERAGE(OFFSET($H$3,0,0,'Données projet'!$E$11+1,1))</f>
        <v>277.5990520183687</v>
      </c>
      <c r="BJ146" s="62">
        <f t="shared" si="146"/>
        <v>338.50140415303872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0.53963290964803778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2.0870792968910064E-16</v>
      </c>
      <c r="BS146" s="24">
        <f t="shared" si="117"/>
        <v>0.53963290964803801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-1.7053025658242404E-13</v>
      </c>
      <c r="O147" s="14">
        <f>N147*VLOOKUP('Données projet'!$B$9,Paramètres!$A$1:$I$89,3,0)*VLOOKUP('Données projet'!$B$9,Paramètres!$A$1:$I$89,5,0)</f>
        <v>-1.0197709343628959E-13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131.58904681787436</v>
      </c>
      <c r="T147" s="62">
        <f t="shared" si="142"/>
        <v>208.65872561216122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1.0799020285833216</v>
      </c>
      <c r="AA147" s="23">
        <f>EXP(-LN(2)/25)*AA146+(1-EXP(-LN(2)/25))/(LN(2)/25)*Calculateur!V147*Calculateur!X147*VLOOKUP('Données projet'!$B$9,Paramètres!$A$1:$I$89,3,0)*0.475*44/12</f>
        <v>0.14169671090608427</v>
      </c>
      <c r="AB147" s="23">
        <f>EXP(-LN(2)/2)*AB146+(1-EXP(-LN(2)/2))/(LN(2)/2)*V147*Y147*VLOOKUP('Données projet'!$B$9,Paramètres!$A$1:$I$89,3,0)*0.475*44/12</f>
        <v>1.0592862316339186E-16</v>
      </c>
      <c r="AC147" s="24">
        <f t="shared" si="111"/>
        <v>1.2215987394894059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1.5429577615577727E-13</v>
      </c>
      <c r="AK147" s="14">
        <f t="shared" si="143"/>
        <v>2.2038482767263348E-12</v>
      </c>
      <c r="AL147" s="22">
        <f t="shared" si="112"/>
        <v>4.107100892103012E-12</v>
      </c>
      <c r="AM147" s="62">
        <f t="shared" si="113"/>
        <v>293.33333333333741</v>
      </c>
      <c r="AN147" s="62">
        <f ca="1">AVERAGE(OFFSET($AM$3,0,0,'Données projet'!$E$10+1,1))-AVERAGE(OFFSET($H$3,0,0,'Données projet'!$E$10+1,1))</f>
        <v>221.11420634571317</v>
      </c>
      <c r="AO147" s="62">
        <f t="shared" si="144"/>
        <v>133.63266168802033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6.3550942286383367E-14</v>
      </c>
      <c r="BF147" s="14">
        <f t="shared" si="145"/>
        <v>1.0064464192543978E-12</v>
      </c>
      <c r="BG147" s="22">
        <f t="shared" si="115"/>
        <v>1.8635787380168604E-12</v>
      </c>
      <c r="BH147" s="62">
        <f t="shared" si="116"/>
        <v>293.33333333333519</v>
      </c>
      <c r="BI147" s="62">
        <f ca="1">AVERAGE(OFFSET($BH$3,0,0,'Données projet'!$E$11+1,1))-AVERAGE(OFFSET($H$3,0,0,'Données projet'!$E$11+1,1))</f>
        <v>277.5990520183687</v>
      </c>
      <c r="BJ147" s="62">
        <f t="shared" si="146"/>
        <v>338.50140415303872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0.52905103743341442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1.4757879237056823E-16</v>
      </c>
      <c r="BS147" s="24">
        <f t="shared" si="117"/>
        <v>0.52905103743341453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-1.7053025658242404E-13</v>
      </c>
      <c r="O148" s="14">
        <f>N148*VLOOKUP('Données projet'!$B$9,Paramètres!$A$1:$I$89,3,0)*VLOOKUP('Données projet'!$B$9,Paramètres!$A$1:$I$89,5,0)</f>
        <v>-1.0197709343628959E-13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131.58904681787436</v>
      </c>
      <c r="T148" s="62">
        <f t="shared" si="142"/>
        <v>208.65872561216122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1.0587258084780014</v>
      </c>
      <c r="AA148" s="23">
        <f>EXP(-LN(2)/25)*AA147+(1-EXP(-LN(2)/25))/(LN(2)/25)*Calculateur!V148*Calculateur!X148*VLOOKUP('Données projet'!$B$9,Paramètres!$A$1:$I$89,3,0)*0.475*44/12</f>
        <v>0.13782200689485122</v>
      </c>
      <c r="AB148" s="23">
        <f>EXP(-LN(2)/2)*AB147+(1-EXP(-LN(2)/2))/(LN(2)/2)*V148*Y148*VLOOKUP('Données projet'!$B$9,Paramètres!$A$1:$I$89,3,0)*0.475*44/12</f>
        <v>7.4902847760588773E-17</v>
      </c>
      <c r="AC148" s="24">
        <f t="shared" si="111"/>
        <v>1.1965478153728526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1.5429577615577727E-13</v>
      </c>
      <c r="AK148" s="14">
        <f t="shared" si="143"/>
        <v>2.2038482767263348E-12</v>
      </c>
      <c r="AL148" s="22">
        <f t="shared" si="112"/>
        <v>4.107100892103012E-12</v>
      </c>
      <c r="AM148" s="62">
        <f t="shared" si="113"/>
        <v>293.33333333333741</v>
      </c>
      <c r="AN148" s="62">
        <f ca="1">AVERAGE(OFFSET($AM$3,0,0,'Données projet'!$E$10+1,1))-AVERAGE(OFFSET($H$3,0,0,'Données projet'!$E$10+1,1))</f>
        <v>221.11420634571317</v>
      </c>
      <c r="AO148" s="62">
        <f t="shared" si="144"/>
        <v>133.63266168802033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6.3550942286383367E-14</v>
      </c>
      <c r="BF148" s="14">
        <f t="shared" si="145"/>
        <v>1.0064464192543978E-12</v>
      </c>
      <c r="BG148" s="22">
        <f t="shared" si="115"/>
        <v>1.8635787380168604E-12</v>
      </c>
      <c r="BH148" s="62">
        <f t="shared" si="116"/>
        <v>293.33333333333519</v>
      </c>
      <c r="BI148" s="62">
        <f ca="1">AVERAGE(OFFSET($BH$3,0,0,'Données projet'!$E$11+1,1))-AVERAGE(OFFSET($H$3,0,0,'Données projet'!$E$11+1,1))</f>
        <v>277.5990520183687</v>
      </c>
      <c r="BJ148" s="62">
        <f t="shared" si="146"/>
        <v>338.50140415303872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0.51867666927861511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1.0435396484455032E-16</v>
      </c>
      <c r="BS148" s="24">
        <f t="shared" si="117"/>
        <v>0.51867666927861522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-1.7053025658242404E-13</v>
      </c>
      <c r="O149" s="14">
        <f>N149*VLOOKUP('Données projet'!$B$9,Paramètres!$A$1:$I$89,3,0)*VLOOKUP('Données projet'!$B$9,Paramètres!$A$1:$I$89,5,0)</f>
        <v>-1.0197709343628959E-13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131.58904681787436</v>
      </c>
      <c r="T149" s="62">
        <f t="shared" si="142"/>
        <v>208.65872561216122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1.0379648411327276</v>
      </c>
      <c r="AA149" s="23">
        <f>EXP(-LN(2)/25)*AA148+(1-EXP(-LN(2)/25))/(LN(2)/25)*Calculateur!V149*Calculateur!X149*VLOOKUP('Données projet'!$B$9,Paramètres!$A$1:$I$89,3,0)*0.475*44/12</f>
        <v>0.13405325686856717</v>
      </c>
      <c r="AB149" s="23">
        <f>EXP(-LN(2)/2)*AB148+(1-EXP(-LN(2)/2))/(LN(2)/2)*V149*Y149*VLOOKUP('Données projet'!$B$9,Paramètres!$A$1:$I$89,3,0)*0.475*44/12</f>
        <v>5.2964311581695928E-17</v>
      </c>
      <c r="AC149" s="24">
        <f t="shared" si="111"/>
        <v>1.1720180980012946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1.5429577615577727E-13</v>
      </c>
      <c r="AK149" s="14">
        <f t="shared" si="143"/>
        <v>2.2038482767263348E-12</v>
      </c>
      <c r="AL149" s="22">
        <f t="shared" si="112"/>
        <v>4.107100892103012E-12</v>
      </c>
      <c r="AM149" s="62">
        <f t="shared" si="113"/>
        <v>293.33333333333741</v>
      </c>
      <c r="AN149" s="62">
        <f ca="1">AVERAGE(OFFSET($AM$3,0,0,'Données projet'!$E$10+1,1))-AVERAGE(OFFSET($H$3,0,0,'Données projet'!$E$10+1,1))</f>
        <v>221.11420634571317</v>
      </c>
      <c r="AO149" s="62">
        <f t="shared" si="144"/>
        <v>133.63266168802033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6.3550942286383367E-14</v>
      </c>
      <c r="BF149" s="14">
        <f t="shared" si="145"/>
        <v>1.0064464192543978E-12</v>
      </c>
      <c r="BG149" s="22">
        <f t="shared" si="115"/>
        <v>1.8635787380168604E-12</v>
      </c>
      <c r="BH149" s="62">
        <f t="shared" si="116"/>
        <v>293.33333333333519</v>
      </c>
      <c r="BI149" s="62">
        <f ca="1">AVERAGE(OFFSET($BH$3,0,0,'Données projet'!$E$11+1,1))-AVERAGE(OFFSET($H$3,0,0,'Données projet'!$E$11+1,1))</f>
        <v>277.5990520183687</v>
      </c>
      <c r="BJ149" s="62">
        <f t="shared" si="146"/>
        <v>338.50140415303872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0.50850573615559158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7.3789396185284117E-17</v>
      </c>
      <c r="BS149" s="24">
        <f t="shared" si="117"/>
        <v>0.50850573615559169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-1.7053025658242404E-13</v>
      </c>
      <c r="O150" s="14">
        <f>N150*VLOOKUP('Données projet'!$B$9,Paramètres!$A$1:$I$89,3,0)*VLOOKUP('Données projet'!$B$9,Paramètres!$A$1:$I$89,5,0)</f>
        <v>-1.0197709343628959E-13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131.58904681787436</v>
      </c>
      <c r="T150" s="62">
        <f t="shared" si="142"/>
        <v>208.65872561216122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1.0176109836941549</v>
      </c>
      <c r="AA150" s="23">
        <f>EXP(-LN(2)/25)*AA149+(1-EXP(-LN(2)/25))/(LN(2)/25)*Calculateur!V150*Calculateur!X150*VLOOKUP('Données projet'!$B$9,Paramètres!$A$1:$I$89,3,0)*0.475*44/12</f>
        <v>0.1303875635099418</v>
      </c>
      <c r="AB150" s="23">
        <f>EXP(-LN(2)/2)*AB149+(1-EXP(-LN(2)/2))/(LN(2)/2)*V150*Y150*VLOOKUP('Données projet'!$B$9,Paramètres!$A$1:$I$89,3,0)*0.475*44/12</f>
        <v>3.7451423880294387E-17</v>
      </c>
      <c r="AC150" s="24">
        <f t="shared" si="111"/>
        <v>1.1479985472040968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1.5429577615577727E-13</v>
      </c>
      <c r="AK150" s="14">
        <f t="shared" si="143"/>
        <v>2.2038482767263348E-12</v>
      </c>
      <c r="AL150" s="22">
        <f t="shared" si="112"/>
        <v>4.107100892103012E-12</v>
      </c>
      <c r="AM150" s="62">
        <f t="shared" si="113"/>
        <v>293.33333333333741</v>
      </c>
      <c r="AN150" s="62">
        <f ca="1">AVERAGE(OFFSET($AM$3,0,0,'Données projet'!$E$10+1,1))-AVERAGE(OFFSET($H$3,0,0,'Données projet'!$E$10+1,1))</f>
        <v>221.11420634571317</v>
      </c>
      <c r="AO150" s="62">
        <f t="shared" si="144"/>
        <v>133.63266168802033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6.3550942286383367E-14</v>
      </c>
      <c r="BF150" s="14">
        <f t="shared" si="145"/>
        <v>1.0064464192543978E-12</v>
      </c>
      <c r="BG150" s="22">
        <f t="shared" si="115"/>
        <v>1.8635787380168604E-12</v>
      </c>
      <c r="BH150" s="62">
        <f t="shared" si="116"/>
        <v>293.33333333333519</v>
      </c>
      <c r="BI150" s="62">
        <f ca="1">AVERAGE(OFFSET($BH$3,0,0,'Données projet'!$E$11+1,1))-AVERAGE(OFFSET($H$3,0,0,'Données projet'!$E$11+1,1))</f>
        <v>277.5990520183687</v>
      </c>
      <c r="BJ150" s="62">
        <f t="shared" si="146"/>
        <v>338.50140415303872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0.49853424882745395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5.2176982422275161E-17</v>
      </c>
      <c r="BS150" s="24">
        <f t="shared" si="117"/>
        <v>0.49853424882745401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-1.7053025658242404E-13</v>
      </c>
      <c r="O151" s="14">
        <f>N151*VLOOKUP('Données projet'!$B$9,Paramètres!$A$1:$I$89,3,0)*VLOOKUP('Données projet'!$B$9,Paramètres!$A$1:$I$89,5,0)</f>
        <v>-1.0197709343628959E-13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131.58904681787436</v>
      </c>
      <c r="T151" s="62">
        <f t="shared" si="142"/>
        <v>208.65872561216122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0.99765625298532545</v>
      </c>
      <c r="AA151" s="23">
        <f>EXP(-LN(2)/25)*AA150+(1-EXP(-LN(2)/25))/(LN(2)/25)*Calculateur!V151*Calculateur!X151*VLOOKUP('Données projet'!$B$9,Paramètres!$A$1:$I$89,3,0)*0.475*44/12</f>
        <v>0.12682210872897848</v>
      </c>
      <c r="AB151" s="23">
        <f>EXP(-LN(2)/2)*AB150+(1-EXP(-LN(2)/2))/(LN(2)/2)*V151*Y151*VLOOKUP('Données projet'!$B$9,Paramètres!$A$1:$I$89,3,0)*0.475*44/12</f>
        <v>2.6482155790847964E-17</v>
      </c>
      <c r="AC151" s="24">
        <f t="shared" si="111"/>
        <v>1.1244783617143039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1.5429577615577727E-13</v>
      </c>
      <c r="AK151" s="14">
        <f t="shared" si="143"/>
        <v>2.2038482767263348E-12</v>
      </c>
      <c r="AL151" s="22">
        <f t="shared" si="112"/>
        <v>4.107100892103012E-12</v>
      </c>
      <c r="AM151" s="62">
        <f t="shared" si="113"/>
        <v>293.33333333333741</v>
      </c>
      <c r="AN151" s="62">
        <f ca="1">AVERAGE(OFFSET($AM$3,0,0,'Données projet'!$E$10+1,1))-AVERAGE(OFFSET($H$3,0,0,'Données projet'!$E$10+1,1))</f>
        <v>221.11420634571317</v>
      </c>
      <c r="AO151" s="62">
        <f t="shared" si="144"/>
        <v>133.63266168802033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6.3550942286383367E-14</v>
      </c>
      <c r="BF151" s="14">
        <f t="shared" si="145"/>
        <v>1.0064464192543978E-12</v>
      </c>
      <c r="BG151" s="22">
        <f t="shared" si="115"/>
        <v>1.8635787380168604E-12</v>
      </c>
      <c r="BH151" s="62">
        <f t="shared" si="116"/>
        <v>293.33333333333519</v>
      </c>
      <c r="BI151" s="62">
        <f ca="1">AVERAGE(OFFSET($BH$3,0,0,'Données projet'!$E$11+1,1))-AVERAGE(OFFSET($H$3,0,0,'Données projet'!$E$11+1,1))</f>
        <v>277.5990520183687</v>
      </c>
      <c r="BJ151" s="62">
        <f t="shared" si="146"/>
        <v>338.50140415303872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0.48875829628381434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3.6894698092642058E-17</v>
      </c>
      <c r="BS151" s="24">
        <f t="shared" si="117"/>
        <v>0.4887582962838144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-1.7053025658242404E-13</v>
      </c>
      <c r="O152" s="14">
        <f>N152*VLOOKUP('Données projet'!$B$9,Paramètres!$A$1:$I$89,3,0)*VLOOKUP('Données projet'!$B$9,Paramètres!$A$1:$I$89,5,0)</f>
        <v>-1.0197709343628959E-13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131.58904681787436</v>
      </c>
      <c r="T152" s="62">
        <f t="shared" si="142"/>
        <v>208.65872561216122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0.97809282237451212</v>
      </c>
      <c r="AA152" s="23">
        <f>EXP(-LN(2)/25)*AA151+(1-EXP(-LN(2)/25))/(LN(2)/25)*Calculateur!V152*Calculateur!X152*VLOOKUP('Données projet'!$B$9,Paramètres!$A$1:$I$89,3,0)*0.475*44/12</f>
        <v>0.12335415149649973</v>
      </c>
      <c r="AB152" s="23">
        <f>EXP(-LN(2)/2)*AB151+(1-EXP(-LN(2)/2))/(LN(2)/2)*V152*Y152*VLOOKUP('Données projet'!$B$9,Paramètres!$A$1:$I$89,3,0)*0.475*44/12</f>
        <v>1.8725711940147193E-17</v>
      </c>
      <c r="AC152" s="24">
        <f t="shared" si="111"/>
        <v>1.1014469738710118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1.5429577615577727E-13</v>
      </c>
      <c r="AK152" s="14">
        <f t="shared" si="143"/>
        <v>2.2038482767263348E-12</v>
      </c>
      <c r="AL152" s="22">
        <f t="shared" si="112"/>
        <v>4.107100892103012E-12</v>
      </c>
      <c r="AM152" s="62">
        <f t="shared" si="113"/>
        <v>293.33333333333741</v>
      </c>
      <c r="AN152" s="62">
        <f ca="1">AVERAGE(OFFSET($AM$3,0,0,'Données projet'!$E$10+1,1))-AVERAGE(OFFSET($H$3,0,0,'Données projet'!$E$10+1,1))</f>
        <v>221.11420634571317</v>
      </c>
      <c r="AO152" s="62">
        <f t="shared" si="144"/>
        <v>133.63266168802033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6.3550942286383367E-14</v>
      </c>
      <c r="BF152" s="14">
        <f t="shared" si="145"/>
        <v>1.0064464192543978E-12</v>
      </c>
      <c r="BG152" s="22">
        <f t="shared" si="115"/>
        <v>1.8635787380168604E-12</v>
      </c>
      <c r="BH152" s="62">
        <f t="shared" si="116"/>
        <v>293.33333333333519</v>
      </c>
      <c r="BI152" s="62">
        <f ca="1">AVERAGE(OFFSET($BH$3,0,0,'Données projet'!$E$11+1,1))-AVERAGE(OFFSET($H$3,0,0,'Données projet'!$E$11+1,1))</f>
        <v>277.5990520183687</v>
      </c>
      <c r="BJ152" s="62">
        <f t="shared" si="146"/>
        <v>338.50140415303872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0.47917404420681325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2.6088491211137581E-17</v>
      </c>
      <c r="BS152" s="24">
        <f t="shared" si="117"/>
        <v>0.47917404420681325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-1.7053025658242404E-13</v>
      </c>
      <c r="O153" s="14">
        <f>N153*VLOOKUP('Données projet'!$B$9,Paramètres!$A$1:$I$89,3,0)*VLOOKUP('Données projet'!$B$9,Paramètres!$A$1:$I$89,5,0)</f>
        <v>-1.0197709343628959E-13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131.58904681787436</v>
      </c>
      <c r="T153" s="62">
        <f t="shared" si="142"/>
        <v>208.65872561216122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0.95891301870546242</v>
      </c>
      <c r="AA153" s="23">
        <f>EXP(-LN(2)/25)*AA152+(1-EXP(-LN(2)/25))/(LN(2)/25)*Calculateur!V153*Calculateur!X153*VLOOKUP('Données projet'!$B$9,Paramètres!$A$1:$I$89,3,0)*0.475*44/12</f>
        <v>0.11998102573691505</v>
      </c>
      <c r="AB153" s="23">
        <f>EXP(-LN(2)/2)*AB152+(1-EXP(-LN(2)/2))/(LN(2)/2)*V153*Y153*VLOOKUP('Données projet'!$B$9,Paramètres!$A$1:$I$89,3,0)*0.475*44/12</f>
        <v>1.3241077895423982E-17</v>
      </c>
      <c r="AC153" s="24">
        <f t="shared" si="111"/>
        <v>1.0788940444423774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1.5429577615577727E-13</v>
      </c>
      <c r="AK153" s="14">
        <f t="shared" si="143"/>
        <v>2.2038482767263348E-12</v>
      </c>
      <c r="AL153" s="22">
        <f t="shared" si="112"/>
        <v>4.107100892103012E-12</v>
      </c>
      <c r="AM153" s="62">
        <f t="shared" si="113"/>
        <v>293.33333333333741</v>
      </c>
      <c r="AN153" s="62">
        <f ca="1">AVERAGE(OFFSET($AM$3,0,0,'Données projet'!$E$10+1,1))-AVERAGE(OFFSET($H$3,0,0,'Données projet'!$E$10+1,1))</f>
        <v>221.11420634571317</v>
      </c>
      <c r="AO153" s="62">
        <f t="shared" si="144"/>
        <v>133.63266168802033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6.3550942286383367E-14</v>
      </c>
      <c r="BF153" s="14">
        <f t="shared" si="145"/>
        <v>1.0064464192543978E-12</v>
      </c>
      <c r="BG153" s="22">
        <f t="shared" si="115"/>
        <v>1.8635787380168604E-12</v>
      </c>
      <c r="BH153" s="62">
        <f t="shared" si="116"/>
        <v>293.33333333333519</v>
      </c>
      <c r="BI153" s="62">
        <f ca="1">AVERAGE(OFFSET($BH$3,0,0,'Données projet'!$E$11+1,1))-AVERAGE(OFFSET($H$3,0,0,'Données projet'!$E$11+1,1))</f>
        <v>277.5990520183687</v>
      </c>
      <c r="BJ153" s="62">
        <f t="shared" si="146"/>
        <v>338.50140415303872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0.46977773346722562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1.8447349046321029E-17</v>
      </c>
      <c r="BS153" s="24">
        <f t="shared" si="117"/>
        <v>0.46977773346722562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-1.7053025658242404E-13</v>
      </c>
      <c r="O154" s="14">
        <f>N154*VLOOKUP('Données projet'!$B$9,Paramètres!$A$1:$I$89,3,0)*VLOOKUP('Données projet'!$B$9,Paramètres!$A$1:$I$89,5,0)</f>
        <v>-1.0197709343628959E-13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131.58904681787436</v>
      </c>
      <c r="T154" s="62">
        <f t="shared" si="142"/>
        <v>208.65872561216122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0.9401093192878377</v>
      </c>
      <c r="AA154" s="23">
        <f>EXP(-LN(2)/25)*AA153+(1-EXP(-LN(2)/25))/(LN(2)/25)*Calculateur!V154*Calculateur!X154*VLOOKUP('Données projet'!$B$9,Paramètres!$A$1:$I$89,3,0)*0.475*44/12</f>
        <v>0.11670013827861118</v>
      </c>
      <c r="AB154" s="23">
        <f>EXP(-LN(2)/2)*AB153+(1-EXP(-LN(2)/2))/(LN(2)/2)*V154*Y154*VLOOKUP('Données projet'!$B$9,Paramètres!$A$1:$I$89,3,0)*0.475*44/12</f>
        <v>9.3628559700735967E-18</v>
      </c>
      <c r="AC154" s="24">
        <f t="shared" ref="AC154:AC203" si="163">SUM(Z154:AB154)</f>
        <v>1.0568094575664488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1.5429577615577727E-13</v>
      </c>
      <c r="AK154" s="14">
        <f t="shared" ref="AK154:AK203" si="164">EXP(-1.0587+0.8836*LN(AJ154)+0.284)</f>
        <v>2.2038482767263348E-12</v>
      </c>
      <c r="AL154" s="22">
        <f t="shared" ref="AL154:AL203" si="165">(AJ154+AK154)*0.475*44/12</f>
        <v>4.107100892103012E-12</v>
      </c>
      <c r="AM154" s="62">
        <f t="shared" si="113"/>
        <v>293.33333333333741</v>
      </c>
      <c r="AN154" s="62">
        <f ca="1">AVERAGE(OFFSET($AM$3,0,0,'Données projet'!$E$10+1,1))-AVERAGE(OFFSET($H$3,0,0,'Données projet'!$E$10+1,1))</f>
        <v>221.11420634571317</v>
      </c>
      <c r="AO154" s="62">
        <f t="shared" si="144"/>
        <v>133.63266168802033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6.3550942286383367E-14</v>
      </c>
      <c r="BF154" s="14">
        <f t="shared" ref="BF154:BF203" si="167">EXP(-1.0587+0.8836*LN(BE154)+0.284)</f>
        <v>1.0064464192543978E-12</v>
      </c>
      <c r="BG154" s="22">
        <f t="shared" ref="BG154:BG203" si="168">(BE154+BF154)*0.475*44/12</f>
        <v>1.8635787380168604E-12</v>
      </c>
      <c r="BH154" s="62">
        <f t="shared" si="116"/>
        <v>293.33333333333519</v>
      </c>
      <c r="BI154" s="62">
        <f ca="1">AVERAGE(OFFSET($BH$3,0,0,'Données projet'!$E$11+1,1))-AVERAGE(OFFSET($H$3,0,0,'Données projet'!$E$11+1,1))</f>
        <v>277.5990520183687</v>
      </c>
      <c r="BJ154" s="62">
        <f t="shared" si="146"/>
        <v>338.50140415303872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0.46056567865005765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1.304424560556879E-17</v>
      </c>
      <c r="BS154" s="24">
        <f t="shared" ref="BS154:BS203" si="169">SUM(BP154:BR154)</f>
        <v>0.46056567865005765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-1.7053025658242404E-13</v>
      </c>
      <c r="O155" s="14">
        <f>N155*VLOOKUP('Données projet'!$B$9,Paramètres!$A$1:$I$89,3,0)*VLOOKUP('Données projet'!$B$9,Paramètres!$A$1:$I$89,5,0)</f>
        <v>-1.0197709343628959E-13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131.58904681787436</v>
      </c>
      <c r="T155" s="62">
        <f t="shared" si="142"/>
        <v>208.65872561216122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0.92167434894666844</v>
      </c>
      <c r="AA155" s="23">
        <f>EXP(-LN(2)/25)*AA154+(1-EXP(-LN(2)/25))/(LN(2)/25)*Calculateur!V155*Calculateur!X155*VLOOKUP('Données projet'!$B$9,Paramètres!$A$1:$I$89,3,0)*0.475*44/12</f>
        <v>0.11350896686038901</v>
      </c>
      <c r="AB155" s="23">
        <f>EXP(-LN(2)/2)*AB154+(1-EXP(-LN(2)/2))/(LN(2)/2)*V155*Y155*VLOOKUP('Données projet'!$B$9,Paramètres!$A$1:$I$89,3,0)*0.475*44/12</f>
        <v>6.6205389477119909E-18</v>
      </c>
      <c r="AC155" s="24">
        <f t="shared" si="163"/>
        <v>1.0351833158070574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1.5429577615577727E-13</v>
      </c>
      <c r="AK155" s="14">
        <f t="shared" si="164"/>
        <v>2.2038482767263348E-12</v>
      </c>
      <c r="AL155" s="22">
        <f t="shared" si="165"/>
        <v>4.107100892103012E-12</v>
      </c>
      <c r="AM155" s="62">
        <f t="shared" si="113"/>
        <v>293.33333333333741</v>
      </c>
      <c r="AN155" s="62">
        <f ca="1">AVERAGE(OFFSET($AM$3,0,0,'Données projet'!$E$10+1,1))-AVERAGE(OFFSET($H$3,0,0,'Données projet'!$E$10+1,1))</f>
        <v>221.11420634571317</v>
      </c>
      <c r="AO155" s="62">
        <f t="shared" si="144"/>
        <v>133.63266168802033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6.3550942286383367E-14</v>
      </c>
      <c r="BF155" s="14">
        <f t="shared" si="167"/>
        <v>1.0064464192543978E-12</v>
      </c>
      <c r="BG155" s="22">
        <f t="shared" si="168"/>
        <v>1.8635787380168604E-12</v>
      </c>
      <c r="BH155" s="62">
        <f t="shared" si="116"/>
        <v>293.33333333333519</v>
      </c>
      <c r="BI155" s="62">
        <f ca="1">AVERAGE(OFFSET($BH$3,0,0,'Données projet'!$E$11+1,1))-AVERAGE(OFFSET($H$3,0,0,'Données projet'!$E$11+1,1))</f>
        <v>277.5990520183687</v>
      </c>
      <c r="BJ155" s="62">
        <f t="shared" si="146"/>
        <v>338.50140415303872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0.45153426660905571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9.2236745231605146E-18</v>
      </c>
      <c r="BS155" s="24">
        <f t="shared" si="169"/>
        <v>0.45153426660905571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-1.7053025658242404E-13</v>
      </c>
      <c r="O156" s="14">
        <f>N156*VLOOKUP('Données projet'!$B$9,Paramètres!$A$1:$I$89,3,0)*VLOOKUP('Données projet'!$B$9,Paramètres!$A$1:$I$89,5,0)</f>
        <v>-1.0197709343628959E-13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131.58904681787436</v>
      </c>
      <c r="T156" s="62">
        <f t="shared" si="142"/>
        <v>208.65872561216122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0.90360087712966786</v>
      </c>
      <c r="AA156" s="23">
        <f>EXP(-LN(2)/25)*AA155+(1-EXP(-LN(2)/25))/(LN(2)/25)*Calculateur!V156*Calculateur!X156*VLOOKUP('Données projet'!$B$9,Paramètres!$A$1:$I$89,3,0)*0.475*44/12</f>
        <v>0.11040505819241454</v>
      </c>
      <c r="AB156" s="23">
        <f>EXP(-LN(2)/2)*AB155+(1-EXP(-LN(2)/2))/(LN(2)/2)*V156*Y156*VLOOKUP('Données projet'!$B$9,Paramètres!$A$1:$I$89,3,0)*0.475*44/12</f>
        <v>4.6814279850367983E-18</v>
      </c>
      <c r="AC156" s="24">
        <f t="shared" si="163"/>
        <v>1.0140059353220825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1.5429577615577727E-13</v>
      </c>
      <c r="AK156" s="14">
        <f t="shared" si="164"/>
        <v>2.2038482767263348E-12</v>
      </c>
      <c r="AL156" s="22">
        <f t="shared" si="165"/>
        <v>4.107100892103012E-12</v>
      </c>
      <c r="AM156" s="62">
        <f t="shared" si="113"/>
        <v>293.33333333333741</v>
      </c>
      <c r="AN156" s="62">
        <f ca="1">AVERAGE(OFFSET($AM$3,0,0,'Données projet'!$E$10+1,1))-AVERAGE(OFFSET($H$3,0,0,'Données projet'!$E$10+1,1))</f>
        <v>221.11420634571317</v>
      </c>
      <c r="AO156" s="62">
        <f t="shared" si="144"/>
        <v>133.63266168802033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6.3550942286383367E-14</v>
      </c>
      <c r="BF156" s="14">
        <f t="shared" si="167"/>
        <v>1.0064464192543978E-12</v>
      </c>
      <c r="BG156" s="22">
        <f t="shared" si="168"/>
        <v>1.8635787380168604E-12</v>
      </c>
      <c r="BH156" s="62">
        <f t="shared" si="116"/>
        <v>293.33333333333519</v>
      </c>
      <c r="BI156" s="62">
        <f ca="1">AVERAGE(OFFSET($BH$3,0,0,'Données projet'!$E$11+1,1))-AVERAGE(OFFSET($H$3,0,0,'Données projet'!$E$11+1,1))</f>
        <v>277.5990520183687</v>
      </c>
      <c r="BJ156" s="62">
        <f t="shared" si="146"/>
        <v>338.50140415303872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0.44267995504956043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6.5221228027843951E-18</v>
      </c>
      <c r="BS156" s="24">
        <f t="shared" si="169"/>
        <v>0.44267995504956043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-1.7053025658242404E-13</v>
      </c>
      <c r="O157" s="14">
        <f>N157*VLOOKUP('Données projet'!$B$9,Paramètres!$A$1:$I$89,3,0)*VLOOKUP('Données projet'!$B$9,Paramètres!$A$1:$I$89,5,0)</f>
        <v>-1.0197709343628959E-13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131.58904681787436</v>
      </c>
      <c r="T157" s="62">
        <f t="shared" si="142"/>
        <v>208.65872561216122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0.8858818150712694</v>
      </c>
      <c r="AA157" s="23">
        <f>EXP(-LN(2)/25)*AA156+(1-EXP(-LN(2)/25))/(LN(2)/25)*Calculateur!V157*Calculateur!X157*VLOOKUP('Données projet'!$B$9,Paramètres!$A$1:$I$89,3,0)*0.475*44/12</f>
        <v>0.10738602607019329</v>
      </c>
      <c r="AB157" s="23">
        <f>EXP(-LN(2)/2)*AB156+(1-EXP(-LN(2)/2))/(LN(2)/2)*V157*Y157*VLOOKUP('Données projet'!$B$9,Paramètres!$A$1:$I$89,3,0)*0.475*44/12</f>
        <v>3.3102694738559955E-18</v>
      </c>
      <c r="AC157" s="24">
        <f t="shared" si="163"/>
        <v>0.99326784114146272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1.5429577615577727E-13</v>
      </c>
      <c r="AK157" s="14">
        <f t="shared" si="164"/>
        <v>2.2038482767263348E-12</v>
      </c>
      <c r="AL157" s="22">
        <f t="shared" si="165"/>
        <v>4.107100892103012E-12</v>
      </c>
      <c r="AM157" s="62">
        <f t="shared" si="113"/>
        <v>293.33333333333741</v>
      </c>
      <c r="AN157" s="62">
        <f ca="1">AVERAGE(OFFSET($AM$3,0,0,'Données projet'!$E$10+1,1))-AVERAGE(OFFSET($H$3,0,0,'Données projet'!$E$10+1,1))</f>
        <v>221.11420634571317</v>
      </c>
      <c r="AO157" s="62">
        <f t="shared" si="144"/>
        <v>133.63266168802033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6.3550942286383367E-14</v>
      </c>
      <c r="BF157" s="14">
        <f t="shared" si="167"/>
        <v>1.0064464192543978E-12</v>
      </c>
      <c r="BG157" s="22">
        <f t="shared" si="168"/>
        <v>1.8635787380168604E-12</v>
      </c>
      <c r="BH157" s="62">
        <f t="shared" si="116"/>
        <v>293.33333333333519</v>
      </c>
      <c r="BI157" s="62">
        <f ca="1">AVERAGE(OFFSET($BH$3,0,0,'Données projet'!$E$11+1,1))-AVERAGE(OFFSET($H$3,0,0,'Données projet'!$E$11+1,1))</f>
        <v>277.5990520183687</v>
      </c>
      <c r="BJ157" s="62">
        <f t="shared" si="146"/>
        <v>338.50140415303872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0.43399927113915004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4.6118372615802573E-18</v>
      </c>
      <c r="BS157" s="24">
        <f t="shared" si="169"/>
        <v>0.43399927113915004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-1.7053025658242404E-13</v>
      </c>
      <c r="O158" s="14">
        <f>N158*VLOOKUP('Données projet'!$B$9,Paramètres!$A$1:$I$89,3,0)*VLOOKUP('Données projet'!$B$9,Paramètres!$A$1:$I$89,5,0)</f>
        <v>-1.0197709343628959E-13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131.58904681787436</v>
      </c>
      <c r="T158" s="62">
        <f t="shared" si="142"/>
        <v>208.65872561216122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0.86851021301227538</v>
      </c>
      <c r="AA158" s="23">
        <f>EXP(-LN(2)/25)*AA157+(1-EXP(-LN(2)/25))/(LN(2)/25)*Calculateur!V158*Calculateur!X158*VLOOKUP('Données projet'!$B$9,Paramètres!$A$1:$I$89,3,0)*0.475*44/12</f>
        <v>0.10444954954011818</v>
      </c>
      <c r="AB158" s="23">
        <f>EXP(-LN(2)/2)*AB157+(1-EXP(-LN(2)/2))/(LN(2)/2)*V158*Y158*VLOOKUP('Données projet'!$B$9,Paramètres!$A$1:$I$89,3,0)*0.475*44/12</f>
        <v>2.3407139925183992E-18</v>
      </c>
      <c r="AC158" s="24">
        <f t="shared" si="163"/>
        <v>0.97295976255239358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1.5429577615577727E-13</v>
      </c>
      <c r="AK158" s="14">
        <f t="shared" si="164"/>
        <v>2.2038482767263348E-12</v>
      </c>
      <c r="AL158" s="22">
        <f t="shared" si="165"/>
        <v>4.107100892103012E-12</v>
      </c>
      <c r="AM158" s="62">
        <f t="shared" si="113"/>
        <v>293.33333333333741</v>
      </c>
      <c r="AN158" s="62">
        <f ca="1">AVERAGE(OFFSET($AM$3,0,0,'Données projet'!$E$10+1,1))-AVERAGE(OFFSET($H$3,0,0,'Données projet'!$E$10+1,1))</f>
        <v>221.11420634571317</v>
      </c>
      <c r="AO158" s="62">
        <f t="shared" si="144"/>
        <v>133.63266168802033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6.3550942286383367E-14</v>
      </c>
      <c r="BF158" s="14">
        <f t="shared" si="167"/>
        <v>1.0064464192543978E-12</v>
      </c>
      <c r="BG158" s="22">
        <f t="shared" si="168"/>
        <v>1.8635787380168604E-12</v>
      </c>
      <c r="BH158" s="62">
        <f t="shared" si="116"/>
        <v>293.33333333333519</v>
      </c>
      <c r="BI158" s="62">
        <f ca="1">AVERAGE(OFFSET($BH$3,0,0,'Données projet'!$E$11+1,1))-AVERAGE(OFFSET($H$3,0,0,'Données projet'!$E$11+1,1))</f>
        <v>277.5990520183687</v>
      </c>
      <c r="BJ158" s="62">
        <f t="shared" si="146"/>
        <v>338.50140415303872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0.42548881014552842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3.2610614013921976E-18</v>
      </c>
      <c r="BS158" s="24">
        <f t="shared" si="169"/>
        <v>0.42548881014552842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-1.7053025658242404E-13</v>
      </c>
      <c r="O159" s="14">
        <f>N159*VLOOKUP('Données projet'!$B$9,Paramètres!$A$1:$I$89,3,0)*VLOOKUP('Données projet'!$B$9,Paramètres!$A$1:$I$89,5,0)</f>
        <v>-1.0197709343628959E-13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131.58904681787436</v>
      </c>
      <c r="T159" s="62">
        <f t="shared" si="142"/>
        <v>208.65872561216122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0.8514792574740272</v>
      </c>
      <c r="AA159" s="23">
        <f>EXP(-LN(2)/25)*AA158+(1-EXP(-LN(2)/25))/(LN(2)/25)*Calculateur!V159*Calculateur!X159*VLOOKUP('Données projet'!$B$9,Paramètres!$A$1:$I$89,3,0)*0.475*44/12</f>
        <v>0.10159337111518056</v>
      </c>
      <c r="AB159" s="23">
        <f>EXP(-LN(2)/2)*AB158+(1-EXP(-LN(2)/2))/(LN(2)/2)*V159*Y159*VLOOKUP('Données projet'!$B$9,Paramètres!$A$1:$I$89,3,0)*0.475*44/12</f>
        <v>1.6551347369279977E-18</v>
      </c>
      <c r="AC159" s="24">
        <f t="shared" si="163"/>
        <v>0.95307262858920772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1.5429577615577727E-13</v>
      </c>
      <c r="AK159" s="14">
        <f t="shared" si="164"/>
        <v>2.2038482767263348E-12</v>
      </c>
      <c r="AL159" s="22">
        <f t="shared" si="165"/>
        <v>4.107100892103012E-12</v>
      </c>
      <c r="AM159" s="62">
        <f t="shared" si="113"/>
        <v>293.33333333333741</v>
      </c>
      <c r="AN159" s="62">
        <f ca="1">AVERAGE(OFFSET($AM$3,0,0,'Données projet'!$E$10+1,1))-AVERAGE(OFFSET($H$3,0,0,'Données projet'!$E$10+1,1))</f>
        <v>221.11420634571317</v>
      </c>
      <c r="AO159" s="62">
        <f t="shared" si="144"/>
        <v>133.63266168802033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6.3550942286383367E-14</v>
      </c>
      <c r="BF159" s="14">
        <f t="shared" si="167"/>
        <v>1.0064464192543978E-12</v>
      </c>
      <c r="BG159" s="22">
        <f t="shared" si="168"/>
        <v>1.8635787380168604E-12</v>
      </c>
      <c r="BH159" s="62">
        <f t="shared" si="116"/>
        <v>293.33333333333519</v>
      </c>
      <c r="BI159" s="62">
        <f ca="1">AVERAGE(OFFSET($BH$3,0,0,'Données projet'!$E$11+1,1))-AVERAGE(OFFSET($H$3,0,0,'Données projet'!$E$11+1,1))</f>
        <v>277.5990520183687</v>
      </c>
      <c r="BJ159" s="62">
        <f t="shared" si="146"/>
        <v>338.50140415303872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0.41714523410112309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2.3059186307901286E-18</v>
      </c>
      <c r="BS159" s="24">
        <f t="shared" si="169"/>
        <v>0.41714523410112309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-1.7053025658242404E-13</v>
      </c>
      <c r="O160" s="14">
        <f>N160*VLOOKUP('Données projet'!$B$9,Paramètres!$A$1:$I$89,3,0)*VLOOKUP('Données projet'!$B$9,Paramètres!$A$1:$I$89,5,0)</f>
        <v>-1.0197709343628959E-13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131.58904681787436</v>
      </c>
      <c r="T160" s="62">
        <f t="shared" si="142"/>
        <v>208.65872561216122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0.83478226858602689</v>
      </c>
      <c r="AA160" s="23">
        <f>EXP(-LN(2)/25)*AA159+(1-EXP(-LN(2)/25))/(LN(2)/25)*Calculateur!V160*Calculateur!X160*VLOOKUP('Données projet'!$B$9,Paramètres!$A$1:$I$89,3,0)*0.475*44/12</f>
        <v>9.8815295039472756E-2</v>
      </c>
      <c r="AB160" s="23">
        <f>EXP(-LN(2)/2)*AB159+(1-EXP(-LN(2)/2))/(LN(2)/2)*V160*Y160*VLOOKUP('Données projet'!$B$9,Paramètres!$A$1:$I$89,3,0)*0.475*44/12</f>
        <v>1.1703569962591996E-18</v>
      </c>
      <c r="AC160" s="24">
        <f t="shared" si="163"/>
        <v>0.93359756362549962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1.5429577615577727E-13</v>
      </c>
      <c r="AK160" s="14">
        <f t="shared" si="164"/>
        <v>2.2038482767263348E-12</v>
      </c>
      <c r="AL160" s="22">
        <f t="shared" si="165"/>
        <v>4.107100892103012E-12</v>
      </c>
      <c r="AM160" s="62">
        <f t="shared" si="113"/>
        <v>293.33333333333741</v>
      </c>
      <c r="AN160" s="62">
        <f ca="1">AVERAGE(OFFSET($AM$3,0,0,'Données projet'!$E$10+1,1))-AVERAGE(OFFSET($H$3,0,0,'Données projet'!$E$10+1,1))</f>
        <v>221.11420634571317</v>
      </c>
      <c r="AO160" s="62">
        <f t="shared" si="144"/>
        <v>133.63266168802033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6.3550942286383367E-14</v>
      </c>
      <c r="BF160" s="14">
        <f t="shared" si="167"/>
        <v>1.0064464192543978E-12</v>
      </c>
      <c r="BG160" s="22">
        <f t="shared" si="168"/>
        <v>1.8635787380168604E-12</v>
      </c>
      <c r="BH160" s="62">
        <f t="shared" si="116"/>
        <v>293.33333333333519</v>
      </c>
      <c r="BI160" s="62">
        <f ca="1">AVERAGE(OFFSET($BH$3,0,0,'Données projet'!$E$11+1,1))-AVERAGE(OFFSET($H$3,0,0,'Données projet'!$E$11+1,1))</f>
        <v>277.5990520183687</v>
      </c>
      <c r="BJ160" s="62">
        <f t="shared" si="146"/>
        <v>338.50140415303872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0.40896527049386966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1.6305307006960988E-18</v>
      </c>
      <c r="BS160" s="24">
        <f t="shared" si="169"/>
        <v>0.40896527049386966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-1.7053025658242404E-13</v>
      </c>
      <c r="O161" s="14">
        <f>N161*VLOOKUP('Données projet'!$B$9,Paramètres!$A$1:$I$89,3,0)*VLOOKUP('Données projet'!$B$9,Paramètres!$A$1:$I$89,5,0)</f>
        <v>-1.0197709343628959E-13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131.58904681787436</v>
      </c>
      <c r="T161" s="62">
        <f t="shared" si="142"/>
        <v>208.65872561216122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0.81841269746596268</v>
      </c>
      <c r="AA161" s="23">
        <f>EXP(-LN(2)/25)*AA160+(1-EXP(-LN(2)/25))/(LN(2)/25)*Calculateur!V161*Calculateur!X161*VLOOKUP('Données projet'!$B$9,Paramètres!$A$1:$I$89,3,0)*0.475*44/12</f>
        <v>9.6113185600147852E-2</v>
      </c>
      <c r="AB161" s="23">
        <f>EXP(-LN(2)/2)*AB160+(1-EXP(-LN(2)/2))/(LN(2)/2)*V161*Y161*VLOOKUP('Données projet'!$B$9,Paramètres!$A$1:$I$89,3,0)*0.475*44/12</f>
        <v>8.2756736846399887E-19</v>
      </c>
      <c r="AC161" s="24">
        <f t="shared" si="163"/>
        <v>0.91452588306611049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1.5429577615577727E-13</v>
      </c>
      <c r="AK161" s="14">
        <f t="shared" si="164"/>
        <v>2.2038482767263348E-12</v>
      </c>
      <c r="AL161" s="22">
        <f t="shared" si="165"/>
        <v>4.107100892103012E-12</v>
      </c>
      <c r="AM161" s="62">
        <f t="shared" si="113"/>
        <v>293.33333333333741</v>
      </c>
      <c r="AN161" s="62">
        <f ca="1">AVERAGE(OFFSET($AM$3,0,0,'Données projet'!$E$10+1,1))-AVERAGE(OFFSET($H$3,0,0,'Données projet'!$E$10+1,1))</f>
        <v>221.11420634571317</v>
      </c>
      <c r="AO161" s="62">
        <f t="shared" si="144"/>
        <v>133.63266168802033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6.3550942286383367E-14</v>
      </c>
      <c r="BF161" s="14">
        <f t="shared" si="167"/>
        <v>1.0064464192543978E-12</v>
      </c>
      <c r="BG161" s="22">
        <f t="shared" si="168"/>
        <v>1.8635787380168604E-12</v>
      </c>
      <c r="BH161" s="62">
        <f t="shared" si="116"/>
        <v>293.33333333333519</v>
      </c>
      <c r="BI161" s="62">
        <f ca="1">AVERAGE(OFFSET($BH$3,0,0,'Données projet'!$E$11+1,1))-AVERAGE(OFFSET($H$3,0,0,'Données projet'!$E$11+1,1))</f>
        <v>277.5990520183687</v>
      </c>
      <c r="BJ161" s="62">
        <f t="shared" si="146"/>
        <v>338.50140415303872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0.40094571098366932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1.1529593153950643E-18</v>
      </c>
      <c r="BS161" s="24">
        <f t="shared" si="169"/>
        <v>0.40094571098366932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-1.7053025658242404E-13</v>
      </c>
      <c r="O162" s="14">
        <f>N162*VLOOKUP('Données projet'!$B$9,Paramètres!$A$1:$I$89,3,0)*VLOOKUP('Données projet'!$B$9,Paramètres!$A$1:$I$89,5,0)</f>
        <v>-1.0197709343628959E-13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131.58904681787436</v>
      </c>
      <c r="T162" s="62">
        <f t="shared" si="142"/>
        <v>208.65872561216122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0.80236412365111043</v>
      </c>
      <c r="AA162" s="23">
        <f>EXP(-LN(2)/25)*AA161+(1-EXP(-LN(2)/25))/(LN(2)/25)*Calculateur!V162*Calculateur!X162*VLOOKUP('Données projet'!$B$9,Paramètres!$A$1:$I$89,3,0)*0.475*44/12</f>
        <v>9.3484965485539043E-2</v>
      </c>
      <c r="AB162" s="23">
        <f>EXP(-LN(2)/2)*AB161+(1-EXP(-LN(2)/2))/(LN(2)/2)*V162*Y162*VLOOKUP('Données projet'!$B$9,Paramètres!$A$1:$I$89,3,0)*0.475*44/12</f>
        <v>5.8517849812959979E-19</v>
      </c>
      <c r="AC162" s="24">
        <f t="shared" si="163"/>
        <v>0.89584908913664951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1.5429577615577727E-13</v>
      </c>
      <c r="AK162" s="14">
        <f t="shared" si="164"/>
        <v>2.2038482767263348E-12</v>
      </c>
      <c r="AL162" s="22">
        <f t="shared" si="165"/>
        <v>4.107100892103012E-12</v>
      </c>
      <c r="AM162" s="62">
        <f t="shared" si="113"/>
        <v>293.33333333333741</v>
      </c>
      <c r="AN162" s="62">
        <f ca="1">AVERAGE(OFFSET($AM$3,0,0,'Données projet'!$E$10+1,1))-AVERAGE(OFFSET($H$3,0,0,'Données projet'!$E$10+1,1))</f>
        <v>221.11420634571317</v>
      </c>
      <c r="AO162" s="62">
        <f t="shared" si="144"/>
        <v>133.63266168802033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6.3550942286383367E-14</v>
      </c>
      <c r="BF162" s="14">
        <f t="shared" si="167"/>
        <v>1.0064464192543978E-12</v>
      </c>
      <c r="BG162" s="22">
        <f t="shared" si="168"/>
        <v>1.8635787380168604E-12</v>
      </c>
      <c r="BH162" s="62">
        <f t="shared" si="116"/>
        <v>293.33333333333519</v>
      </c>
      <c r="BI162" s="62">
        <f ca="1">AVERAGE(OFFSET($BH$3,0,0,'Données projet'!$E$11+1,1))-AVERAGE(OFFSET($H$3,0,0,'Données projet'!$E$11+1,1))</f>
        <v>277.5990520183687</v>
      </c>
      <c r="BJ162" s="62">
        <f t="shared" si="146"/>
        <v>338.50140415303872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0.39308341014401571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8.1526535034804939E-19</v>
      </c>
      <c r="BS162" s="24">
        <f t="shared" si="169"/>
        <v>0.39308341014401571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-1.7053025658242404E-13</v>
      </c>
      <c r="O163" s="14">
        <f>N163*VLOOKUP('Données projet'!$B$9,Paramètres!$A$1:$I$89,3,0)*VLOOKUP('Données projet'!$B$9,Paramètres!$A$1:$I$89,5,0)</f>
        <v>-1.0197709343628959E-13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131.58904681787436</v>
      </c>
      <c r="T163" s="62">
        <f t="shared" si="142"/>
        <v>208.65872561216122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0.78663025258010399</v>
      </c>
      <c r="AA163" s="23">
        <f>EXP(-LN(2)/25)*AA162+(1-EXP(-LN(2)/25))/(LN(2)/25)*Calculateur!V163*Calculateur!X163*VLOOKUP('Données projet'!$B$9,Paramètres!$A$1:$I$89,3,0)*0.475*44/12</f>
        <v>9.0928614188176299E-2</v>
      </c>
      <c r="AB163" s="23">
        <f>EXP(-LN(2)/2)*AB162+(1-EXP(-LN(2)/2))/(LN(2)/2)*V163*Y163*VLOOKUP('Données projet'!$B$9,Paramètres!$A$1:$I$89,3,0)*0.475*44/12</f>
        <v>4.1378368423199943E-19</v>
      </c>
      <c r="AC163" s="24">
        <f t="shared" si="163"/>
        <v>0.87755886676828032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1.5429577615577727E-13</v>
      </c>
      <c r="AK163" s="14">
        <f t="shared" si="164"/>
        <v>2.2038482767263348E-12</v>
      </c>
      <c r="AL163" s="22">
        <f t="shared" si="165"/>
        <v>4.107100892103012E-12</v>
      </c>
      <c r="AM163" s="62">
        <f t="shared" si="113"/>
        <v>293.33333333333741</v>
      </c>
      <c r="AN163" s="62">
        <f ca="1">AVERAGE(OFFSET($AM$3,0,0,'Données projet'!$E$10+1,1))-AVERAGE(OFFSET($H$3,0,0,'Données projet'!$E$10+1,1))</f>
        <v>221.11420634571317</v>
      </c>
      <c r="AO163" s="62">
        <f t="shared" si="144"/>
        <v>133.63266168802033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6.3550942286383367E-14</v>
      </c>
      <c r="BF163" s="14">
        <f t="shared" si="167"/>
        <v>1.0064464192543978E-12</v>
      </c>
      <c r="BG163" s="22">
        <f t="shared" si="168"/>
        <v>1.8635787380168604E-12</v>
      </c>
      <c r="BH163" s="62">
        <f t="shared" si="116"/>
        <v>293.33333333333519</v>
      </c>
      <c r="BI163" s="62">
        <f ca="1">AVERAGE(OFFSET($BH$3,0,0,'Données projet'!$E$11+1,1))-AVERAGE(OFFSET($H$3,0,0,'Données projet'!$E$11+1,1))</f>
        <v>277.5990520183687</v>
      </c>
      <c r="BJ163" s="62">
        <f t="shared" si="146"/>
        <v>338.50140415303872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0.3853752842282977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5.7647965769753216E-19</v>
      </c>
      <c r="BS163" s="24">
        <f t="shared" si="169"/>
        <v>0.3853752842282977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-1.7053025658242404E-13</v>
      </c>
      <c r="O164" s="14">
        <f>N164*VLOOKUP('Données projet'!$B$9,Paramètres!$A$1:$I$89,3,0)*VLOOKUP('Données projet'!$B$9,Paramètres!$A$1:$I$89,5,0)</f>
        <v>-1.0197709343628959E-13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131.58904681787436</v>
      </c>
      <c r="T164" s="62">
        <f t="shared" si="142"/>
        <v>208.65872561216122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0.77120491312408623</v>
      </c>
      <c r="AA164" s="23">
        <f>EXP(-LN(2)/25)*AA163+(1-EXP(-LN(2)/25))/(LN(2)/25)*Calculateur!V164*Calculateur!X164*VLOOKUP('Données projet'!$B$9,Paramètres!$A$1:$I$89,3,0)*0.475*44/12</f>
        <v>8.8442166451472612E-2</v>
      </c>
      <c r="AB164" s="23">
        <f>EXP(-LN(2)/2)*AB163+(1-EXP(-LN(2)/2))/(LN(2)/2)*V164*Y164*VLOOKUP('Données projet'!$B$9,Paramètres!$A$1:$I$89,3,0)*0.475*44/12</f>
        <v>2.925892490647999E-19</v>
      </c>
      <c r="AC164" s="24">
        <f t="shared" si="163"/>
        <v>0.85964707957555886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1.5429577615577727E-13</v>
      </c>
      <c r="AK164" s="14">
        <f t="shared" si="164"/>
        <v>2.2038482767263348E-12</v>
      </c>
      <c r="AL164" s="22">
        <f t="shared" si="165"/>
        <v>4.107100892103012E-12</v>
      </c>
      <c r="AM164" s="62">
        <f t="shared" si="113"/>
        <v>293.33333333333741</v>
      </c>
      <c r="AN164" s="62">
        <f ca="1">AVERAGE(OFFSET($AM$3,0,0,'Données projet'!$E$10+1,1))-AVERAGE(OFFSET($H$3,0,0,'Données projet'!$E$10+1,1))</f>
        <v>221.11420634571317</v>
      </c>
      <c r="AO164" s="62">
        <f t="shared" si="144"/>
        <v>133.63266168802033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6.3550942286383367E-14</v>
      </c>
      <c r="BF164" s="14">
        <f t="shared" si="167"/>
        <v>1.0064464192543978E-12</v>
      </c>
      <c r="BG164" s="22">
        <f t="shared" si="168"/>
        <v>1.8635787380168604E-12</v>
      </c>
      <c r="BH164" s="62">
        <f t="shared" si="116"/>
        <v>293.33333333333519</v>
      </c>
      <c r="BI164" s="62">
        <f ca="1">AVERAGE(OFFSET($BH$3,0,0,'Données projet'!$E$11+1,1))-AVERAGE(OFFSET($H$3,0,0,'Données projet'!$E$11+1,1))</f>
        <v>277.5990520183687</v>
      </c>
      <c r="BJ164" s="62">
        <f t="shared" si="146"/>
        <v>338.50140415303872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0.37781830996029436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4.076326751740247E-19</v>
      </c>
      <c r="BS164" s="24">
        <f t="shared" si="169"/>
        <v>0.37781830996029436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-1.7053025658242404E-13</v>
      </c>
      <c r="O165" s="14">
        <f>N165*VLOOKUP('Données projet'!$B$9,Paramètres!$A$1:$I$89,3,0)*VLOOKUP('Données projet'!$B$9,Paramètres!$A$1:$I$89,5,0)</f>
        <v>-1.0197709343628959E-13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131.58904681787436</v>
      </c>
      <c r="T165" s="62">
        <f t="shared" si="142"/>
        <v>208.65872561216122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0.75608205516627291</v>
      </c>
      <c r="AA165" s="23">
        <f>EXP(-LN(2)/25)*AA164+(1-EXP(-LN(2)/25))/(LN(2)/25)*Calculateur!V165*Calculateur!X165*VLOOKUP('Données projet'!$B$9,Paramètres!$A$1:$I$89,3,0)*0.475*44/12</f>
        <v>8.6023710758885694E-2</v>
      </c>
      <c r="AB165" s="23">
        <f>EXP(-LN(2)/2)*AB164+(1-EXP(-LN(2)/2))/(LN(2)/2)*V165*Y165*VLOOKUP('Données projet'!$B$9,Paramètres!$A$1:$I$89,3,0)*0.475*44/12</f>
        <v>2.0689184211599972E-19</v>
      </c>
      <c r="AC165" s="24">
        <f t="shared" si="163"/>
        <v>0.84210576592515862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1.5429577615577727E-13</v>
      </c>
      <c r="AK165" s="14">
        <f t="shared" si="164"/>
        <v>2.2038482767263348E-12</v>
      </c>
      <c r="AL165" s="22">
        <f t="shared" si="165"/>
        <v>4.107100892103012E-12</v>
      </c>
      <c r="AM165" s="62">
        <f t="shared" si="113"/>
        <v>293.33333333333741</v>
      </c>
      <c r="AN165" s="62">
        <f ca="1">AVERAGE(OFFSET($AM$3,0,0,'Données projet'!$E$10+1,1))-AVERAGE(OFFSET($H$3,0,0,'Données projet'!$E$10+1,1))</f>
        <v>221.11420634571317</v>
      </c>
      <c r="AO165" s="62">
        <f t="shared" si="144"/>
        <v>133.63266168802033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6.3550942286383367E-14</v>
      </c>
      <c r="BF165" s="14">
        <f t="shared" si="167"/>
        <v>1.0064464192543978E-12</v>
      </c>
      <c r="BG165" s="22">
        <f t="shared" si="168"/>
        <v>1.8635787380168604E-12</v>
      </c>
      <c r="BH165" s="62">
        <f t="shared" si="116"/>
        <v>293.33333333333519</v>
      </c>
      <c r="BI165" s="62">
        <f ca="1">AVERAGE(OFFSET($BH$3,0,0,'Données projet'!$E$11+1,1))-AVERAGE(OFFSET($H$3,0,0,'Données projet'!$E$11+1,1))</f>
        <v>277.5990520183687</v>
      </c>
      <c r="BJ165" s="62">
        <f t="shared" si="146"/>
        <v>338.50140415303872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0.37040952334838739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2.8823982884876608E-19</v>
      </c>
      <c r="BS165" s="24">
        <f t="shared" si="169"/>
        <v>0.37040952334838739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-1.7053025658242404E-13</v>
      </c>
      <c r="O166" s="14">
        <f>N166*VLOOKUP('Données projet'!$B$9,Paramètres!$A$1:$I$89,3,0)*VLOOKUP('Données projet'!$B$9,Paramètres!$A$1:$I$89,5,0)</f>
        <v>-1.0197709343628959E-13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131.58904681787436</v>
      </c>
      <c r="T166" s="62">
        <f t="shared" si="142"/>
        <v>208.65872561216122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0.74125574722897969</v>
      </c>
      <c r="AA166" s="23">
        <f>EXP(-LN(2)/25)*AA165+(1-EXP(-LN(2)/25))/(LN(2)/25)*Calculateur!V166*Calculateur!X166*VLOOKUP('Données projet'!$B$9,Paramètres!$A$1:$I$89,3,0)*0.475*44/12</f>
        <v>8.3671387864393626E-2</v>
      </c>
      <c r="AB166" s="23">
        <f>EXP(-LN(2)/2)*AB165+(1-EXP(-LN(2)/2))/(LN(2)/2)*V166*Y166*VLOOKUP('Données projet'!$B$9,Paramètres!$A$1:$I$89,3,0)*0.475*44/12</f>
        <v>1.4629462453239995E-19</v>
      </c>
      <c r="AC166" s="24">
        <f t="shared" si="163"/>
        <v>0.82492713509337334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1.5429577615577727E-13</v>
      </c>
      <c r="AK166" s="14">
        <f t="shared" si="164"/>
        <v>2.2038482767263348E-12</v>
      </c>
      <c r="AL166" s="22">
        <f t="shared" si="165"/>
        <v>4.107100892103012E-12</v>
      </c>
      <c r="AM166" s="62">
        <f t="shared" si="113"/>
        <v>293.33333333333741</v>
      </c>
      <c r="AN166" s="62">
        <f ca="1">AVERAGE(OFFSET($AM$3,0,0,'Données projet'!$E$10+1,1))-AVERAGE(OFFSET($H$3,0,0,'Données projet'!$E$10+1,1))</f>
        <v>221.11420634571317</v>
      </c>
      <c r="AO166" s="62">
        <f t="shared" si="144"/>
        <v>133.63266168802033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6.3550942286383367E-14</v>
      </c>
      <c r="BF166" s="14">
        <f t="shared" si="167"/>
        <v>1.0064464192543978E-12</v>
      </c>
      <c r="BG166" s="22">
        <f t="shared" si="168"/>
        <v>1.8635787380168604E-12</v>
      </c>
      <c r="BH166" s="62">
        <f t="shared" si="116"/>
        <v>293.33333333333519</v>
      </c>
      <c r="BI166" s="62">
        <f ca="1">AVERAGE(OFFSET($BH$3,0,0,'Données projet'!$E$11+1,1))-AVERAGE(OFFSET($H$3,0,0,'Données projet'!$E$11+1,1))</f>
        <v>277.5990520183687</v>
      </c>
      <c r="BJ166" s="62">
        <f t="shared" si="146"/>
        <v>338.50140415303872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0.36314601852302625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2.0381633758701235E-19</v>
      </c>
      <c r="BS166" s="24">
        <f t="shared" si="169"/>
        <v>0.36314601852302625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-1.7053025658242404E-13</v>
      </c>
      <c r="O167" s="14">
        <f>N167*VLOOKUP('Données projet'!$B$9,Paramètres!$A$1:$I$89,3,0)*VLOOKUP('Données projet'!$B$9,Paramètres!$A$1:$I$89,5,0)</f>
        <v>-1.0197709343628959E-13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131.58904681787436</v>
      </c>
      <c r="T167" s="62">
        <f t="shared" si="142"/>
        <v>208.65872561216122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0.72672017414718193</v>
      </c>
      <c r="AA167" s="23">
        <f>EXP(-LN(2)/25)*AA166+(1-EXP(-LN(2)/25))/(LN(2)/25)*Calculateur!V167*Calculateur!X167*VLOOKUP('Données projet'!$B$9,Paramètres!$A$1:$I$89,3,0)*0.475*44/12</f>
        <v>8.1383389363154729E-2</v>
      </c>
      <c r="AB167" s="23">
        <f>EXP(-LN(2)/2)*AB166+(1-EXP(-LN(2)/2))/(LN(2)/2)*V167*Y167*VLOOKUP('Données projet'!$B$9,Paramètres!$A$1:$I$89,3,0)*0.475*44/12</f>
        <v>1.0344592105799986E-19</v>
      </c>
      <c r="AC167" s="24">
        <f t="shared" si="163"/>
        <v>0.80810356351033663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1.5429577615577727E-13</v>
      </c>
      <c r="AK167" s="14">
        <f t="shared" si="164"/>
        <v>2.2038482767263348E-12</v>
      </c>
      <c r="AL167" s="22">
        <f t="shared" si="165"/>
        <v>4.107100892103012E-12</v>
      </c>
      <c r="AM167" s="62">
        <f t="shared" si="113"/>
        <v>293.33333333333741</v>
      </c>
      <c r="AN167" s="62">
        <f ca="1">AVERAGE(OFFSET($AM$3,0,0,'Données projet'!$E$10+1,1))-AVERAGE(OFFSET($H$3,0,0,'Données projet'!$E$10+1,1))</f>
        <v>221.11420634571317</v>
      </c>
      <c r="AO167" s="62">
        <f t="shared" si="144"/>
        <v>133.63266168802033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6.3550942286383367E-14</v>
      </c>
      <c r="BF167" s="14">
        <f t="shared" si="167"/>
        <v>1.0064464192543978E-12</v>
      </c>
      <c r="BG167" s="22">
        <f t="shared" si="168"/>
        <v>1.8635787380168604E-12</v>
      </c>
      <c r="BH167" s="62">
        <f t="shared" si="116"/>
        <v>293.33333333333519</v>
      </c>
      <c r="BI167" s="62">
        <f ca="1">AVERAGE(OFFSET($BH$3,0,0,'Données projet'!$E$11+1,1))-AVERAGE(OFFSET($H$3,0,0,'Données projet'!$E$11+1,1))</f>
        <v>277.5990520183687</v>
      </c>
      <c r="BJ167" s="62">
        <f t="shared" si="146"/>
        <v>338.50140415303872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0.35602494659698997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1.4411991442438304E-19</v>
      </c>
      <c r="BS167" s="24">
        <f t="shared" si="169"/>
        <v>0.35602494659698997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-1.7053025658242404E-13</v>
      </c>
      <c r="O168" s="14">
        <f>N168*VLOOKUP('Données projet'!$B$9,Paramètres!$A$1:$I$89,3,0)*VLOOKUP('Données projet'!$B$9,Paramètres!$A$1:$I$89,5,0)</f>
        <v>-1.0197709343628959E-13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131.58904681787436</v>
      </c>
      <c r="T168" s="62">
        <f t="shared" si="142"/>
        <v>208.65872561216122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0.71246963478769409</v>
      </c>
      <c r="AA168" s="23">
        <f>EXP(-LN(2)/25)*AA167+(1-EXP(-LN(2)/25))/(LN(2)/25)*Calculateur!V168*Calculateur!X168*VLOOKUP('Données projet'!$B$9,Paramètres!$A$1:$I$89,3,0)*0.475*44/12</f>
        <v>7.9157956301252816E-2</v>
      </c>
      <c r="AB168" s="23">
        <f>EXP(-LN(2)/2)*AB167+(1-EXP(-LN(2)/2))/(LN(2)/2)*V168*Y168*VLOOKUP('Données projet'!$B$9,Paramètres!$A$1:$I$89,3,0)*0.475*44/12</f>
        <v>7.3147312266199974E-20</v>
      </c>
      <c r="AC168" s="24">
        <f t="shared" si="163"/>
        <v>0.79162759108894687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1.5429577615577727E-13</v>
      </c>
      <c r="AK168" s="14">
        <f t="shared" si="164"/>
        <v>2.2038482767263348E-12</v>
      </c>
      <c r="AL168" s="22">
        <f t="shared" si="165"/>
        <v>4.107100892103012E-12</v>
      </c>
      <c r="AM168" s="62">
        <f t="shared" si="113"/>
        <v>293.33333333333741</v>
      </c>
      <c r="AN168" s="62">
        <f ca="1">AVERAGE(OFFSET($AM$3,0,0,'Données projet'!$E$10+1,1))-AVERAGE(OFFSET($H$3,0,0,'Données projet'!$E$10+1,1))</f>
        <v>221.11420634571317</v>
      </c>
      <c r="AO168" s="62">
        <f t="shared" si="144"/>
        <v>133.63266168802033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6.3550942286383367E-14</v>
      </c>
      <c r="BF168" s="14">
        <f t="shared" si="167"/>
        <v>1.0064464192543978E-12</v>
      </c>
      <c r="BG168" s="22">
        <f t="shared" si="168"/>
        <v>1.8635787380168604E-12</v>
      </c>
      <c r="BH168" s="62">
        <f t="shared" si="116"/>
        <v>293.33333333333519</v>
      </c>
      <c r="BI168" s="62">
        <f ca="1">AVERAGE(OFFSET($BH$3,0,0,'Données projet'!$E$11+1,1))-AVERAGE(OFFSET($H$3,0,0,'Données projet'!$E$11+1,1))</f>
        <v>277.5990520183687</v>
      </c>
      <c r="BJ168" s="62">
        <f t="shared" si="146"/>
        <v>338.50140415303872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0.34904351454799826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1.0190816879350617E-19</v>
      </c>
      <c r="BS168" s="24">
        <f t="shared" si="169"/>
        <v>0.34904351454799826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-1.7053025658242404E-13</v>
      </c>
      <c r="O169" s="14">
        <f>N169*VLOOKUP('Données projet'!$B$9,Paramètres!$A$1:$I$89,3,0)*VLOOKUP('Données projet'!$B$9,Paramètres!$A$1:$I$89,5,0)</f>
        <v>-1.0197709343628959E-13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131.58904681787436</v>
      </c>
      <c r="T169" s="62">
        <f t="shared" si="142"/>
        <v>208.65872561216122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0.69849853981307508</v>
      </c>
      <c r="AA169" s="23">
        <f>EXP(-LN(2)/25)*AA168+(1-EXP(-LN(2)/25))/(LN(2)/25)*Calculateur!V169*Calculateur!X169*VLOOKUP('Données projet'!$B$9,Paramètres!$A$1:$I$89,3,0)*0.475*44/12</f>
        <v>7.6993377823459053E-2</v>
      </c>
      <c r="AB169" s="23">
        <f>EXP(-LN(2)/2)*AB168+(1-EXP(-LN(2)/2))/(LN(2)/2)*V169*Y169*VLOOKUP('Données projet'!$B$9,Paramètres!$A$1:$I$89,3,0)*0.475*44/12</f>
        <v>5.1722960528999929E-20</v>
      </c>
      <c r="AC169" s="24">
        <f t="shared" si="163"/>
        <v>0.77549191763653413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1.5429577615577727E-13</v>
      </c>
      <c r="AK169" s="14">
        <f t="shared" si="164"/>
        <v>2.2038482767263348E-12</v>
      </c>
      <c r="AL169" s="22">
        <f t="shared" si="165"/>
        <v>4.107100892103012E-12</v>
      </c>
      <c r="AM169" s="62">
        <f t="shared" si="113"/>
        <v>293.33333333333741</v>
      </c>
      <c r="AN169" s="62">
        <f ca="1">AVERAGE(OFFSET($AM$3,0,0,'Données projet'!$E$10+1,1))-AVERAGE(OFFSET($H$3,0,0,'Données projet'!$E$10+1,1))</f>
        <v>221.11420634571317</v>
      </c>
      <c r="AO169" s="62">
        <f t="shared" si="144"/>
        <v>133.63266168802033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6.3550942286383367E-14</v>
      </c>
      <c r="BF169" s="14">
        <f t="shared" si="167"/>
        <v>1.0064464192543978E-12</v>
      </c>
      <c r="BG169" s="22">
        <f t="shared" si="168"/>
        <v>1.8635787380168604E-12</v>
      </c>
      <c r="BH169" s="62">
        <f t="shared" si="116"/>
        <v>293.33333333333519</v>
      </c>
      <c r="BI169" s="62">
        <f ca="1">AVERAGE(OFFSET($BH$3,0,0,'Données projet'!$E$11+1,1))-AVERAGE(OFFSET($H$3,0,0,'Données projet'!$E$11+1,1))</f>
        <v>277.5990520183687</v>
      </c>
      <c r="BJ169" s="62">
        <f t="shared" si="146"/>
        <v>338.50140415303872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0.34219898412323418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7.205995721219152E-20</v>
      </c>
      <c r="BS169" s="24">
        <f t="shared" si="169"/>
        <v>0.34219898412323418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-1.7053025658242404E-13</v>
      </c>
      <c r="O170" s="14">
        <f>N170*VLOOKUP('Données projet'!$B$9,Paramètres!$A$1:$I$89,3,0)*VLOOKUP('Données projet'!$B$9,Paramètres!$A$1:$I$89,5,0)</f>
        <v>-1.0197709343628959E-13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131.58904681787436</v>
      </c>
      <c r="T170" s="62">
        <f t="shared" si="142"/>
        <v>208.65872561216122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0.68480140948938184</v>
      </c>
      <c r="AA170" s="23">
        <f>EXP(-LN(2)/25)*AA169+(1-EXP(-LN(2)/25))/(LN(2)/25)*Calculateur!V170*Calculateur!X170*VLOOKUP('Données projet'!$B$9,Paramètres!$A$1:$I$89,3,0)*0.475*44/12</f>
        <v>7.4887989857970794E-2</v>
      </c>
      <c r="AB170" s="23">
        <f>EXP(-LN(2)/2)*AB169+(1-EXP(-LN(2)/2))/(LN(2)/2)*V170*Y170*VLOOKUP('Données projet'!$B$9,Paramètres!$A$1:$I$89,3,0)*0.475*44/12</f>
        <v>3.6573656133099987E-20</v>
      </c>
      <c r="AC170" s="24">
        <f t="shared" si="163"/>
        <v>0.75968939934735258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1.5429577615577727E-13</v>
      </c>
      <c r="AK170" s="14">
        <f t="shared" si="164"/>
        <v>2.2038482767263348E-12</v>
      </c>
      <c r="AL170" s="22">
        <f t="shared" si="165"/>
        <v>4.107100892103012E-12</v>
      </c>
      <c r="AM170" s="62">
        <f t="shared" si="113"/>
        <v>293.33333333333741</v>
      </c>
      <c r="AN170" s="62">
        <f ca="1">AVERAGE(OFFSET($AM$3,0,0,'Données projet'!$E$10+1,1))-AVERAGE(OFFSET($H$3,0,0,'Données projet'!$E$10+1,1))</f>
        <v>221.11420634571317</v>
      </c>
      <c r="AO170" s="62">
        <f t="shared" si="144"/>
        <v>133.63266168802033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6.3550942286383367E-14</v>
      </c>
      <c r="BF170" s="14">
        <f t="shared" si="167"/>
        <v>1.0064464192543978E-12</v>
      </c>
      <c r="BG170" s="22">
        <f t="shared" si="168"/>
        <v>1.8635787380168604E-12</v>
      </c>
      <c r="BH170" s="62">
        <f t="shared" si="116"/>
        <v>293.33333333333519</v>
      </c>
      <c r="BI170" s="62">
        <f ca="1">AVERAGE(OFFSET($BH$3,0,0,'Données projet'!$E$11+1,1))-AVERAGE(OFFSET($H$3,0,0,'Données projet'!$E$11+1,1))</f>
        <v>277.5990520183687</v>
      </c>
      <c r="BJ170" s="62">
        <f t="shared" si="146"/>
        <v>338.50140415303872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0.33548867076534844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5.0954084396753087E-20</v>
      </c>
      <c r="BS170" s="24">
        <f t="shared" si="169"/>
        <v>0.33548867076534844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-1.7053025658242404E-13</v>
      </c>
      <c r="O171" s="14">
        <f>N171*VLOOKUP('Données projet'!$B$9,Paramètres!$A$1:$I$89,3,0)*VLOOKUP('Données projet'!$B$9,Paramètres!$A$1:$I$89,5,0)</f>
        <v>-1.0197709343628959E-13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131.58904681787436</v>
      </c>
      <c r="T171" s="62">
        <f t="shared" si="142"/>
        <v>208.65872561216122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0.67137287153691161</v>
      </c>
      <c r="AA171" s="23">
        <f>EXP(-LN(2)/25)*AA170+(1-EXP(-LN(2)/25))/(LN(2)/25)*Calculateur!V171*Calculateur!X171*VLOOKUP('Données projet'!$B$9,Paramètres!$A$1:$I$89,3,0)*0.475*44/12</f>
        <v>7.2840173837116357E-2</v>
      </c>
      <c r="AB171" s="23">
        <f>EXP(-LN(2)/2)*AB170+(1-EXP(-LN(2)/2))/(LN(2)/2)*V171*Y171*VLOOKUP('Données projet'!$B$9,Paramètres!$A$1:$I$89,3,0)*0.475*44/12</f>
        <v>2.5861480264499965E-20</v>
      </c>
      <c r="AC171" s="24">
        <f t="shared" si="163"/>
        <v>0.74421304537402799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1.5429577615577727E-13</v>
      </c>
      <c r="AK171" s="14">
        <f t="shared" si="164"/>
        <v>2.2038482767263348E-12</v>
      </c>
      <c r="AL171" s="22">
        <f t="shared" si="165"/>
        <v>4.107100892103012E-12</v>
      </c>
      <c r="AM171" s="62">
        <f t="shared" si="113"/>
        <v>293.33333333333741</v>
      </c>
      <c r="AN171" s="62">
        <f ca="1">AVERAGE(OFFSET($AM$3,0,0,'Données projet'!$E$10+1,1))-AVERAGE(OFFSET($H$3,0,0,'Données projet'!$E$10+1,1))</f>
        <v>221.11420634571317</v>
      </c>
      <c r="AO171" s="62">
        <f t="shared" si="144"/>
        <v>133.63266168802033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6.3550942286383367E-14</v>
      </c>
      <c r="BF171" s="14">
        <f t="shared" si="167"/>
        <v>1.0064464192543978E-12</v>
      </c>
      <c r="BG171" s="22">
        <f t="shared" si="168"/>
        <v>1.8635787380168604E-12</v>
      </c>
      <c r="BH171" s="62">
        <f t="shared" si="116"/>
        <v>293.33333333333519</v>
      </c>
      <c r="BI171" s="62">
        <f ca="1">AVERAGE(OFFSET($BH$3,0,0,'Données projet'!$E$11+1,1))-AVERAGE(OFFSET($H$3,0,0,'Données projet'!$E$11+1,1))</f>
        <v>277.5990520183687</v>
      </c>
      <c r="BJ171" s="62">
        <f t="shared" si="146"/>
        <v>338.50140415303872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0.32890994255952377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3.602997860609576E-20</v>
      </c>
      <c r="BS171" s="24">
        <f t="shared" si="169"/>
        <v>0.32890994255952377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-1.7053025658242404E-13</v>
      </c>
      <c r="O172" s="14">
        <f>N172*VLOOKUP('Données projet'!$B$9,Paramètres!$A$1:$I$89,3,0)*VLOOKUP('Données projet'!$B$9,Paramètres!$A$1:$I$89,5,0)</f>
        <v>-1.0197709343628959E-13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131.58904681787436</v>
      </c>
      <c r="T172" s="62">
        <f t="shared" si="142"/>
        <v>208.65872561216122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0.65820765902308997</v>
      </c>
      <c r="AA172" s="23">
        <f>EXP(-LN(2)/25)*AA171+(1-EXP(-LN(2)/25))/(LN(2)/25)*Calculateur!V172*Calculateur!X172*VLOOKUP('Données projet'!$B$9,Paramètres!$A$1:$I$89,3,0)*0.475*44/12</f>
        <v>7.0848355453042147E-2</v>
      </c>
      <c r="AB172" s="23">
        <f>EXP(-LN(2)/2)*AB171+(1-EXP(-LN(2)/2))/(LN(2)/2)*V172*Y172*VLOOKUP('Données projet'!$B$9,Paramètres!$A$1:$I$89,3,0)*0.475*44/12</f>
        <v>1.8286828066549993E-20</v>
      </c>
      <c r="AC172" s="24">
        <f t="shared" si="163"/>
        <v>0.72905601447613211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1.5429577615577727E-13</v>
      </c>
      <c r="AK172" s="14">
        <f t="shared" si="164"/>
        <v>2.2038482767263348E-12</v>
      </c>
      <c r="AL172" s="22">
        <f t="shared" si="165"/>
        <v>4.107100892103012E-12</v>
      </c>
      <c r="AM172" s="62">
        <f t="shared" si="113"/>
        <v>293.33333333333741</v>
      </c>
      <c r="AN172" s="62">
        <f ca="1">AVERAGE(OFFSET($AM$3,0,0,'Données projet'!$E$10+1,1))-AVERAGE(OFFSET($H$3,0,0,'Données projet'!$E$10+1,1))</f>
        <v>221.11420634571317</v>
      </c>
      <c r="AO172" s="62">
        <f t="shared" si="144"/>
        <v>133.63266168802033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6.3550942286383367E-14</v>
      </c>
      <c r="BF172" s="14">
        <f t="shared" si="167"/>
        <v>1.0064464192543978E-12</v>
      </c>
      <c r="BG172" s="22">
        <f t="shared" si="168"/>
        <v>1.8635787380168604E-12</v>
      </c>
      <c r="BH172" s="62">
        <f t="shared" si="116"/>
        <v>293.33333333333519</v>
      </c>
      <c r="BI172" s="62">
        <f ca="1">AVERAGE(OFFSET($BH$3,0,0,'Données projet'!$E$11+1,1))-AVERAGE(OFFSET($H$3,0,0,'Données projet'!$E$11+1,1))</f>
        <v>277.5990520183687</v>
      </c>
      <c r="BJ172" s="62">
        <f t="shared" si="146"/>
        <v>338.50140415303872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0.32246021920118734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2.5477042198376544E-20</v>
      </c>
      <c r="BS172" s="24">
        <f t="shared" si="169"/>
        <v>0.32246021920118734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-1.7053025658242404E-13</v>
      </c>
      <c r="O173" s="14">
        <f>N173*VLOOKUP('Données projet'!$B$9,Paramètres!$A$1:$I$89,3,0)*VLOOKUP('Données projet'!$B$9,Paramètres!$A$1:$I$89,5,0)</f>
        <v>-1.0197709343628959E-13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131.58904681787436</v>
      </c>
      <c r="T173" s="62">
        <f t="shared" si="142"/>
        <v>208.65872561216122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0.64530060829667757</v>
      </c>
      <c r="AA173" s="23">
        <f>EXP(-LN(2)/25)*AA172+(1-EXP(-LN(2)/25))/(LN(2)/25)*Calculateur!V173*Calculateur!X173*VLOOKUP('Données projet'!$B$9,Paramètres!$A$1:$I$89,3,0)*0.475*44/12</f>
        <v>6.8911003447425623E-2</v>
      </c>
      <c r="AB173" s="23">
        <f>EXP(-LN(2)/2)*AB172+(1-EXP(-LN(2)/2))/(LN(2)/2)*V173*Y173*VLOOKUP('Données projet'!$B$9,Paramètres!$A$1:$I$89,3,0)*0.475*44/12</f>
        <v>1.2930740132249982E-20</v>
      </c>
      <c r="AC173" s="24">
        <f t="shared" si="163"/>
        <v>0.71421161174410319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1.5429577615577727E-13</v>
      </c>
      <c r="AK173" s="14">
        <f t="shared" si="164"/>
        <v>2.2038482767263348E-12</v>
      </c>
      <c r="AL173" s="22">
        <f t="shared" si="165"/>
        <v>4.107100892103012E-12</v>
      </c>
      <c r="AM173" s="62">
        <f t="shared" si="113"/>
        <v>293.33333333333741</v>
      </c>
      <c r="AN173" s="62">
        <f ca="1">AVERAGE(OFFSET($AM$3,0,0,'Données projet'!$E$10+1,1))-AVERAGE(OFFSET($H$3,0,0,'Données projet'!$E$10+1,1))</f>
        <v>221.11420634571317</v>
      </c>
      <c r="AO173" s="62">
        <f t="shared" si="144"/>
        <v>133.63266168802033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6.3550942286383367E-14</v>
      </c>
      <c r="BF173" s="14">
        <f t="shared" si="167"/>
        <v>1.0064464192543978E-12</v>
      </c>
      <c r="BG173" s="22">
        <f t="shared" si="168"/>
        <v>1.8635787380168604E-12</v>
      </c>
      <c r="BH173" s="62">
        <f t="shared" si="116"/>
        <v>293.33333333333519</v>
      </c>
      <c r="BI173" s="62">
        <f ca="1">AVERAGE(OFFSET($BH$3,0,0,'Données projet'!$E$11+1,1))-AVERAGE(OFFSET($H$3,0,0,'Données projet'!$E$11+1,1))</f>
        <v>277.5990520183687</v>
      </c>
      <c r="BJ173" s="62">
        <f t="shared" si="146"/>
        <v>338.50140415303872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0.31613697098396509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1.801498930304788E-20</v>
      </c>
      <c r="BS173" s="24">
        <f t="shared" si="169"/>
        <v>0.31613697098396509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-1.7053025658242404E-13</v>
      </c>
      <c r="O174" s="14">
        <f>N174*VLOOKUP('Données projet'!$B$9,Paramètres!$A$1:$I$89,3,0)*VLOOKUP('Données projet'!$B$9,Paramètres!$A$1:$I$89,5,0)</f>
        <v>-1.0197709343628959E-13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131.58904681787436</v>
      </c>
      <c r="T174" s="62">
        <f t="shared" si="142"/>
        <v>208.65872561216122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0.63264665696248656</v>
      </c>
      <c r="AA174" s="23">
        <f>EXP(-LN(2)/25)*AA173+(1-EXP(-LN(2)/25))/(LN(2)/25)*Calculateur!V174*Calculateur!X174*VLOOKUP('Données projet'!$B$9,Paramètres!$A$1:$I$89,3,0)*0.475*44/12</f>
        <v>6.70266284342836E-2</v>
      </c>
      <c r="AB174" s="23">
        <f>EXP(-LN(2)/2)*AB173+(1-EXP(-LN(2)/2))/(LN(2)/2)*V174*Y174*VLOOKUP('Données projet'!$B$9,Paramètres!$A$1:$I$89,3,0)*0.475*44/12</f>
        <v>9.1434140332749967E-21</v>
      </c>
      <c r="AC174" s="24">
        <f t="shared" si="163"/>
        <v>0.69967328539677021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1.5429577615577727E-13</v>
      </c>
      <c r="AK174" s="14">
        <f t="shared" si="164"/>
        <v>2.2038482767263348E-12</v>
      </c>
      <c r="AL174" s="22">
        <f t="shared" si="165"/>
        <v>4.107100892103012E-12</v>
      </c>
      <c r="AM174" s="62">
        <f t="shared" si="113"/>
        <v>293.33333333333741</v>
      </c>
      <c r="AN174" s="62">
        <f ca="1">AVERAGE(OFFSET($AM$3,0,0,'Données projet'!$E$10+1,1))-AVERAGE(OFFSET($H$3,0,0,'Données projet'!$E$10+1,1))</f>
        <v>221.11420634571317</v>
      </c>
      <c r="AO174" s="62">
        <f t="shared" si="144"/>
        <v>133.63266168802033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6.3550942286383367E-14</v>
      </c>
      <c r="BF174" s="14">
        <f t="shared" si="167"/>
        <v>1.0064464192543978E-12</v>
      </c>
      <c r="BG174" s="22">
        <f t="shared" si="168"/>
        <v>1.8635787380168604E-12</v>
      </c>
      <c r="BH174" s="62">
        <f t="shared" si="116"/>
        <v>293.33333333333519</v>
      </c>
      <c r="BI174" s="62">
        <f ca="1">AVERAGE(OFFSET($BH$3,0,0,'Données projet'!$E$11+1,1))-AVERAGE(OFFSET($H$3,0,0,'Données projet'!$E$11+1,1))</f>
        <v>277.5990520183687</v>
      </c>
      <c r="BJ174" s="62">
        <f t="shared" si="146"/>
        <v>338.50140415303872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0.30993771780748197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1.2738521099188272E-20</v>
      </c>
      <c r="BS174" s="24">
        <f t="shared" si="169"/>
        <v>0.30993771780748197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-1.7053025658242404E-13</v>
      </c>
      <c r="O175" s="14">
        <f>N175*VLOOKUP('Données projet'!$B$9,Paramètres!$A$1:$I$89,3,0)*VLOOKUP('Données projet'!$B$9,Paramètres!$A$1:$I$89,5,0)</f>
        <v>-1.0197709343628959E-13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131.58904681787436</v>
      </c>
      <c r="T175" s="62">
        <f t="shared" si="142"/>
        <v>208.65872561216122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0.62024084189581086</v>
      </c>
      <c r="AA175" s="23">
        <f>EXP(-LN(2)/25)*AA174+(1-EXP(-LN(2)/25))/(LN(2)/25)*Calculateur!V175*Calculateur!X175*VLOOKUP('Données projet'!$B$9,Paramètres!$A$1:$I$89,3,0)*0.475*44/12</f>
        <v>6.5193781754970911E-2</v>
      </c>
      <c r="AB175" s="23">
        <f>EXP(-LN(2)/2)*AB174+(1-EXP(-LN(2)/2))/(LN(2)/2)*V175*Y175*VLOOKUP('Données projet'!$B$9,Paramètres!$A$1:$I$89,3,0)*0.475*44/12</f>
        <v>6.4653700661249912E-21</v>
      </c>
      <c r="AC175" s="24">
        <f t="shared" si="163"/>
        <v>0.68543462365078178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1.5429577615577727E-13</v>
      </c>
      <c r="AK175" s="14">
        <f t="shared" si="164"/>
        <v>2.2038482767263348E-12</v>
      </c>
      <c r="AL175" s="22">
        <f t="shared" si="165"/>
        <v>4.107100892103012E-12</v>
      </c>
      <c r="AM175" s="62">
        <f t="shared" si="113"/>
        <v>293.33333333333741</v>
      </c>
      <c r="AN175" s="62">
        <f ca="1">AVERAGE(OFFSET($AM$3,0,0,'Données projet'!$E$10+1,1))-AVERAGE(OFFSET($H$3,0,0,'Données projet'!$E$10+1,1))</f>
        <v>221.11420634571317</v>
      </c>
      <c r="AO175" s="62">
        <f t="shared" si="144"/>
        <v>133.63266168802033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6.3550942286383367E-14</v>
      </c>
      <c r="BF175" s="14">
        <f t="shared" si="167"/>
        <v>1.0064464192543978E-12</v>
      </c>
      <c r="BG175" s="22">
        <f t="shared" si="168"/>
        <v>1.8635787380168604E-12</v>
      </c>
      <c r="BH175" s="62">
        <f t="shared" si="116"/>
        <v>293.33333333333519</v>
      </c>
      <c r="BI175" s="62">
        <f ca="1">AVERAGE(OFFSET($BH$3,0,0,'Données projet'!$E$11+1,1))-AVERAGE(OFFSET($H$3,0,0,'Données projet'!$E$11+1,1))</f>
        <v>277.5990520183687</v>
      </c>
      <c r="BJ175" s="62">
        <f t="shared" si="146"/>
        <v>338.50140415303872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0.30386002820461866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9.00749465152394E-21</v>
      </c>
      <c r="BS175" s="24">
        <f t="shared" si="169"/>
        <v>0.30386002820461866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-1.7053025658242404E-13</v>
      </c>
      <c r="O176" s="14">
        <f>N176*VLOOKUP('Données projet'!$B$9,Paramètres!$A$1:$I$89,3,0)*VLOOKUP('Données projet'!$B$9,Paramètres!$A$1:$I$89,5,0)</f>
        <v>-1.0197709343628959E-13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131.58904681787436</v>
      </c>
      <c r="T176" s="62">
        <f t="shared" si="142"/>
        <v>208.65872561216122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0.60807829729579255</v>
      </c>
      <c r="AA176" s="23">
        <f>EXP(-LN(2)/25)*AA175+(1-EXP(-LN(2)/25))/(LN(2)/25)*Calculateur!V176*Calculateur!X176*VLOOKUP('Données projet'!$B$9,Paramètres!$A$1:$I$89,3,0)*0.475*44/12</f>
        <v>6.3411054364489253E-2</v>
      </c>
      <c r="AB176" s="23">
        <f>EXP(-LN(2)/2)*AB175+(1-EXP(-LN(2)/2))/(LN(2)/2)*V176*Y176*VLOOKUP('Données projet'!$B$9,Paramètres!$A$1:$I$89,3,0)*0.475*44/12</f>
        <v>4.5717070166374984E-21</v>
      </c>
      <c r="AC176" s="24">
        <f t="shared" si="163"/>
        <v>0.67148935166028179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1.5429577615577727E-13</v>
      </c>
      <c r="AK176" s="14">
        <f t="shared" si="164"/>
        <v>2.2038482767263348E-12</v>
      </c>
      <c r="AL176" s="22">
        <f t="shared" si="165"/>
        <v>4.107100892103012E-12</v>
      </c>
      <c r="AM176" s="62">
        <f t="shared" si="113"/>
        <v>293.33333333333741</v>
      </c>
      <c r="AN176" s="62">
        <f ca="1">AVERAGE(OFFSET($AM$3,0,0,'Données projet'!$E$10+1,1))-AVERAGE(OFFSET($H$3,0,0,'Données projet'!$E$10+1,1))</f>
        <v>221.11420634571317</v>
      </c>
      <c r="AO176" s="62">
        <f t="shared" si="144"/>
        <v>133.63266168802033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6.3550942286383367E-14</v>
      </c>
      <c r="BF176" s="14">
        <f t="shared" si="167"/>
        <v>1.0064464192543978E-12</v>
      </c>
      <c r="BG176" s="22">
        <f t="shared" si="168"/>
        <v>1.8635787380168604E-12</v>
      </c>
      <c r="BH176" s="62">
        <f t="shared" si="116"/>
        <v>293.33333333333519</v>
      </c>
      <c r="BI176" s="62">
        <f ca="1">AVERAGE(OFFSET($BH$3,0,0,'Données projet'!$E$11+1,1))-AVERAGE(OFFSET($H$3,0,0,'Données projet'!$E$11+1,1))</f>
        <v>277.5990520183687</v>
      </c>
      <c r="BJ176" s="62">
        <f t="shared" si="146"/>
        <v>338.50140415303872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0.29790151838784285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6.3692605495941359E-21</v>
      </c>
      <c r="BS176" s="24">
        <f t="shared" si="169"/>
        <v>0.29790151838784285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-1.7053025658242404E-13</v>
      </c>
      <c r="O177" s="14">
        <f>N177*VLOOKUP('Données projet'!$B$9,Paramètres!$A$1:$I$89,3,0)*VLOOKUP('Données projet'!$B$9,Paramètres!$A$1:$I$89,5,0)</f>
        <v>-1.0197709343628959E-13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131.58904681787436</v>
      </c>
      <c r="T177" s="62">
        <f t="shared" si="142"/>
        <v>208.65872561216122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0.59615425277696099</v>
      </c>
      <c r="AA177" s="23">
        <f>EXP(-LN(2)/25)*AA176+(1-EXP(-LN(2)/25))/(LN(2)/25)*Calculateur!V177*Calculateur!X177*VLOOKUP('Données projet'!$B$9,Paramètres!$A$1:$I$89,3,0)*0.475*44/12</f>
        <v>6.167707574824987E-2</v>
      </c>
      <c r="AB177" s="23">
        <f>EXP(-LN(2)/2)*AB176+(1-EXP(-LN(2)/2))/(LN(2)/2)*V177*Y177*VLOOKUP('Données projet'!$B$9,Paramètres!$A$1:$I$89,3,0)*0.475*44/12</f>
        <v>3.2326850330624956E-21</v>
      </c>
      <c r="AC177" s="24">
        <f t="shared" si="163"/>
        <v>0.65783132852521087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1.5429577615577727E-13</v>
      </c>
      <c r="AK177" s="14">
        <f t="shared" si="164"/>
        <v>2.2038482767263348E-12</v>
      </c>
      <c r="AL177" s="22">
        <f t="shared" si="165"/>
        <v>4.107100892103012E-12</v>
      </c>
      <c r="AM177" s="62">
        <f t="shared" si="113"/>
        <v>293.33333333333741</v>
      </c>
      <c r="AN177" s="62">
        <f ca="1">AVERAGE(OFFSET($AM$3,0,0,'Données projet'!$E$10+1,1))-AVERAGE(OFFSET($H$3,0,0,'Données projet'!$E$10+1,1))</f>
        <v>221.11420634571317</v>
      </c>
      <c r="AO177" s="62">
        <f t="shared" si="144"/>
        <v>133.63266168802033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6.3550942286383367E-14</v>
      </c>
      <c r="BF177" s="14">
        <f t="shared" si="167"/>
        <v>1.0064464192543978E-12</v>
      </c>
      <c r="BG177" s="22">
        <f t="shared" si="168"/>
        <v>1.8635787380168604E-12</v>
      </c>
      <c r="BH177" s="62">
        <f t="shared" si="116"/>
        <v>293.33333333333519</v>
      </c>
      <c r="BI177" s="62">
        <f ca="1">AVERAGE(OFFSET($BH$3,0,0,'Données projet'!$E$11+1,1))-AVERAGE(OFFSET($H$3,0,0,'Données projet'!$E$11+1,1))</f>
        <v>277.5990520183687</v>
      </c>
      <c r="BJ177" s="62">
        <f t="shared" si="146"/>
        <v>338.50140415303872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0.29205985131424189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4.50374732576197E-21</v>
      </c>
      <c r="BS177" s="24">
        <f t="shared" si="169"/>
        <v>0.29205985131424189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-1.7053025658242404E-13</v>
      </c>
      <c r="O178" s="14">
        <f>N178*VLOOKUP('Données projet'!$B$9,Paramètres!$A$1:$I$89,3,0)*VLOOKUP('Données projet'!$B$9,Paramètres!$A$1:$I$89,5,0)</f>
        <v>-1.0197709343628959E-13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131.58904681787436</v>
      </c>
      <c r="T178" s="62">
        <f t="shared" si="142"/>
        <v>208.65872561216122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0.5844640314981947</v>
      </c>
      <c r="AA178" s="23">
        <f>EXP(-LN(2)/25)*AA177+(1-EXP(-LN(2)/25))/(LN(2)/25)*Calculateur!V178*Calculateur!X178*VLOOKUP('Données projet'!$B$9,Paramètres!$A$1:$I$89,3,0)*0.475*44/12</f>
        <v>5.9990512868457531E-2</v>
      </c>
      <c r="AB178" s="23">
        <f>EXP(-LN(2)/2)*AB177+(1-EXP(-LN(2)/2))/(LN(2)/2)*V178*Y178*VLOOKUP('Données projet'!$B$9,Paramètres!$A$1:$I$89,3,0)*0.475*44/12</f>
        <v>2.2858535083187492E-21</v>
      </c>
      <c r="AC178" s="24">
        <f t="shared" si="163"/>
        <v>0.64445454436665228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1.5429577615577727E-13</v>
      </c>
      <c r="AK178" s="14">
        <f t="shared" si="164"/>
        <v>2.2038482767263348E-12</v>
      </c>
      <c r="AL178" s="22">
        <f t="shared" si="165"/>
        <v>4.107100892103012E-12</v>
      </c>
      <c r="AM178" s="62">
        <f t="shared" si="113"/>
        <v>293.33333333333741</v>
      </c>
      <c r="AN178" s="62">
        <f ca="1">AVERAGE(OFFSET($AM$3,0,0,'Données projet'!$E$10+1,1))-AVERAGE(OFFSET($H$3,0,0,'Données projet'!$E$10+1,1))</f>
        <v>221.11420634571317</v>
      </c>
      <c r="AO178" s="62">
        <f t="shared" si="144"/>
        <v>133.63266168802033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6.3550942286383367E-14</v>
      </c>
      <c r="BF178" s="14">
        <f t="shared" si="167"/>
        <v>1.0064464192543978E-12</v>
      </c>
      <c r="BG178" s="22">
        <f t="shared" si="168"/>
        <v>1.8635787380168604E-12</v>
      </c>
      <c r="BH178" s="62">
        <f t="shared" si="116"/>
        <v>293.33333333333519</v>
      </c>
      <c r="BI178" s="62">
        <f ca="1">AVERAGE(OFFSET($BH$3,0,0,'Données projet'!$E$11+1,1))-AVERAGE(OFFSET($H$3,0,0,'Données projet'!$E$11+1,1))</f>
        <v>277.5990520183687</v>
      </c>
      <c r="BJ178" s="62">
        <f t="shared" si="146"/>
        <v>338.50140415303872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0.28633273576888918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3.1846302747970679E-21</v>
      </c>
      <c r="BS178" s="24">
        <f t="shared" si="169"/>
        <v>0.28633273576888918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-1.7053025658242404E-13</v>
      </c>
      <c r="O179" s="14">
        <f>N179*VLOOKUP('Données projet'!$B$9,Paramètres!$A$1:$I$89,3,0)*VLOOKUP('Données projet'!$B$9,Paramètres!$A$1:$I$89,5,0)</f>
        <v>-1.0197709343628959E-13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131.58904681787436</v>
      </c>
      <c r="T179" s="62">
        <f t="shared" si="142"/>
        <v>208.65872561216122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0.57300304832837412</v>
      </c>
      <c r="AA179" s="23">
        <f>EXP(-LN(2)/25)*AA178+(1-EXP(-LN(2)/25))/(LN(2)/25)*Calculateur!V179*Calculateur!X179*VLOOKUP('Données projet'!$B$9,Paramètres!$A$1:$I$89,3,0)*0.475*44/12</f>
        <v>5.8350069139305599E-2</v>
      </c>
      <c r="AB179" s="23">
        <f>EXP(-LN(2)/2)*AB178+(1-EXP(-LN(2)/2))/(LN(2)/2)*V179*Y179*VLOOKUP('Données projet'!$B$9,Paramètres!$A$1:$I$89,3,0)*0.475*44/12</f>
        <v>1.6163425165312478E-21</v>
      </c>
      <c r="AC179" s="24">
        <f t="shared" si="163"/>
        <v>0.63135311746767975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1.5429577615577727E-13</v>
      </c>
      <c r="AK179" s="14">
        <f t="shared" si="164"/>
        <v>2.2038482767263348E-12</v>
      </c>
      <c r="AL179" s="22">
        <f t="shared" si="165"/>
        <v>4.107100892103012E-12</v>
      </c>
      <c r="AM179" s="62">
        <f t="shared" si="113"/>
        <v>293.33333333333741</v>
      </c>
      <c r="AN179" s="62">
        <f ca="1">AVERAGE(OFFSET($AM$3,0,0,'Données projet'!$E$10+1,1))-AVERAGE(OFFSET($H$3,0,0,'Données projet'!$E$10+1,1))</f>
        <v>221.11420634571317</v>
      </c>
      <c r="AO179" s="62">
        <f t="shared" si="144"/>
        <v>133.63266168802033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6.3550942286383367E-14</v>
      </c>
      <c r="BF179" s="14">
        <f t="shared" si="167"/>
        <v>1.0064464192543978E-12</v>
      </c>
      <c r="BG179" s="22">
        <f t="shared" si="168"/>
        <v>1.8635787380168604E-12</v>
      </c>
      <c r="BH179" s="62">
        <f t="shared" si="116"/>
        <v>293.33333333333519</v>
      </c>
      <c r="BI179" s="62">
        <f ca="1">AVERAGE(OFFSET($BH$3,0,0,'Données projet'!$E$11+1,1))-AVERAGE(OFFSET($H$3,0,0,'Données projet'!$E$11+1,1))</f>
        <v>277.5990520183687</v>
      </c>
      <c r="BJ179" s="62">
        <f t="shared" si="146"/>
        <v>338.50140415303872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0.28071792546618524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2.251873662880985E-21</v>
      </c>
      <c r="BS179" s="24">
        <f t="shared" si="169"/>
        <v>0.28071792546618524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-1.7053025658242404E-13</v>
      </c>
      <c r="O180" s="14">
        <f>N180*VLOOKUP('Données projet'!$B$9,Paramètres!$A$1:$I$89,3,0)*VLOOKUP('Données projet'!$B$9,Paramètres!$A$1:$I$89,5,0)</f>
        <v>-1.0197709343628959E-13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131.58904681787436</v>
      </c>
      <c r="T180" s="62">
        <f t="shared" si="142"/>
        <v>208.65872561216122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0.56176680804800416</v>
      </c>
      <c r="AA180" s="23">
        <f>EXP(-LN(2)/25)*AA179+(1-EXP(-LN(2)/25))/(LN(2)/25)*Calculateur!V180*Calculateur!X180*VLOOKUP('Données projet'!$B$9,Paramètres!$A$1:$I$89,3,0)*0.475*44/12</f>
        <v>5.6754483430194513E-2</v>
      </c>
      <c r="AB180" s="23">
        <f>EXP(-LN(2)/2)*AB179+(1-EXP(-LN(2)/2))/(LN(2)/2)*V180*Y180*VLOOKUP('Données projet'!$B$9,Paramètres!$A$1:$I$89,3,0)*0.475*44/12</f>
        <v>1.1429267541593746E-21</v>
      </c>
      <c r="AC180" s="24">
        <f t="shared" si="163"/>
        <v>0.61852129147819868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1.5429577615577727E-13</v>
      </c>
      <c r="AK180" s="14">
        <f t="shared" si="164"/>
        <v>2.2038482767263348E-12</v>
      </c>
      <c r="AL180" s="22">
        <f t="shared" si="165"/>
        <v>4.107100892103012E-12</v>
      </c>
      <c r="AM180" s="62">
        <f t="shared" si="113"/>
        <v>293.33333333333741</v>
      </c>
      <c r="AN180" s="62">
        <f ca="1">AVERAGE(OFFSET($AM$3,0,0,'Données projet'!$E$10+1,1))-AVERAGE(OFFSET($H$3,0,0,'Données projet'!$E$10+1,1))</f>
        <v>221.11420634571317</v>
      </c>
      <c r="AO180" s="62">
        <f t="shared" si="144"/>
        <v>133.63266168802033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6.3550942286383367E-14</v>
      </c>
      <c r="BF180" s="14">
        <f t="shared" si="167"/>
        <v>1.0064464192543978E-12</v>
      </c>
      <c r="BG180" s="22">
        <f t="shared" si="168"/>
        <v>1.8635787380168604E-12</v>
      </c>
      <c r="BH180" s="62">
        <f t="shared" si="116"/>
        <v>293.33333333333519</v>
      </c>
      <c r="BI180" s="62">
        <f ca="1">AVERAGE(OFFSET($BH$3,0,0,'Données projet'!$E$11+1,1))-AVERAGE(OFFSET($H$3,0,0,'Données projet'!$E$11+1,1))</f>
        <v>277.5990520183687</v>
      </c>
      <c r="BJ180" s="62">
        <f t="shared" si="146"/>
        <v>338.50140415303872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0.27521321816882122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1.592315137398534E-21</v>
      </c>
      <c r="BS180" s="24">
        <f t="shared" si="169"/>
        <v>0.27521321816882122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-1.7053025658242404E-13</v>
      </c>
      <c r="O181" s="14">
        <f>N181*VLOOKUP('Données projet'!$B$9,Paramètres!$A$1:$I$89,3,0)*VLOOKUP('Données projet'!$B$9,Paramètres!$A$1:$I$89,5,0)</f>
        <v>-1.0197709343628959E-13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131.58904681787436</v>
      </c>
      <c r="T181" s="62">
        <f t="shared" si="142"/>
        <v>208.65872561216122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0.55075090358610246</v>
      </c>
      <c r="AA181" s="23">
        <f>EXP(-LN(2)/25)*AA180+(1-EXP(-LN(2)/25))/(LN(2)/25)*Calculateur!V181*Calculateur!X181*VLOOKUP('Données projet'!$B$9,Paramètres!$A$1:$I$89,3,0)*0.475*44/12</f>
        <v>5.5202529096207271E-2</v>
      </c>
      <c r="AB181" s="23">
        <f>EXP(-LN(2)/2)*AB180+(1-EXP(-LN(2)/2))/(LN(2)/2)*V181*Y181*VLOOKUP('Données projet'!$B$9,Paramètres!$A$1:$I$89,3,0)*0.475*44/12</f>
        <v>8.0817125826562389E-22</v>
      </c>
      <c r="AC181" s="24">
        <f t="shared" si="163"/>
        <v>0.60595343268230972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1.5429577615577727E-13</v>
      </c>
      <c r="AK181" s="14">
        <f t="shared" si="164"/>
        <v>2.2038482767263348E-12</v>
      </c>
      <c r="AL181" s="22">
        <f t="shared" si="165"/>
        <v>4.107100892103012E-12</v>
      </c>
      <c r="AM181" s="62">
        <f t="shared" si="113"/>
        <v>293.33333333333741</v>
      </c>
      <c r="AN181" s="62">
        <f ca="1">AVERAGE(OFFSET($AM$3,0,0,'Données projet'!$E$10+1,1))-AVERAGE(OFFSET($H$3,0,0,'Données projet'!$E$10+1,1))</f>
        <v>221.11420634571317</v>
      </c>
      <c r="AO181" s="62">
        <f t="shared" si="144"/>
        <v>133.63266168802033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6.3550942286383367E-14</v>
      </c>
      <c r="BF181" s="14">
        <f t="shared" si="167"/>
        <v>1.0064464192543978E-12</v>
      </c>
      <c r="BG181" s="22">
        <f t="shared" si="168"/>
        <v>1.8635787380168604E-12</v>
      </c>
      <c r="BH181" s="62">
        <f t="shared" si="116"/>
        <v>293.33333333333519</v>
      </c>
      <c r="BI181" s="62">
        <f ca="1">AVERAGE(OFFSET($BH$3,0,0,'Données projet'!$E$11+1,1))-AVERAGE(OFFSET($H$3,0,0,'Données projet'!$E$11+1,1))</f>
        <v>277.5990520183687</v>
      </c>
      <c r="BJ181" s="62">
        <f t="shared" si="146"/>
        <v>338.50140415303872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0.26981645482401856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1.1259368314404925E-21</v>
      </c>
      <c r="BS181" s="24">
        <f t="shared" si="169"/>
        <v>0.26981645482401856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-1.7053025658242404E-13</v>
      </c>
      <c r="O182" s="14">
        <f>N182*VLOOKUP('Données projet'!$B$9,Paramètres!$A$1:$I$89,3,0)*VLOOKUP('Données projet'!$B$9,Paramètres!$A$1:$I$89,5,0)</f>
        <v>-1.0197709343628959E-13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131.58904681787436</v>
      </c>
      <c r="T182" s="62">
        <f t="shared" si="142"/>
        <v>208.65872561216122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0.53995101429166037</v>
      </c>
      <c r="AA182" s="23">
        <f>EXP(-LN(2)/25)*AA181+(1-EXP(-LN(2)/25))/(LN(2)/25)*Calculateur!V182*Calculateur!X182*VLOOKUP('Données projet'!$B$9,Paramètres!$A$1:$I$89,3,0)*0.475*44/12</f>
        <v>5.3693013035096646E-2</v>
      </c>
      <c r="AB182" s="23">
        <f>EXP(-LN(2)/2)*AB181+(1-EXP(-LN(2)/2))/(LN(2)/2)*V182*Y182*VLOOKUP('Données projet'!$B$9,Paramètres!$A$1:$I$89,3,0)*0.475*44/12</f>
        <v>5.714633770796873E-22</v>
      </c>
      <c r="AC182" s="24">
        <f t="shared" si="163"/>
        <v>0.59364402732675703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1.5429577615577727E-13</v>
      </c>
      <c r="AK182" s="14">
        <f t="shared" si="164"/>
        <v>2.2038482767263348E-12</v>
      </c>
      <c r="AL182" s="22">
        <f t="shared" si="165"/>
        <v>4.107100892103012E-12</v>
      </c>
      <c r="AM182" s="62">
        <f t="shared" si="113"/>
        <v>293.33333333333741</v>
      </c>
      <c r="AN182" s="62">
        <f ca="1">AVERAGE(OFFSET($AM$3,0,0,'Données projet'!$E$10+1,1))-AVERAGE(OFFSET($H$3,0,0,'Données projet'!$E$10+1,1))</f>
        <v>221.11420634571317</v>
      </c>
      <c r="AO182" s="62">
        <f t="shared" si="144"/>
        <v>133.63266168802033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6.3550942286383367E-14</v>
      </c>
      <c r="BF182" s="14">
        <f t="shared" si="167"/>
        <v>1.0064464192543978E-12</v>
      </c>
      <c r="BG182" s="22">
        <f t="shared" si="168"/>
        <v>1.8635787380168604E-12</v>
      </c>
      <c r="BH182" s="62">
        <f t="shared" si="116"/>
        <v>293.33333333333519</v>
      </c>
      <c r="BI182" s="62">
        <f ca="1">AVERAGE(OFFSET($BH$3,0,0,'Données projet'!$E$11+1,1))-AVERAGE(OFFSET($H$3,0,0,'Données projet'!$E$11+1,1))</f>
        <v>277.5990520183687</v>
      </c>
      <c r="BJ182" s="62">
        <f t="shared" si="146"/>
        <v>338.50140415303872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0.26452551871670688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7.9615756869926698E-22</v>
      </c>
      <c r="BS182" s="24">
        <f t="shared" si="169"/>
        <v>0.26452551871670688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-1.7053025658242404E-13</v>
      </c>
      <c r="O183" s="14">
        <f>N183*VLOOKUP('Données projet'!$B$9,Paramètres!$A$1:$I$89,3,0)*VLOOKUP('Données projet'!$B$9,Paramètres!$A$1:$I$89,5,0)</f>
        <v>-1.0197709343628959E-13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131.58904681787436</v>
      </c>
      <c r="T183" s="62">
        <f t="shared" si="142"/>
        <v>208.65872561216122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0.52936290423900023</v>
      </c>
      <c r="AA183" s="23">
        <f>EXP(-LN(2)/25)*AA182+(1-EXP(-LN(2)/25))/(LN(2)/25)*Calculateur!V183*Calculateur!X183*VLOOKUP('Données projet'!$B$9,Paramètres!$A$1:$I$89,3,0)*0.475*44/12</f>
        <v>5.2224774770059088E-2</v>
      </c>
      <c r="AB183" s="23">
        <f>EXP(-LN(2)/2)*AB182+(1-EXP(-LN(2)/2))/(LN(2)/2)*V183*Y183*VLOOKUP('Données projet'!$B$9,Paramètres!$A$1:$I$89,3,0)*0.475*44/12</f>
        <v>4.0408562913281195E-22</v>
      </c>
      <c r="AC183" s="24">
        <f t="shared" si="163"/>
        <v>0.58158767900905928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1.5429577615577727E-13</v>
      </c>
      <c r="AK183" s="14">
        <f t="shared" si="164"/>
        <v>2.2038482767263348E-12</v>
      </c>
      <c r="AL183" s="22">
        <f t="shared" si="165"/>
        <v>4.107100892103012E-12</v>
      </c>
      <c r="AM183" s="62">
        <f t="shared" si="113"/>
        <v>293.33333333333741</v>
      </c>
      <c r="AN183" s="62">
        <f ca="1">AVERAGE(OFFSET($AM$3,0,0,'Données projet'!$E$10+1,1))-AVERAGE(OFFSET($H$3,0,0,'Données projet'!$E$10+1,1))</f>
        <v>221.11420634571317</v>
      </c>
      <c r="AO183" s="62">
        <f t="shared" si="144"/>
        <v>133.63266168802033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6.3550942286383367E-14</v>
      </c>
      <c r="BF183" s="14">
        <f t="shared" si="167"/>
        <v>1.0064464192543978E-12</v>
      </c>
      <c r="BG183" s="22">
        <f t="shared" si="168"/>
        <v>1.8635787380168604E-12</v>
      </c>
      <c r="BH183" s="62">
        <f t="shared" si="116"/>
        <v>293.33333333333519</v>
      </c>
      <c r="BI183" s="62">
        <f ca="1">AVERAGE(OFFSET($BH$3,0,0,'Données projet'!$E$11+1,1))-AVERAGE(OFFSET($H$3,0,0,'Données projet'!$E$11+1,1))</f>
        <v>277.5990520183687</v>
      </c>
      <c r="BJ183" s="62">
        <f t="shared" si="146"/>
        <v>338.50140415303872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0.25933833463930722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5.6296841572024625E-22</v>
      </c>
      <c r="BS183" s="24">
        <f t="shared" si="169"/>
        <v>0.25933833463930722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-1.7053025658242404E-13</v>
      </c>
      <c r="O184" s="14">
        <f>N184*VLOOKUP('Données projet'!$B$9,Paramètres!$A$1:$I$89,3,0)*VLOOKUP('Données projet'!$B$9,Paramètres!$A$1:$I$89,5,0)</f>
        <v>-1.0197709343628959E-13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131.58904681787436</v>
      </c>
      <c r="T184" s="62">
        <f t="shared" si="142"/>
        <v>208.65872561216122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0.51898242056636334</v>
      </c>
      <c r="AA184" s="23">
        <f>EXP(-LN(2)/25)*AA183+(1-EXP(-LN(2)/25))/(LN(2)/25)*Calculateur!V184*Calculateur!X184*VLOOKUP('Données projet'!$B$9,Paramètres!$A$1:$I$89,3,0)*0.475*44/12</f>
        <v>5.0796685557590281E-2</v>
      </c>
      <c r="AB184" s="23">
        <f>EXP(-LN(2)/2)*AB183+(1-EXP(-LN(2)/2))/(LN(2)/2)*V184*Y184*VLOOKUP('Données projet'!$B$9,Paramètres!$A$1:$I$89,3,0)*0.475*44/12</f>
        <v>2.8573168853984365E-22</v>
      </c>
      <c r="AC184" s="24">
        <f t="shared" si="163"/>
        <v>0.56977910612395366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1.5429577615577727E-13</v>
      </c>
      <c r="AK184" s="14">
        <f t="shared" si="164"/>
        <v>2.2038482767263348E-12</v>
      </c>
      <c r="AL184" s="22">
        <f t="shared" si="165"/>
        <v>4.107100892103012E-12</v>
      </c>
      <c r="AM184" s="62">
        <f t="shared" si="113"/>
        <v>293.33333333333741</v>
      </c>
      <c r="AN184" s="62">
        <f ca="1">AVERAGE(OFFSET($AM$3,0,0,'Données projet'!$E$10+1,1))-AVERAGE(OFFSET($H$3,0,0,'Données projet'!$E$10+1,1))</f>
        <v>221.11420634571317</v>
      </c>
      <c r="AO184" s="62">
        <f t="shared" si="144"/>
        <v>133.63266168802033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6.3550942286383367E-14</v>
      </c>
      <c r="BF184" s="14">
        <f t="shared" si="167"/>
        <v>1.0064464192543978E-12</v>
      </c>
      <c r="BG184" s="22">
        <f t="shared" si="168"/>
        <v>1.8635787380168604E-12</v>
      </c>
      <c r="BH184" s="62">
        <f t="shared" si="116"/>
        <v>293.33333333333519</v>
      </c>
      <c r="BI184" s="62">
        <f ca="1">AVERAGE(OFFSET($BH$3,0,0,'Données projet'!$E$11+1,1))-AVERAGE(OFFSET($H$3,0,0,'Données projet'!$E$11+1,1))</f>
        <v>277.5990520183687</v>
      </c>
      <c r="BJ184" s="62">
        <f t="shared" si="146"/>
        <v>338.50140415303872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0.25425286807779546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3.9807878434963349E-22</v>
      </c>
      <c r="BS184" s="24">
        <f t="shared" si="169"/>
        <v>0.25425286807779546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-1.7053025658242404E-13</v>
      </c>
      <c r="O185" s="14">
        <f>N185*VLOOKUP('Données projet'!$B$9,Paramètres!$A$1:$I$89,3,0)*VLOOKUP('Données projet'!$B$9,Paramètres!$A$1:$I$89,5,0)</f>
        <v>-1.0197709343628959E-13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131.58904681787436</v>
      </c>
      <c r="T185" s="62">
        <f t="shared" si="142"/>
        <v>208.65872561216122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0.50880549184707702</v>
      </c>
      <c r="AA185" s="23">
        <f>EXP(-LN(2)/25)*AA184+(1-EXP(-LN(2)/25))/(LN(2)/25)*Calculateur!V185*Calculateur!X185*VLOOKUP('Données projet'!$B$9,Paramètres!$A$1:$I$89,3,0)*0.475*44/12</f>
        <v>4.9407647519736378E-2</v>
      </c>
      <c r="AB185" s="23">
        <f>EXP(-LN(2)/2)*AB184+(1-EXP(-LN(2)/2))/(LN(2)/2)*V185*Y185*VLOOKUP('Données projet'!$B$9,Paramètres!$A$1:$I$89,3,0)*0.475*44/12</f>
        <v>2.0204281456640597E-22</v>
      </c>
      <c r="AC185" s="24">
        <f t="shared" si="163"/>
        <v>0.55821313936681338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1.5429577615577727E-13</v>
      </c>
      <c r="AK185" s="14">
        <f t="shared" si="164"/>
        <v>2.2038482767263348E-12</v>
      </c>
      <c r="AL185" s="22">
        <f t="shared" si="165"/>
        <v>4.107100892103012E-12</v>
      </c>
      <c r="AM185" s="62">
        <f t="shared" si="113"/>
        <v>293.33333333333741</v>
      </c>
      <c r="AN185" s="62">
        <f ca="1">AVERAGE(OFFSET($AM$3,0,0,'Données projet'!$E$10+1,1))-AVERAGE(OFFSET($H$3,0,0,'Données projet'!$E$10+1,1))</f>
        <v>221.11420634571317</v>
      </c>
      <c r="AO185" s="62">
        <f t="shared" si="144"/>
        <v>133.63266168802033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6.3550942286383367E-14</v>
      </c>
      <c r="BF185" s="14">
        <f t="shared" si="167"/>
        <v>1.0064464192543978E-12</v>
      </c>
      <c r="BG185" s="22">
        <f t="shared" si="168"/>
        <v>1.8635787380168604E-12</v>
      </c>
      <c r="BH185" s="62">
        <f t="shared" si="116"/>
        <v>293.33333333333519</v>
      </c>
      <c r="BI185" s="62">
        <f ca="1">AVERAGE(OFFSET($BH$3,0,0,'Données projet'!$E$11+1,1))-AVERAGE(OFFSET($H$3,0,0,'Données projet'!$E$11+1,1))</f>
        <v>277.5990520183687</v>
      </c>
      <c r="BJ185" s="62">
        <f t="shared" si="146"/>
        <v>338.50140415303872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0.24926712441372664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2.8148420786012313E-22</v>
      </c>
      <c r="BS185" s="24">
        <f t="shared" si="169"/>
        <v>0.24926712441372664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-1.7053025658242404E-13</v>
      </c>
      <c r="O186" s="14">
        <f>N186*VLOOKUP('Données projet'!$B$9,Paramètres!$A$1:$I$89,3,0)*VLOOKUP('Données projet'!$B$9,Paramètres!$A$1:$I$89,5,0)</f>
        <v>-1.0197709343628959E-13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131.58904681787436</v>
      </c>
      <c r="T186" s="62">
        <f t="shared" si="142"/>
        <v>208.65872561216122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0.49882812649266228</v>
      </c>
      <c r="AA186" s="23">
        <f>EXP(-LN(2)/25)*AA185+(1-EXP(-LN(2)/25))/(LN(2)/25)*Calculateur!V186*Calculateur!X186*VLOOKUP('Données projet'!$B$9,Paramètres!$A$1:$I$89,3,0)*0.475*44/12</f>
        <v>4.8056592800073926E-2</v>
      </c>
      <c r="AB186" s="23">
        <f>EXP(-LN(2)/2)*AB185+(1-EXP(-LN(2)/2))/(LN(2)/2)*V186*Y186*VLOOKUP('Données projet'!$B$9,Paramètres!$A$1:$I$89,3,0)*0.475*44/12</f>
        <v>1.4286584426992182E-22</v>
      </c>
      <c r="AC186" s="24">
        <f t="shared" si="163"/>
        <v>0.54688471929273619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1.5429577615577727E-13</v>
      </c>
      <c r="AK186" s="14">
        <f t="shared" si="164"/>
        <v>2.2038482767263348E-12</v>
      </c>
      <c r="AL186" s="22">
        <f t="shared" si="165"/>
        <v>4.107100892103012E-12</v>
      </c>
      <c r="AM186" s="62">
        <f t="shared" si="113"/>
        <v>293.33333333333741</v>
      </c>
      <c r="AN186" s="62">
        <f ca="1">AVERAGE(OFFSET($AM$3,0,0,'Données projet'!$E$10+1,1))-AVERAGE(OFFSET($H$3,0,0,'Données projet'!$E$10+1,1))</f>
        <v>221.11420634571317</v>
      </c>
      <c r="AO186" s="62">
        <f t="shared" si="144"/>
        <v>133.63266168802033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6.3550942286383367E-14</v>
      </c>
      <c r="BF186" s="14">
        <f t="shared" si="167"/>
        <v>1.0064464192543978E-12</v>
      </c>
      <c r="BG186" s="22">
        <f t="shared" si="168"/>
        <v>1.8635787380168604E-12</v>
      </c>
      <c r="BH186" s="62">
        <f t="shared" si="116"/>
        <v>293.33333333333519</v>
      </c>
      <c r="BI186" s="62">
        <f ca="1">AVERAGE(OFFSET($BH$3,0,0,'Données projet'!$E$11+1,1))-AVERAGE(OFFSET($H$3,0,0,'Données projet'!$E$11+1,1))</f>
        <v>277.5990520183687</v>
      </c>
      <c r="BJ186" s="62">
        <f t="shared" si="146"/>
        <v>338.50140415303872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0.24437914814190687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1.9903939217481675E-22</v>
      </c>
      <c r="BS186" s="24">
        <f t="shared" si="169"/>
        <v>0.24437914814190687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-1.7053025658242404E-13</v>
      </c>
      <c r="O187" s="14">
        <f>N187*VLOOKUP('Données projet'!$B$9,Paramètres!$A$1:$I$89,3,0)*VLOOKUP('Données projet'!$B$9,Paramètres!$A$1:$I$89,5,0)</f>
        <v>-1.0197709343628959E-13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131.58904681787436</v>
      </c>
      <c r="T187" s="62">
        <f t="shared" si="142"/>
        <v>208.65872561216122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0.48904641118725561</v>
      </c>
      <c r="AA187" s="23">
        <f>EXP(-LN(2)/25)*AA186+(1-EXP(-LN(2)/25))/(LN(2)/25)*Calculateur!V187*Calculateur!X187*VLOOKUP('Données projet'!$B$9,Paramètres!$A$1:$I$89,3,0)*0.475*44/12</f>
        <v>4.6742482742769521E-2</v>
      </c>
      <c r="AB187" s="23">
        <f>EXP(-LN(2)/2)*AB186+(1-EXP(-LN(2)/2))/(LN(2)/2)*V187*Y187*VLOOKUP('Données projet'!$B$9,Paramètres!$A$1:$I$89,3,0)*0.475*44/12</f>
        <v>1.0102140728320299E-22</v>
      </c>
      <c r="AC187" s="24">
        <f t="shared" si="163"/>
        <v>0.53578889393002516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1.5429577615577727E-13</v>
      </c>
      <c r="AK187" s="14">
        <f t="shared" si="164"/>
        <v>2.2038482767263348E-12</v>
      </c>
      <c r="AL187" s="22">
        <f t="shared" si="165"/>
        <v>4.107100892103012E-12</v>
      </c>
      <c r="AM187" s="62">
        <f t="shared" si="113"/>
        <v>293.33333333333741</v>
      </c>
      <c r="AN187" s="62">
        <f ca="1">AVERAGE(OFFSET($AM$3,0,0,'Données projet'!$E$10+1,1))-AVERAGE(OFFSET($H$3,0,0,'Données projet'!$E$10+1,1))</f>
        <v>221.11420634571317</v>
      </c>
      <c r="AO187" s="62">
        <f t="shared" si="144"/>
        <v>133.63266168802033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6.3550942286383367E-14</v>
      </c>
      <c r="BF187" s="14">
        <f t="shared" si="167"/>
        <v>1.0064464192543978E-12</v>
      </c>
      <c r="BG187" s="22">
        <f t="shared" si="168"/>
        <v>1.8635787380168604E-12</v>
      </c>
      <c r="BH187" s="62">
        <f t="shared" si="116"/>
        <v>293.33333333333519</v>
      </c>
      <c r="BI187" s="62">
        <f ca="1">AVERAGE(OFFSET($BH$3,0,0,'Données projet'!$E$11+1,1))-AVERAGE(OFFSET($H$3,0,0,'Données projet'!$E$11+1,1))</f>
        <v>277.5990520183687</v>
      </c>
      <c r="BJ187" s="62">
        <f t="shared" si="146"/>
        <v>338.50140415303872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0.23958702210340632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1.4074210393006156E-22</v>
      </c>
      <c r="BS187" s="24">
        <f t="shared" si="169"/>
        <v>0.23958702210340632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-1.7053025658242404E-13</v>
      </c>
      <c r="O188" s="14">
        <f>N188*VLOOKUP('Données projet'!$B$9,Paramètres!$A$1:$I$89,3,0)*VLOOKUP('Données projet'!$B$9,Paramètres!$A$1:$I$89,5,0)</f>
        <v>-1.0197709343628959E-13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131.58904681787436</v>
      </c>
      <c r="T188" s="62">
        <f t="shared" si="142"/>
        <v>208.65872561216122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0.47945650935273076</v>
      </c>
      <c r="AA188" s="23">
        <f>EXP(-LN(2)/25)*AA187+(1-EXP(-LN(2)/25))/(LN(2)/25)*Calculateur!V188*Calculateur!X188*VLOOKUP('Données projet'!$B$9,Paramètres!$A$1:$I$89,3,0)*0.475*44/12</f>
        <v>4.5464307094088149E-2</v>
      </c>
      <c r="AB188" s="23">
        <f>EXP(-LN(2)/2)*AB187+(1-EXP(-LN(2)/2))/(LN(2)/2)*V188*Y188*VLOOKUP('Données projet'!$B$9,Paramètres!$A$1:$I$89,3,0)*0.475*44/12</f>
        <v>7.1432922134960912E-23</v>
      </c>
      <c r="AC188" s="24">
        <f t="shared" si="163"/>
        <v>0.52492081644681887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1.5429577615577727E-13</v>
      </c>
      <c r="AK188" s="14">
        <f t="shared" si="164"/>
        <v>2.2038482767263348E-12</v>
      </c>
      <c r="AL188" s="22">
        <f t="shared" si="165"/>
        <v>4.107100892103012E-12</v>
      </c>
      <c r="AM188" s="62">
        <f t="shared" si="113"/>
        <v>293.33333333333741</v>
      </c>
      <c r="AN188" s="62">
        <f ca="1">AVERAGE(OFFSET($AM$3,0,0,'Données projet'!$E$10+1,1))-AVERAGE(OFFSET($H$3,0,0,'Données projet'!$E$10+1,1))</f>
        <v>221.11420634571317</v>
      </c>
      <c r="AO188" s="62">
        <f t="shared" si="144"/>
        <v>133.63266168802033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6.3550942286383367E-14</v>
      </c>
      <c r="BF188" s="14">
        <f t="shared" si="167"/>
        <v>1.0064464192543978E-12</v>
      </c>
      <c r="BG188" s="22">
        <f t="shared" si="168"/>
        <v>1.8635787380168604E-12</v>
      </c>
      <c r="BH188" s="62">
        <f t="shared" si="116"/>
        <v>293.33333333333519</v>
      </c>
      <c r="BI188" s="62">
        <f ca="1">AVERAGE(OFFSET($BH$3,0,0,'Données projet'!$E$11+1,1))-AVERAGE(OFFSET($H$3,0,0,'Données projet'!$E$11+1,1))</f>
        <v>277.5990520183687</v>
      </c>
      <c r="BJ188" s="62">
        <f t="shared" si="146"/>
        <v>338.50140415303872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0.23488886673361251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9.9519696087408373E-23</v>
      </c>
      <c r="BS188" s="24">
        <f t="shared" si="169"/>
        <v>0.23488886673361251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-1.7053025658242404E-13</v>
      </c>
      <c r="O189" s="14">
        <f>N189*VLOOKUP('Données projet'!$B$9,Paramètres!$A$1:$I$89,3,0)*VLOOKUP('Données projet'!$B$9,Paramètres!$A$1:$I$89,5,0)</f>
        <v>-1.0197709343628959E-13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131.58904681787436</v>
      </c>
      <c r="T189" s="62">
        <f t="shared" si="142"/>
        <v>208.65872561216122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0.4700546596439184</v>
      </c>
      <c r="AA189" s="23">
        <f>EXP(-LN(2)/25)*AA188+(1-EXP(-LN(2)/25))/(LN(2)/25)*Calculateur!V189*Calculateur!X189*VLOOKUP('Données projet'!$B$9,Paramètres!$A$1:$I$89,3,0)*0.475*44/12</f>
        <v>4.4221083225736306E-2</v>
      </c>
      <c r="AB189" s="23">
        <f>EXP(-LN(2)/2)*AB188+(1-EXP(-LN(2)/2))/(LN(2)/2)*V189*Y189*VLOOKUP('Données projet'!$B$9,Paramètres!$A$1:$I$89,3,0)*0.475*44/12</f>
        <v>5.0510703641601493E-23</v>
      </c>
      <c r="AC189" s="24">
        <f t="shared" si="163"/>
        <v>0.51427574286965472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1.5429577615577727E-13</v>
      </c>
      <c r="AK189" s="14">
        <f t="shared" si="164"/>
        <v>2.2038482767263348E-12</v>
      </c>
      <c r="AL189" s="22">
        <f t="shared" si="165"/>
        <v>4.107100892103012E-12</v>
      </c>
      <c r="AM189" s="62">
        <f t="shared" si="113"/>
        <v>293.33333333333741</v>
      </c>
      <c r="AN189" s="62">
        <f ca="1">AVERAGE(OFFSET($AM$3,0,0,'Données projet'!$E$10+1,1))-AVERAGE(OFFSET($H$3,0,0,'Données projet'!$E$10+1,1))</f>
        <v>221.11420634571317</v>
      </c>
      <c r="AO189" s="62">
        <f t="shared" si="144"/>
        <v>133.63266168802033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6.3550942286383367E-14</v>
      </c>
      <c r="BF189" s="14">
        <f t="shared" si="167"/>
        <v>1.0064464192543978E-12</v>
      </c>
      <c r="BG189" s="22">
        <f t="shared" si="168"/>
        <v>1.8635787380168604E-12</v>
      </c>
      <c r="BH189" s="62">
        <f t="shared" si="116"/>
        <v>293.33333333333519</v>
      </c>
      <c r="BI189" s="62">
        <f ca="1">AVERAGE(OFFSET($BH$3,0,0,'Données projet'!$E$11+1,1))-AVERAGE(OFFSET($H$3,0,0,'Données projet'!$E$11+1,1))</f>
        <v>277.5990520183687</v>
      </c>
      <c r="BJ189" s="62">
        <f t="shared" si="146"/>
        <v>338.50140415303872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0.23028283932502852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7.0371051965030781E-23</v>
      </c>
      <c r="BS189" s="24">
        <f t="shared" si="169"/>
        <v>0.23028283932502852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-1.7053025658242404E-13</v>
      </c>
      <c r="O190" s="14">
        <f>N190*VLOOKUP('Données projet'!$B$9,Paramètres!$A$1:$I$89,3,0)*VLOOKUP('Données projet'!$B$9,Paramètres!$A$1:$I$89,5,0)</f>
        <v>-1.0197709343628959E-13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131.58904681787436</v>
      </c>
      <c r="T190" s="62">
        <f t="shared" si="142"/>
        <v>208.65872561216122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0.46083717447333378</v>
      </c>
      <c r="AA190" s="23">
        <f>EXP(-LN(2)/25)*AA189+(1-EXP(-LN(2)/25))/(LN(2)/25)*Calculateur!V190*Calculateur!X190*VLOOKUP('Données projet'!$B$9,Paramètres!$A$1:$I$89,3,0)*0.475*44/12</f>
        <v>4.3011855379442847E-2</v>
      </c>
      <c r="AB190" s="23">
        <f>EXP(-LN(2)/2)*AB189+(1-EXP(-LN(2)/2))/(LN(2)/2)*V190*Y190*VLOOKUP('Données projet'!$B$9,Paramètres!$A$1:$I$89,3,0)*0.475*44/12</f>
        <v>3.5716461067480456E-23</v>
      </c>
      <c r="AC190" s="24">
        <f t="shared" si="163"/>
        <v>0.50384902985277658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1.5429577615577727E-13</v>
      </c>
      <c r="AK190" s="14">
        <f t="shared" si="164"/>
        <v>2.2038482767263348E-12</v>
      </c>
      <c r="AL190" s="22">
        <f t="shared" si="165"/>
        <v>4.107100892103012E-12</v>
      </c>
      <c r="AM190" s="62">
        <f t="shared" si="113"/>
        <v>293.33333333333741</v>
      </c>
      <c r="AN190" s="62">
        <f ca="1">AVERAGE(OFFSET($AM$3,0,0,'Données projet'!$E$10+1,1))-AVERAGE(OFFSET($H$3,0,0,'Données projet'!$E$10+1,1))</f>
        <v>221.11420634571317</v>
      </c>
      <c r="AO190" s="62">
        <f t="shared" si="144"/>
        <v>133.63266168802033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6.3550942286383367E-14</v>
      </c>
      <c r="BF190" s="14">
        <f t="shared" si="167"/>
        <v>1.0064464192543978E-12</v>
      </c>
      <c r="BG190" s="22">
        <f t="shared" si="168"/>
        <v>1.8635787380168604E-12</v>
      </c>
      <c r="BH190" s="62">
        <f t="shared" si="116"/>
        <v>293.33333333333519</v>
      </c>
      <c r="BI190" s="62">
        <f ca="1">AVERAGE(OFFSET($BH$3,0,0,'Données projet'!$E$11+1,1))-AVERAGE(OFFSET($H$3,0,0,'Données projet'!$E$11+1,1))</f>
        <v>277.5990520183687</v>
      </c>
      <c r="BJ190" s="62">
        <f t="shared" si="146"/>
        <v>338.50140415303872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0.22576713330452755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4.9759848043704187E-23</v>
      </c>
      <c r="BS190" s="24">
        <f t="shared" si="169"/>
        <v>0.22576713330452755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-1.7053025658242404E-13</v>
      </c>
      <c r="O191" s="14">
        <f>N191*VLOOKUP('Données projet'!$B$9,Paramètres!$A$1:$I$89,3,0)*VLOOKUP('Données projet'!$B$9,Paramètres!$A$1:$I$89,5,0)</f>
        <v>-1.0197709343628959E-13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131.58904681787436</v>
      </c>
      <c r="T191" s="62">
        <f t="shared" si="142"/>
        <v>208.65872561216122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0.45180043856483348</v>
      </c>
      <c r="AA191" s="23">
        <f>EXP(-LN(2)/25)*AA190+(1-EXP(-LN(2)/25))/(LN(2)/25)*Calculateur!V191*Calculateur!X191*VLOOKUP('Données projet'!$B$9,Paramètres!$A$1:$I$89,3,0)*0.475*44/12</f>
        <v>4.1835693932196813E-2</v>
      </c>
      <c r="AB191" s="23">
        <f>EXP(-LN(2)/2)*AB190+(1-EXP(-LN(2)/2))/(LN(2)/2)*V191*Y191*VLOOKUP('Données projet'!$B$9,Paramètres!$A$1:$I$89,3,0)*0.475*44/12</f>
        <v>2.5255351820800747E-23</v>
      </c>
      <c r="AC191" s="24">
        <f t="shared" si="163"/>
        <v>0.49363613249703031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1.5429577615577727E-13</v>
      </c>
      <c r="AK191" s="14">
        <f t="shared" si="164"/>
        <v>2.2038482767263348E-12</v>
      </c>
      <c r="AL191" s="22">
        <f t="shared" si="165"/>
        <v>4.107100892103012E-12</v>
      </c>
      <c r="AM191" s="62">
        <f t="shared" si="113"/>
        <v>293.33333333333741</v>
      </c>
      <c r="AN191" s="62">
        <f ca="1">AVERAGE(OFFSET($AM$3,0,0,'Données projet'!$E$10+1,1))-AVERAGE(OFFSET($H$3,0,0,'Données projet'!$E$10+1,1))</f>
        <v>221.11420634571317</v>
      </c>
      <c r="AO191" s="62">
        <f t="shared" si="144"/>
        <v>133.63266168802033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6.3550942286383367E-14</v>
      </c>
      <c r="BF191" s="14">
        <f t="shared" si="167"/>
        <v>1.0064464192543978E-12</v>
      </c>
      <c r="BG191" s="22">
        <f t="shared" si="168"/>
        <v>1.8635787380168604E-12</v>
      </c>
      <c r="BH191" s="62">
        <f t="shared" si="116"/>
        <v>293.33333333333519</v>
      </c>
      <c r="BI191" s="62">
        <f ca="1">AVERAGE(OFFSET($BH$3,0,0,'Données projet'!$E$11+1,1))-AVERAGE(OFFSET($H$3,0,0,'Données projet'!$E$11+1,1))</f>
        <v>277.5990520183687</v>
      </c>
      <c r="BJ191" s="62">
        <f t="shared" si="146"/>
        <v>338.50140415303872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0.22133997752477991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3.5185525982515391E-23</v>
      </c>
      <c r="BS191" s="24">
        <f t="shared" si="169"/>
        <v>0.22133997752477991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-1.7053025658242404E-13</v>
      </c>
      <c r="O192" s="14">
        <f>N192*VLOOKUP('Données projet'!$B$9,Paramètres!$A$1:$I$89,3,0)*VLOOKUP('Données projet'!$B$9,Paramètres!$A$1:$I$89,5,0)</f>
        <v>-1.0197709343628959E-13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131.58904681787436</v>
      </c>
      <c r="T192" s="62">
        <f t="shared" si="142"/>
        <v>208.65872561216122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0.44294090753563425</v>
      </c>
      <c r="AA192" s="23">
        <f>EXP(-LN(2)/25)*AA191+(1-EXP(-LN(2)/25))/(LN(2)/25)*Calculateur!V192*Calculateur!X192*VLOOKUP('Données projet'!$B$9,Paramètres!$A$1:$I$89,3,0)*0.475*44/12</f>
        <v>4.0691694681577364E-2</v>
      </c>
      <c r="AB192" s="23">
        <f>EXP(-LN(2)/2)*AB191+(1-EXP(-LN(2)/2))/(LN(2)/2)*V192*Y192*VLOOKUP('Données projet'!$B$9,Paramètres!$A$1:$I$89,3,0)*0.475*44/12</f>
        <v>1.7858230533740228E-23</v>
      </c>
      <c r="AC192" s="24">
        <f t="shared" si="163"/>
        <v>0.4836326022172116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1.5429577615577727E-13</v>
      </c>
      <c r="AK192" s="14">
        <f t="shared" si="164"/>
        <v>2.2038482767263348E-12</v>
      </c>
      <c r="AL192" s="22">
        <f t="shared" si="165"/>
        <v>4.107100892103012E-12</v>
      </c>
      <c r="AM192" s="62">
        <f t="shared" si="113"/>
        <v>293.33333333333741</v>
      </c>
      <c r="AN192" s="62">
        <f ca="1">AVERAGE(OFFSET($AM$3,0,0,'Données projet'!$E$10+1,1))-AVERAGE(OFFSET($H$3,0,0,'Données projet'!$E$10+1,1))</f>
        <v>221.11420634571317</v>
      </c>
      <c r="AO192" s="62">
        <f t="shared" si="144"/>
        <v>133.63266168802033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6.3550942286383367E-14</v>
      </c>
      <c r="BF192" s="14">
        <f t="shared" si="167"/>
        <v>1.0064464192543978E-12</v>
      </c>
      <c r="BG192" s="22">
        <f t="shared" si="168"/>
        <v>1.8635787380168604E-12</v>
      </c>
      <c r="BH192" s="62">
        <f t="shared" si="116"/>
        <v>293.33333333333519</v>
      </c>
      <c r="BI192" s="62">
        <f ca="1">AVERAGE(OFFSET($BH$3,0,0,'Données projet'!$E$11+1,1))-AVERAGE(OFFSET($H$3,0,0,'Données projet'!$E$11+1,1))</f>
        <v>277.5990520183687</v>
      </c>
      <c r="BJ192" s="62">
        <f t="shared" si="146"/>
        <v>338.50140415303872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0.21699963556957472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2.4879924021852093E-23</v>
      </c>
      <c r="BS192" s="24">
        <f t="shared" si="169"/>
        <v>0.21699963556957472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-1.7053025658242404E-13</v>
      </c>
      <c r="O193" s="14">
        <f>N193*VLOOKUP('Données projet'!$B$9,Paramètres!$A$1:$I$89,3,0)*VLOOKUP('Données projet'!$B$9,Paramètres!$A$1:$I$89,5,0)</f>
        <v>-1.0197709343628959E-13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131.58904681787436</v>
      </c>
      <c r="T193" s="62">
        <f t="shared" si="142"/>
        <v>208.65872561216122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0.43425510650613725</v>
      </c>
      <c r="AA193" s="23">
        <f>EXP(-LN(2)/25)*AA192+(1-EXP(-LN(2)/25))/(LN(2)/25)*Calculateur!V193*Calculateur!X193*VLOOKUP('Données projet'!$B$9,Paramètres!$A$1:$I$89,3,0)*0.475*44/12</f>
        <v>3.9578978150626408E-2</v>
      </c>
      <c r="AB193" s="23">
        <f>EXP(-LN(2)/2)*AB192+(1-EXP(-LN(2)/2))/(LN(2)/2)*V193*Y193*VLOOKUP('Données projet'!$B$9,Paramètres!$A$1:$I$89,3,0)*0.475*44/12</f>
        <v>1.2627675910400373E-23</v>
      </c>
      <c r="AC193" s="24">
        <f t="shared" si="163"/>
        <v>0.47383408465676363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1.5429577615577727E-13</v>
      </c>
      <c r="AK193" s="14">
        <f t="shared" si="164"/>
        <v>2.2038482767263348E-12</v>
      </c>
      <c r="AL193" s="22">
        <f t="shared" si="165"/>
        <v>4.107100892103012E-12</v>
      </c>
      <c r="AM193" s="62">
        <f t="shared" si="113"/>
        <v>293.33333333333741</v>
      </c>
      <c r="AN193" s="62">
        <f ca="1">AVERAGE(OFFSET($AM$3,0,0,'Données projet'!$E$10+1,1))-AVERAGE(OFFSET($H$3,0,0,'Données projet'!$E$10+1,1))</f>
        <v>221.11420634571317</v>
      </c>
      <c r="AO193" s="62">
        <f t="shared" si="144"/>
        <v>133.63266168802033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6.3550942286383367E-14</v>
      </c>
      <c r="BF193" s="14">
        <f t="shared" si="167"/>
        <v>1.0064464192543978E-12</v>
      </c>
      <c r="BG193" s="22">
        <f t="shared" si="168"/>
        <v>1.8635787380168604E-12</v>
      </c>
      <c r="BH193" s="62">
        <f t="shared" si="116"/>
        <v>293.33333333333519</v>
      </c>
      <c r="BI193" s="62">
        <f ca="1">AVERAGE(OFFSET($BH$3,0,0,'Données projet'!$E$11+1,1))-AVERAGE(OFFSET($H$3,0,0,'Données projet'!$E$11+1,1))</f>
        <v>277.5990520183687</v>
      </c>
      <c r="BJ193" s="62">
        <f t="shared" si="146"/>
        <v>338.50140415303872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0.2127444050727639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1.7592762991257695E-23</v>
      </c>
      <c r="BS193" s="24">
        <f t="shared" si="169"/>
        <v>0.2127444050727639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-1.7053025658242404E-13</v>
      </c>
      <c r="O194" s="14">
        <f>N194*VLOOKUP('Données projet'!$B$9,Paramètres!$A$1:$I$89,3,0)*VLOOKUP('Données projet'!$B$9,Paramètres!$A$1:$I$89,5,0)</f>
        <v>-1.0197709343628959E-13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131.58904681787436</v>
      </c>
      <c r="T194" s="62">
        <f t="shared" si="142"/>
        <v>208.65872561216122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0.42573962873701315</v>
      </c>
      <c r="AA194" s="23">
        <f>EXP(-LN(2)/25)*AA193+(1-EXP(-LN(2)/25))/(LN(2)/25)*Calculateur!V194*Calculateur!X194*VLOOKUP('Données projet'!$B$9,Paramètres!$A$1:$I$89,3,0)*0.475*44/12</f>
        <v>3.8496688911729526E-2</v>
      </c>
      <c r="AB194" s="23">
        <f>EXP(-LN(2)/2)*AB193+(1-EXP(-LN(2)/2))/(LN(2)/2)*V194*Y194*VLOOKUP('Données projet'!$B$9,Paramètres!$A$1:$I$89,3,0)*0.475*44/12</f>
        <v>8.929115266870114E-24</v>
      </c>
      <c r="AC194" s="24">
        <f t="shared" si="163"/>
        <v>0.46423631764874268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1.5429577615577727E-13</v>
      </c>
      <c r="AK194" s="14">
        <f t="shared" si="164"/>
        <v>2.2038482767263348E-12</v>
      </c>
      <c r="AL194" s="22">
        <f t="shared" si="165"/>
        <v>4.107100892103012E-12</v>
      </c>
      <c r="AM194" s="62">
        <f t="shared" si="113"/>
        <v>293.33333333333741</v>
      </c>
      <c r="AN194" s="62">
        <f ca="1">AVERAGE(OFFSET($AM$3,0,0,'Données projet'!$E$10+1,1))-AVERAGE(OFFSET($H$3,0,0,'Données projet'!$E$10+1,1))</f>
        <v>221.11420634571317</v>
      </c>
      <c r="AO194" s="62">
        <f t="shared" si="144"/>
        <v>133.63266168802033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6.3550942286383367E-14</v>
      </c>
      <c r="BF194" s="14">
        <f t="shared" si="167"/>
        <v>1.0064464192543978E-12</v>
      </c>
      <c r="BG194" s="22">
        <f t="shared" si="168"/>
        <v>1.8635787380168604E-12</v>
      </c>
      <c r="BH194" s="62">
        <f t="shared" si="116"/>
        <v>293.33333333333519</v>
      </c>
      <c r="BI194" s="62">
        <f ca="1">AVERAGE(OFFSET($BH$3,0,0,'Données projet'!$E$11+1,1))-AVERAGE(OFFSET($H$3,0,0,'Données projet'!$E$11+1,1))</f>
        <v>277.5990520183687</v>
      </c>
      <c r="BJ194" s="62">
        <f t="shared" si="146"/>
        <v>338.50140415303872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0.20857261705056124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1.2439962010926047E-23</v>
      </c>
      <c r="BS194" s="24">
        <f t="shared" si="169"/>
        <v>0.20857261705056124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-1.7053025658242404E-13</v>
      </c>
      <c r="O195" s="14">
        <f>N195*VLOOKUP('Données projet'!$B$9,Paramètres!$A$1:$I$89,3,0)*VLOOKUP('Données projet'!$B$9,Paramètres!$A$1:$I$89,5,0)</f>
        <v>-1.0197709343628959E-13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131.58904681787436</v>
      </c>
      <c r="T195" s="62">
        <f t="shared" si="142"/>
        <v>208.65872561216122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0.417391134293013</v>
      </c>
      <c r="AA195" s="23">
        <f>EXP(-LN(2)/25)*AA194+(1-EXP(-LN(2)/25))/(LN(2)/25)*Calculateur!V195*Calculateur!X195*VLOOKUP('Données projet'!$B$9,Paramètres!$A$1:$I$89,3,0)*0.475*44/12</f>
        <v>3.7443994928985397E-2</v>
      </c>
      <c r="AB195" s="23">
        <f>EXP(-LN(2)/2)*AB194+(1-EXP(-LN(2)/2))/(LN(2)/2)*V195*Y195*VLOOKUP('Données projet'!$B$9,Paramètres!$A$1:$I$89,3,0)*0.475*44/12</f>
        <v>6.3138379552001867E-24</v>
      </c>
      <c r="AC195" s="24">
        <f t="shared" si="163"/>
        <v>0.45483512922199842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1.5429577615577727E-13</v>
      </c>
      <c r="AK195" s="14">
        <f t="shared" si="164"/>
        <v>2.2038482767263348E-12</v>
      </c>
      <c r="AL195" s="22">
        <f t="shared" si="165"/>
        <v>4.107100892103012E-12</v>
      </c>
      <c r="AM195" s="62">
        <f t="shared" si="113"/>
        <v>293.33333333333741</v>
      </c>
      <c r="AN195" s="62">
        <f ca="1">AVERAGE(OFFSET($AM$3,0,0,'Données projet'!$E$10+1,1))-AVERAGE(OFFSET($H$3,0,0,'Données projet'!$E$10+1,1))</f>
        <v>221.11420634571317</v>
      </c>
      <c r="AO195" s="62">
        <f t="shared" si="144"/>
        <v>133.63266168802033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6.3550942286383367E-14</v>
      </c>
      <c r="BF195" s="14">
        <f t="shared" si="167"/>
        <v>1.0064464192543978E-12</v>
      </c>
      <c r="BG195" s="22">
        <f t="shared" si="168"/>
        <v>1.8635787380168604E-12</v>
      </c>
      <c r="BH195" s="62">
        <f t="shared" si="116"/>
        <v>293.33333333333519</v>
      </c>
      <c r="BI195" s="62">
        <f ca="1">AVERAGE(OFFSET($BH$3,0,0,'Données projet'!$E$11+1,1))-AVERAGE(OFFSET($H$3,0,0,'Données projet'!$E$11+1,1))</f>
        <v>277.5990520183687</v>
      </c>
      <c r="BJ195" s="62">
        <f t="shared" si="146"/>
        <v>338.50140415303872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0.20448263524693452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8.7963814956288477E-24</v>
      </c>
      <c r="BS195" s="24">
        <f t="shared" si="169"/>
        <v>0.20448263524693452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-1.7053025658242404E-13</v>
      </c>
      <c r="O196" s="14">
        <f>N196*VLOOKUP('Données projet'!$B$9,Paramètres!$A$1:$I$89,3,0)*VLOOKUP('Données projet'!$B$9,Paramètres!$A$1:$I$89,5,0)</f>
        <v>-1.0197709343628959E-13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131.58904681787436</v>
      </c>
      <c r="T196" s="62">
        <f t="shared" si="142"/>
        <v>208.65872561216122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0.4092063487329809</v>
      </c>
      <c r="AA196" s="23">
        <f>EXP(-LN(2)/25)*AA195+(1-EXP(-LN(2)/25))/(LN(2)/25)*Calculateur!V196*Calculateur!X196*VLOOKUP('Données projet'!$B$9,Paramètres!$A$1:$I$89,3,0)*0.475*44/12</f>
        <v>3.6420086918558178E-2</v>
      </c>
      <c r="AB196" s="23">
        <f>EXP(-LN(2)/2)*AB195+(1-EXP(-LN(2)/2))/(LN(2)/2)*V196*Y196*VLOOKUP('Données projet'!$B$9,Paramètres!$A$1:$I$89,3,0)*0.475*44/12</f>
        <v>4.464557633435057E-24</v>
      </c>
      <c r="AC196" s="24">
        <f t="shared" si="163"/>
        <v>0.44562643565153909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1.5429577615577727E-13</v>
      </c>
      <c r="AK196" s="14">
        <f t="shared" si="164"/>
        <v>2.2038482767263348E-12</v>
      </c>
      <c r="AL196" s="22">
        <f t="shared" si="165"/>
        <v>4.107100892103012E-12</v>
      </c>
      <c r="AM196" s="62">
        <f t="shared" ref="AM196:AM203" si="193">AL196+(AD196+AE196)*44/12</f>
        <v>293.33333333333741</v>
      </c>
      <c r="AN196" s="62">
        <f ca="1">AVERAGE(OFFSET($AM$3,0,0,'Données projet'!$E$10+1,1))-AVERAGE(OFFSET($H$3,0,0,'Données projet'!$E$10+1,1))</f>
        <v>221.11420634571317</v>
      </c>
      <c r="AO196" s="62">
        <f t="shared" si="144"/>
        <v>133.63266168802033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6.3550942286383367E-14</v>
      </c>
      <c r="BF196" s="14">
        <f t="shared" si="167"/>
        <v>1.0064464192543978E-12</v>
      </c>
      <c r="BG196" s="22">
        <f t="shared" si="168"/>
        <v>1.8635787380168604E-12</v>
      </c>
      <c r="BH196" s="62">
        <f t="shared" ref="BH196:BH203" si="194">BG196+(AY196+AZ196)*44/12</f>
        <v>293.33333333333519</v>
      </c>
      <c r="BI196" s="62">
        <f ca="1">AVERAGE(OFFSET($BH$3,0,0,'Données projet'!$E$11+1,1))-AVERAGE(OFFSET($H$3,0,0,'Données projet'!$E$11+1,1))</f>
        <v>277.5990520183687</v>
      </c>
      <c r="BJ196" s="62">
        <f t="shared" si="146"/>
        <v>338.50140415303872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0.20047285549183436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6.2199810054630233E-24</v>
      </c>
      <c r="BS196" s="24">
        <f t="shared" si="169"/>
        <v>0.20047285549183436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-1.7053025658242404E-13</v>
      </c>
      <c r="O197" s="14">
        <f>N197*VLOOKUP('Données projet'!$B$9,Paramètres!$A$1:$I$89,3,0)*VLOOKUP('Données projet'!$B$9,Paramètres!$A$1:$I$89,5,0)</f>
        <v>-1.0197709343628959E-13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131.58904681787436</v>
      </c>
      <c r="T197" s="62">
        <f t="shared" ref="T197:T203" si="204">$T$3</f>
        <v>208.65872561216122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0.40118206182555477</v>
      </c>
      <c r="AA197" s="23">
        <f>EXP(-LN(2)/25)*AA196+(1-EXP(-LN(2)/25))/(LN(2)/25)*Calculateur!V197*Calculateur!X197*VLOOKUP('Données projet'!$B$9,Paramètres!$A$1:$I$89,3,0)*0.475*44/12</f>
        <v>3.5424177726521074E-2</v>
      </c>
      <c r="AB197" s="23">
        <f>EXP(-LN(2)/2)*AB196+(1-EXP(-LN(2)/2))/(LN(2)/2)*V197*Y197*VLOOKUP('Données projet'!$B$9,Paramètres!$A$1:$I$89,3,0)*0.475*44/12</f>
        <v>3.1569189776000933E-24</v>
      </c>
      <c r="AC197" s="24">
        <f t="shared" si="163"/>
        <v>0.43660623955207584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1.5429577615577727E-13</v>
      </c>
      <c r="AK197" s="14">
        <f t="shared" si="164"/>
        <v>2.2038482767263348E-12</v>
      </c>
      <c r="AL197" s="22">
        <f t="shared" si="165"/>
        <v>4.107100892103012E-12</v>
      </c>
      <c r="AM197" s="62">
        <f t="shared" si="193"/>
        <v>293.33333333333741</v>
      </c>
      <c r="AN197" s="62">
        <f ca="1">AVERAGE(OFFSET($AM$3,0,0,'Données projet'!$E$10+1,1))-AVERAGE(OFFSET($H$3,0,0,'Données projet'!$E$10+1,1))</f>
        <v>221.11420634571317</v>
      </c>
      <c r="AO197" s="62">
        <f t="shared" ref="AO197:AO203" si="205">$AO$3</f>
        <v>133.63266168802033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6.3550942286383367E-14</v>
      </c>
      <c r="BF197" s="14">
        <f t="shared" si="167"/>
        <v>1.0064464192543978E-12</v>
      </c>
      <c r="BG197" s="22">
        <f t="shared" si="168"/>
        <v>1.8635787380168604E-12</v>
      </c>
      <c r="BH197" s="62">
        <f t="shared" si="194"/>
        <v>293.33333333333519</v>
      </c>
      <c r="BI197" s="62">
        <f ca="1">AVERAGE(OFFSET($BH$3,0,0,'Données projet'!$E$11+1,1))-AVERAGE(OFFSET($H$3,0,0,'Données projet'!$E$11+1,1))</f>
        <v>277.5990520183687</v>
      </c>
      <c r="BJ197" s="62">
        <f t="shared" ref="BJ197:BJ203" si="206">$BJ$3</f>
        <v>338.50140415303872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0.19654170507200755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4.3981907478144238E-24</v>
      </c>
      <c r="BS197" s="24">
        <f t="shared" si="169"/>
        <v>0.19654170507200755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-1.7053025658242404E-13</v>
      </c>
      <c r="O198" s="14">
        <f>N198*VLOOKUP('Données projet'!$B$9,Paramètres!$A$1:$I$89,3,0)*VLOOKUP('Données projet'!$B$9,Paramètres!$A$1:$I$89,5,0)</f>
        <v>-1.0197709343628959E-13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131.58904681787436</v>
      </c>
      <c r="T198" s="62">
        <f t="shared" si="204"/>
        <v>208.65872561216122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0.39331512629005155</v>
      </c>
      <c r="AA198" s="23">
        <f>EXP(-LN(2)/25)*AA197+(1-EXP(-LN(2)/25))/(LN(2)/25)*Calculateur!V198*Calculateur!X198*VLOOKUP('Données projet'!$B$9,Paramètres!$A$1:$I$89,3,0)*0.475*44/12</f>
        <v>3.4455501723712811E-2</v>
      </c>
      <c r="AB198" s="23">
        <f>EXP(-LN(2)/2)*AB197+(1-EXP(-LN(2)/2))/(LN(2)/2)*V198*Y198*VLOOKUP('Données projet'!$B$9,Paramètres!$A$1:$I$89,3,0)*0.475*44/12</f>
        <v>2.2322788167175285E-24</v>
      </c>
      <c r="AC198" s="24">
        <f t="shared" si="163"/>
        <v>0.42777062801376436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1.5429577615577727E-13</v>
      </c>
      <c r="AK198" s="14">
        <f t="shared" si="164"/>
        <v>2.2038482767263348E-12</v>
      </c>
      <c r="AL198" s="22">
        <f t="shared" si="165"/>
        <v>4.107100892103012E-12</v>
      </c>
      <c r="AM198" s="62">
        <f t="shared" si="193"/>
        <v>293.33333333333741</v>
      </c>
      <c r="AN198" s="62">
        <f ca="1">AVERAGE(OFFSET($AM$3,0,0,'Données projet'!$E$10+1,1))-AVERAGE(OFFSET($H$3,0,0,'Données projet'!$E$10+1,1))</f>
        <v>221.11420634571317</v>
      </c>
      <c r="AO198" s="62">
        <f t="shared" si="205"/>
        <v>133.63266168802033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6.3550942286383367E-14</v>
      </c>
      <c r="BF198" s="14">
        <f t="shared" si="167"/>
        <v>1.0064464192543978E-12</v>
      </c>
      <c r="BG198" s="22">
        <f t="shared" si="168"/>
        <v>1.8635787380168604E-12</v>
      </c>
      <c r="BH198" s="62">
        <f t="shared" si="194"/>
        <v>293.33333333333519</v>
      </c>
      <c r="BI198" s="62">
        <f ca="1">AVERAGE(OFFSET($BH$3,0,0,'Données projet'!$E$11+1,1))-AVERAGE(OFFSET($H$3,0,0,'Données projet'!$E$11+1,1))</f>
        <v>277.5990520183687</v>
      </c>
      <c r="BJ198" s="62">
        <f t="shared" si="206"/>
        <v>338.50140415303872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0.19268764211414854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3.1099905027315117E-24</v>
      </c>
      <c r="BS198" s="24">
        <f t="shared" si="169"/>
        <v>0.19268764211414854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-1.7053025658242404E-13</v>
      </c>
      <c r="O199" s="14">
        <f>N199*VLOOKUP('Données projet'!$B$9,Paramètres!$A$1:$I$89,3,0)*VLOOKUP('Données projet'!$B$9,Paramètres!$A$1:$I$89,5,0)</f>
        <v>-1.0197709343628959E-13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131.58904681787436</v>
      </c>
      <c r="T199" s="62">
        <f t="shared" si="204"/>
        <v>208.65872561216122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0.38560245656204267</v>
      </c>
      <c r="AA199" s="23">
        <f>EXP(-LN(2)/25)*AA198+(1-EXP(-LN(2)/25))/(LN(2)/25)*Calculateur!V199*Calculateur!X199*VLOOKUP('Données projet'!$B$9,Paramètres!$A$1:$I$89,3,0)*0.475*44/12</f>
        <v>3.35133142171418E-2</v>
      </c>
      <c r="AB199" s="23">
        <f>EXP(-LN(2)/2)*AB198+(1-EXP(-LN(2)/2))/(LN(2)/2)*V199*Y199*VLOOKUP('Données projet'!$B$9,Paramètres!$A$1:$I$89,3,0)*0.475*44/12</f>
        <v>1.5784594888000467E-24</v>
      </c>
      <c r="AC199" s="24">
        <f t="shared" si="163"/>
        <v>0.41911577077918449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1.5429577615577727E-13</v>
      </c>
      <c r="AK199" s="14">
        <f t="shared" si="164"/>
        <v>2.2038482767263348E-12</v>
      </c>
      <c r="AL199" s="22">
        <f t="shared" si="165"/>
        <v>4.107100892103012E-12</v>
      </c>
      <c r="AM199" s="62">
        <f t="shared" si="193"/>
        <v>293.33333333333741</v>
      </c>
      <c r="AN199" s="62">
        <f ca="1">AVERAGE(OFFSET($AM$3,0,0,'Données projet'!$E$10+1,1))-AVERAGE(OFFSET($H$3,0,0,'Données projet'!$E$10+1,1))</f>
        <v>221.11420634571317</v>
      </c>
      <c r="AO199" s="62">
        <f t="shared" si="205"/>
        <v>133.63266168802033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6.3550942286383367E-14</v>
      </c>
      <c r="BF199" s="14">
        <f t="shared" si="167"/>
        <v>1.0064464192543978E-12</v>
      </c>
      <c r="BG199" s="22">
        <f t="shared" si="168"/>
        <v>1.8635787380168604E-12</v>
      </c>
      <c r="BH199" s="62">
        <f t="shared" si="194"/>
        <v>293.33333333333519</v>
      </c>
      <c r="BI199" s="62">
        <f ca="1">AVERAGE(OFFSET($BH$3,0,0,'Données projet'!$E$11+1,1))-AVERAGE(OFFSET($H$3,0,0,'Données projet'!$E$11+1,1))</f>
        <v>277.5990520183687</v>
      </c>
      <c r="BJ199" s="62">
        <f t="shared" si="206"/>
        <v>338.50140415303872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0.18890915498014688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2.1990953739072119E-24</v>
      </c>
      <c r="BS199" s="24">
        <f t="shared" si="169"/>
        <v>0.18890915498014688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-1.7053025658242404E-13</v>
      </c>
      <c r="O200" s="14">
        <f>N200*VLOOKUP('Données projet'!$B$9,Paramètres!$A$1:$I$89,3,0)*VLOOKUP('Données projet'!$B$9,Paramètres!$A$1:$I$89,5,0)</f>
        <v>-1.0197709343628959E-13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131.58904681787436</v>
      </c>
      <c r="T200" s="62">
        <f t="shared" si="204"/>
        <v>208.65872561216122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0.37804102758313601</v>
      </c>
      <c r="AA200" s="23">
        <f>EXP(-LN(2)/25)*AA199+(1-EXP(-LN(2)/25))/(LN(2)/25)*Calculateur!V200*Calculateur!X200*VLOOKUP('Données projet'!$B$9,Paramètres!$A$1:$I$89,3,0)*0.475*44/12</f>
        <v>3.2596890877485456E-2</v>
      </c>
      <c r="AB200" s="23">
        <f>EXP(-LN(2)/2)*AB199+(1-EXP(-LN(2)/2))/(LN(2)/2)*V200*Y200*VLOOKUP('Données projet'!$B$9,Paramètres!$A$1:$I$89,3,0)*0.475*44/12</f>
        <v>1.1161394083587642E-24</v>
      </c>
      <c r="AC200" s="24">
        <f t="shared" si="163"/>
        <v>0.41063791846062148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1.5429577615577727E-13</v>
      </c>
      <c r="AK200" s="14">
        <f t="shared" si="164"/>
        <v>2.2038482767263348E-12</v>
      </c>
      <c r="AL200" s="22">
        <f t="shared" si="165"/>
        <v>4.107100892103012E-12</v>
      </c>
      <c r="AM200" s="62">
        <f t="shared" si="193"/>
        <v>293.33333333333741</v>
      </c>
      <c r="AN200" s="62">
        <f ca="1">AVERAGE(OFFSET($AM$3,0,0,'Données projet'!$E$10+1,1))-AVERAGE(OFFSET($H$3,0,0,'Données projet'!$E$10+1,1))</f>
        <v>221.11420634571317</v>
      </c>
      <c r="AO200" s="62">
        <f t="shared" si="205"/>
        <v>133.63266168802033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6.3550942286383367E-14</v>
      </c>
      <c r="BF200" s="14">
        <f t="shared" si="167"/>
        <v>1.0064464192543978E-12</v>
      </c>
      <c r="BG200" s="22">
        <f t="shared" si="168"/>
        <v>1.8635787380168604E-12</v>
      </c>
      <c r="BH200" s="62">
        <f t="shared" si="194"/>
        <v>293.33333333333519</v>
      </c>
      <c r="BI200" s="62">
        <f ca="1">AVERAGE(OFFSET($BH$3,0,0,'Données projet'!$E$11+1,1))-AVERAGE(OFFSET($H$3,0,0,'Données projet'!$E$11+1,1))</f>
        <v>277.5990520183687</v>
      </c>
      <c r="BJ200" s="62">
        <f t="shared" si="206"/>
        <v>338.50140415303872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0.18520476167419339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1.5549952513657558E-24</v>
      </c>
      <c r="BS200" s="24">
        <f t="shared" si="169"/>
        <v>0.18520476167419339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-1.7053025658242404E-13</v>
      </c>
      <c r="O201" s="14">
        <f>N201*VLOOKUP('Données projet'!$B$9,Paramètres!$A$1:$I$89,3,0)*VLOOKUP('Données projet'!$B$9,Paramètres!$A$1:$I$89,5,0)</f>
        <v>-1.0197709343628959E-13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131.58904681787436</v>
      </c>
      <c r="T201" s="62">
        <f t="shared" si="204"/>
        <v>208.65872561216122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0.37062787361448946</v>
      </c>
      <c r="AA201" s="23">
        <f>EXP(-LN(2)/25)*AA200+(1-EXP(-LN(2)/25))/(LN(2)/25)*Calculateur!V201*Calculateur!X201*VLOOKUP('Données projet'!$B$9,Paramètres!$A$1:$I$89,3,0)*0.475*44/12</f>
        <v>3.1705527182244626E-2</v>
      </c>
      <c r="AB201" s="23">
        <f>EXP(-LN(2)/2)*AB200+(1-EXP(-LN(2)/2))/(LN(2)/2)*V201*Y201*VLOOKUP('Données projet'!$B$9,Paramètres!$A$1:$I$89,3,0)*0.475*44/12</f>
        <v>7.8922974440002333E-25</v>
      </c>
      <c r="AC201" s="24">
        <f t="shared" si="163"/>
        <v>0.40233340079673408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1.5429577615577727E-13</v>
      </c>
      <c r="AK201" s="14">
        <f t="shared" si="164"/>
        <v>2.2038482767263348E-12</v>
      </c>
      <c r="AL201" s="22">
        <f t="shared" si="165"/>
        <v>4.107100892103012E-12</v>
      </c>
      <c r="AM201" s="62">
        <f t="shared" si="193"/>
        <v>293.33333333333741</v>
      </c>
      <c r="AN201" s="62">
        <f ca="1">AVERAGE(OFFSET($AM$3,0,0,'Données projet'!$E$10+1,1))-AVERAGE(OFFSET($H$3,0,0,'Données projet'!$E$10+1,1))</f>
        <v>221.11420634571317</v>
      </c>
      <c r="AO201" s="62">
        <f t="shared" si="205"/>
        <v>133.63266168802033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6.3550942286383367E-14</v>
      </c>
      <c r="BF201" s="14">
        <f t="shared" si="167"/>
        <v>1.0064464192543978E-12</v>
      </c>
      <c r="BG201" s="22">
        <f t="shared" si="168"/>
        <v>1.8635787380168604E-12</v>
      </c>
      <c r="BH201" s="62">
        <f t="shared" si="194"/>
        <v>293.33333333333519</v>
      </c>
      <c r="BI201" s="62">
        <f ca="1">AVERAGE(OFFSET($BH$3,0,0,'Données projet'!$E$11+1,1))-AVERAGE(OFFSET($H$3,0,0,'Données projet'!$E$11+1,1))</f>
        <v>277.5990520183687</v>
      </c>
      <c r="BJ201" s="62">
        <f t="shared" si="206"/>
        <v>338.50140415303872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0.18157300926151285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1.099547686953606E-24</v>
      </c>
      <c r="BS201" s="24">
        <f t="shared" si="169"/>
        <v>0.18157300926151285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-1.7053025658242404E-13</v>
      </c>
      <c r="O202" s="14">
        <f>N202*VLOOKUP('Données projet'!$B$9,Paramètres!$A$1:$I$89,3,0)*VLOOKUP('Données projet'!$B$9,Paramètres!$A$1:$I$89,5,0)</f>
        <v>-1.0197709343628959E-13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131.58904681787436</v>
      </c>
      <c r="T202" s="62">
        <f t="shared" si="204"/>
        <v>208.65872561216122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0.36336008707359058</v>
      </c>
      <c r="AA202" s="23">
        <f>EXP(-LN(2)/25)*AA201+(1-EXP(-LN(2)/25))/(LN(2)/25)*Calculateur!V202*Calculateur!X202*VLOOKUP('Données projet'!$B$9,Paramètres!$A$1:$I$89,3,0)*0.475*44/12</f>
        <v>3.0838537874124935E-2</v>
      </c>
      <c r="AB202" s="23">
        <f>EXP(-LN(2)/2)*AB201+(1-EXP(-LN(2)/2))/(LN(2)/2)*V202*Y202*VLOOKUP('Données projet'!$B$9,Paramètres!$A$1:$I$89,3,0)*0.475*44/12</f>
        <v>5.5806970417938212E-25</v>
      </c>
      <c r="AC202" s="24">
        <f t="shared" si="163"/>
        <v>0.39419862494771551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1.5429577615577727E-13</v>
      </c>
      <c r="AK202" s="14">
        <f t="shared" si="164"/>
        <v>2.2038482767263348E-12</v>
      </c>
      <c r="AL202" s="22">
        <f t="shared" si="165"/>
        <v>4.107100892103012E-12</v>
      </c>
      <c r="AM202" s="62">
        <f t="shared" si="193"/>
        <v>293.33333333333741</v>
      </c>
      <c r="AN202" s="62">
        <f ca="1">AVERAGE(OFFSET($AM$3,0,0,'Données projet'!$E$10+1,1))-AVERAGE(OFFSET($H$3,0,0,'Données projet'!$E$10+1,1))</f>
        <v>221.11420634571317</v>
      </c>
      <c r="AO202" s="62">
        <f t="shared" si="205"/>
        <v>133.63266168802033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6.3550942286383367E-14</v>
      </c>
      <c r="BF202" s="14">
        <f t="shared" si="167"/>
        <v>1.0064464192543978E-12</v>
      </c>
      <c r="BG202" s="22">
        <f t="shared" si="168"/>
        <v>1.8635787380168604E-12</v>
      </c>
      <c r="BH202" s="62">
        <f t="shared" si="194"/>
        <v>293.33333333333519</v>
      </c>
      <c r="BI202" s="62">
        <f ca="1">AVERAGE(OFFSET($BH$3,0,0,'Données projet'!$E$11+1,1))-AVERAGE(OFFSET($H$3,0,0,'Données projet'!$E$11+1,1))</f>
        <v>277.5990520183687</v>
      </c>
      <c r="BJ202" s="62">
        <f t="shared" si="206"/>
        <v>338.50140415303872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0.17801247329849471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7.7749762568287791E-25</v>
      </c>
      <c r="BS202" s="24">
        <f t="shared" si="169"/>
        <v>0.17801247329849471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-1.7053025658242404E-13</v>
      </c>
      <c r="O203" s="14">
        <f>N203*VLOOKUP('Données projet'!$B$9,Paramètres!$A$1:$I$89,3,0)*VLOOKUP('Données projet'!$B$9,Paramètres!$A$1:$I$89,5,0)</f>
        <v>-1.0197709343628959E-13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131.58904681787436</v>
      </c>
      <c r="T203" s="62">
        <f t="shared" si="204"/>
        <v>208.65872561216122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0.35623481739384666</v>
      </c>
      <c r="AA203" s="23">
        <f>EXP(-LN(2)/25)*AA202+(1-EXP(-LN(2)/25))/(LN(2)/25)*Calculateur!V203*Calculateur!X203*VLOOKUP('Données projet'!$B$9,Paramètres!$A$1:$I$89,3,0)*0.475*44/12</f>
        <v>2.9995256434228765E-2</v>
      </c>
      <c r="AB203" s="23">
        <f>EXP(-LN(2)/2)*AB202+(1-EXP(-LN(2)/2))/(LN(2)/2)*V203*Y203*VLOOKUP('Données projet'!$B$9,Paramètres!$A$1:$I$89,3,0)*0.475*44/12</f>
        <v>3.9461487220001167E-25</v>
      </c>
      <c r="AC203" s="24">
        <f t="shared" si="163"/>
        <v>0.38623007382807545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1.5429577615577727E-13</v>
      </c>
      <c r="AK203" s="14">
        <f t="shared" si="164"/>
        <v>2.2038482767263348E-12</v>
      </c>
      <c r="AL203" s="22">
        <f t="shared" si="165"/>
        <v>4.107100892103012E-12</v>
      </c>
      <c r="AM203" s="62">
        <f t="shared" si="193"/>
        <v>293.33333333333741</v>
      </c>
      <c r="AN203" s="62">
        <f ca="1">AVERAGE(OFFSET($AM$3,0,0,'Données projet'!$E$10+1,1))-AVERAGE(OFFSET($H$3,0,0,'Données projet'!$E$10+1,1))</f>
        <v>221.11420634571317</v>
      </c>
      <c r="AO203" s="62">
        <f t="shared" si="205"/>
        <v>133.63266168802033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6.3550942286383367E-14</v>
      </c>
      <c r="BF203" s="14">
        <f t="shared" si="167"/>
        <v>1.0064464192543978E-12</v>
      </c>
      <c r="BG203" s="22">
        <f t="shared" si="168"/>
        <v>1.8635787380168604E-12</v>
      </c>
      <c r="BH203" s="62">
        <f t="shared" si="194"/>
        <v>293.33333333333519</v>
      </c>
      <c r="BI203" s="62">
        <f ca="1">AVERAGE(OFFSET($BH$3,0,0,'Données projet'!$E$11+1,1))-AVERAGE(OFFSET($H$3,0,0,'Données projet'!$E$11+1,1))</f>
        <v>277.5990520183687</v>
      </c>
      <c r="BJ203" s="62">
        <f t="shared" si="206"/>
        <v>338.50140415303872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0.17452175727399885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5.4977384347680298E-25</v>
      </c>
      <c r="BS203" s="24">
        <f t="shared" si="169"/>
        <v>0.17452175727399885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1.2990595333015609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1.1852335095914694</v>
      </c>
      <c r="BA205" s="88">
        <f>EXP(LN('Données projet'!B88)/'Données projet'!A88)</f>
        <v>1.2475727214128975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1.0258</v>
      </c>
      <c r="C6" s="156">
        <f ca="1">IF(OR('Données projet'!B9="",'Données projet'!C9="",'Données projet'!C9=0%),0,Calculateur!S3)</f>
        <v>131.58904681787436</v>
      </c>
      <c r="D6" s="156">
        <f>IF(OR('Données projet'!B9="",'Données projet'!C9="",'Données projet'!C9=0%),0,Calculateur!T3)</f>
        <v>208.65872561216122</v>
      </c>
      <c r="E6" s="156">
        <f ca="1">MIN(C6,D6)</f>
        <v>131.58904681787436</v>
      </c>
      <c r="F6" s="156">
        <f ca="1">E6*B6</f>
        <v>134.98404422577553</v>
      </c>
      <c r="G6" s="156">
        <f ca="1">F6*(100%-'Données projet'!$C$24)*(100%-'Données projet'!$C$25)*(100%-'Données projet'!$C$26)*(100%-'Données projet'!$C$27)</f>
        <v>103.26279383271829</v>
      </c>
      <c r="H6" s="157">
        <f>IF(OR('Données projet'!B9="",'Données projet'!C9="",'Données projet'!C9=0%),0,AVERAGE(Calculateur!$AC$3:$AC$33)*B6)</f>
        <v>5.5402682334107292</v>
      </c>
      <c r="I6" s="158">
        <f>H6*(100%-'Données projet'!$C$24)*(100%-'Données projet'!$C$25)*(100%-'Données projet'!$C$26)*(100%-'Données projet'!$C$27)</f>
        <v>4.2383051985592077</v>
      </c>
      <c r="J6" s="159">
        <f>IF(OR('Données projet'!B9="",'Données projet'!C9="",'Données projet'!C9=0%),0,SUM(Calculateur!$V$3:$V$33)*VLOOKUP('Données projet'!$B$9,Paramètres!$A$1:$I$89,9,0)*B6)</f>
        <v>67.784863999999999</v>
      </c>
      <c r="K6" s="160">
        <f>J6*(100%-'Données projet'!$C$24)*(100%-'Données projet'!$C$25)*(100%-'Données projet'!$C$26)*(100%-'Données projet'!$C$27)</f>
        <v>51.855420959999996</v>
      </c>
      <c r="L6" s="161">
        <f ca="1">G6+I6+K6</f>
        <v>159.35651999127748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sessile</v>
      </c>
      <c r="B7" s="163">
        <f>'Données projet'!D10</f>
        <v>0.28989999999999999</v>
      </c>
      <c r="C7" s="156">
        <f ca="1">IF(OR('Données projet'!B10="",'Données projet'!C10="",'Données projet'!C10=0%),0,Calculateur!AN3)</f>
        <v>221.11420634571317</v>
      </c>
      <c r="D7" s="156">
        <f>IF(OR('Données projet'!B10="",'Données projet'!C10="",'Données projet'!C10=0%),0,Calculateur!AO3)</f>
        <v>133.63266168802033</v>
      </c>
      <c r="E7" s="156">
        <f t="shared" ref="E7:E15" ca="1" si="0">MIN(C7,D7)</f>
        <v>133.63266168802033</v>
      </c>
      <c r="F7" s="156">
        <f t="shared" ref="F7:F15" ca="1" si="1">E7*B7</f>
        <v>38.740108623357095</v>
      </c>
      <c r="G7" s="156">
        <f ca="1">F7*(100%-'Données projet'!$C$24)*(100%-'Données projet'!$C$25)*(100%-'Données projet'!$C$26)*(100%-'Données projet'!$C$27)</f>
        <v>29.636183096868177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2.1017749999999999</v>
      </c>
      <c r="K7" s="160">
        <f>J7*(100%-'Données projet'!$C$24)*(100%-'Données projet'!$C$25)*(100%-'Données projet'!$C$26)*(100%-'Données projet'!$C$27)</f>
        <v>1.6078578750000001</v>
      </c>
      <c r="L7" s="161">
        <f t="shared" ref="L7:L15" ca="1" si="2">G7+I7+K7</f>
        <v>31.244040971868177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0.51290000000000002</v>
      </c>
      <c r="C8" s="156">
        <f ca="1">IF(OR('Données projet'!B11="",'Données projet'!C11="",'Données projet'!C11=0%),0,Calculateur!BI3)</f>
        <v>277.5990520183687</v>
      </c>
      <c r="D8" s="156">
        <f>IF(OR('Données projet'!B11="",'Données projet'!C11="",'Données projet'!C11=0%),0,Calculateur!BJ3)</f>
        <v>338.50140415303872</v>
      </c>
      <c r="E8" s="156">
        <f t="shared" ca="1" si="0"/>
        <v>277.5990520183687</v>
      </c>
      <c r="F8" s="156">
        <f t="shared" ca="1" si="1"/>
        <v>142.38055378022131</v>
      </c>
      <c r="G8" s="156">
        <f ca="1">F8*(100%-'Données projet'!$C$24)*(100%-'Données projet'!$C$25)*(100%-'Données projet'!$C$26)*(100%-'Données projet'!$C$27)</f>
        <v>108.9211236418693</v>
      </c>
      <c r="H8" s="164">
        <f>IF(OR('Données projet'!B11="",'Données projet'!C11="",'Données projet'!C11=0%),0,AVERAGE(Calculateur!$BS$3:$BS$33)*B8)</f>
        <v>0.85395213903465916</v>
      </c>
      <c r="I8" s="158">
        <f>H8*(100%-'Données projet'!$C$24)*(100%-'Données projet'!$C$25)*(100%-'Données projet'!$C$26)*(100%-'Données projet'!$C$27)</f>
        <v>0.65327338636151422</v>
      </c>
      <c r="J8" s="159">
        <f>IF(OR('Données projet'!B11="",'Données projet'!C11="",'Données projet'!C11=0%),0,SUM(Calculateur!$BL$3:$BL$33)*VLOOKUP('Données projet'!$B$11,Paramètres!$A$1:$I$89,9,0)*B8)</f>
        <v>12.350631999999999</v>
      </c>
      <c r="K8" s="160">
        <f>J8*(100%-'Données projet'!$C$24)*(100%-'Données projet'!$C$25)*(100%-'Données projet'!$C$26)*(100%-'Données projet'!$C$27)</f>
        <v>9.4482334800000007</v>
      </c>
      <c r="L8" s="161">
        <f t="shared" ca="1" si="2"/>
        <v>119.02263050823082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316.10470662935393</v>
      </c>
      <c r="G16" s="175">
        <f t="shared" ca="1" si="3"/>
        <v>241.82010057145578</v>
      </c>
      <c r="H16" s="176">
        <f t="shared" si="3"/>
        <v>6.3942203724453881</v>
      </c>
      <c r="I16" s="176">
        <f t="shared" si="3"/>
        <v>4.8915785849207216</v>
      </c>
      <c r="J16" s="177">
        <f t="shared" si="3"/>
        <v>82.237271000000007</v>
      </c>
      <c r="K16" s="177">
        <f t="shared" si="3"/>
        <v>62.911512314999996</v>
      </c>
      <c r="L16" s="178">
        <f t="shared" ca="1" si="3"/>
        <v>309.62319147137646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E1" zoomScale="90" zoomScaleNormal="90" workbookViewId="0">
      <selection activeCell="F93" sqref="F9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2908.3997460503188</v>
      </c>
      <c r="U10" s="190">
        <f>'Données projet'!D9</f>
        <v>1.0258</v>
      </c>
      <c r="V10" s="189">
        <f>U10*T10</f>
        <v>2983.4364594984172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1155.0633007884521</v>
      </c>
      <c r="U11" s="190">
        <f>'Données projet'!D10</f>
        <v>0.28989999999999999</v>
      </c>
      <c r="V11" s="189">
        <f t="shared" ref="V11" si="0">U11*T11</f>
        <v>334.85285089857229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5574.380701436201</v>
      </c>
      <c r="U12" s="190">
        <f>'Données projet'!D11</f>
        <v>0.51290000000000002</v>
      </c>
      <c r="V12" s="189">
        <f t="shared" ref="V12:V19" si="1">U12*T12</f>
        <v>2859.0998617666278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70.000000000000085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2800.0000000000036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6047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1045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1045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27</v>
      </c>
      <c r="C23" s="206">
        <v>15</v>
      </c>
      <c r="D23" s="194">
        <f>B23*C23</f>
        <v>405</v>
      </c>
      <c r="E23" s="206"/>
      <c r="F23" s="261"/>
      <c r="H23" s="203">
        <v>3</v>
      </c>
      <c r="I23" s="204">
        <v>1045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-13713.469910961772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24</v>
      </c>
      <c r="B24" s="193">
        <f>'Données projet'!D37</f>
        <v>38</v>
      </c>
      <c r="C24" s="206">
        <v>20</v>
      </c>
      <c r="D24" s="194">
        <f t="shared" ref="D24:D42" si="2">B24*C24</f>
        <v>760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286.63060680759543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47</v>
      </c>
      <c r="C25" s="206">
        <v>30</v>
      </c>
      <c r="D25" s="194">
        <f t="shared" si="2"/>
        <v>1410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-14000.100517769368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50</v>
      </c>
      <c r="C26" s="206">
        <v>38</v>
      </c>
      <c r="D26" s="194">
        <f t="shared" si="2"/>
        <v>1900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294</v>
      </c>
      <c r="C27" s="206">
        <v>54</v>
      </c>
      <c r="D27" s="194">
        <f t="shared" si="2"/>
        <v>15876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10</v>
      </c>
      <c r="D54" s="191">
        <f>B54*C54</f>
        <v>80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10</v>
      </c>
      <c r="D55" s="191">
        <f t="shared" ref="D55:D73" si="4">B55*C55</f>
        <v>210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20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30</v>
      </c>
      <c r="D59" s="191">
        <f t="shared" si="4"/>
        <v>630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30</v>
      </c>
      <c r="D60" s="191">
        <f t="shared" si="4"/>
        <v>630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40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50</v>
      </c>
      <c r="D62" s="191">
        <f t="shared" si="4"/>
        <v>1050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60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0</v>
      </c>
      <c r="C64" s="204">
        <v>70</v>
      </c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70</v>
      </c>
      <c r="D65" s="191">
        <f t="shared" si="4"/>
        <v>1470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80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80</v>
      </c>
      <c r="D67" s="191">
        <f t="shared" si="4"/>
        <v>1680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90</v>
      </c>
      <c r="D68" s="191">
        <f t="shared" si="4"/>
        <v>1890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90</v>
      </c>
      <c r="D69" s="191">
        <f t="shared" si="4"/>
        <v>1890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130</v>
      </c>
      <c r="D70" s="191">
        <f t="shared" si="4"/>
        <v>2600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200</v>
      </c>
      <c r="D71" s="191">
        <f t="shared" si="4"/>
        <v>3800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250</v>
      </c>
      <c r="D72" s="191">
        <f t="shared" si="4"/>
        <v>4500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285</v>
      </c>
      <c r="C73" s="204">
        <v>300</v>
      </c>
      <c r="D73" s="191">
        <f t="shared" si="4"/>
        <v>85500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23</v>
      </c>
      <c r="B85" s="193">
        <f>'Données projet'!D88</f>
        <v>0</v>
      </c>
      <c r="C85" s="204">
        <v>12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14</v>
      </c>
      <c r="C86" s="204">
        <v>18</v>
      </c>
      <c r="D86" s="191">
        <f t="shared" ref="D86:D104" si="6">B86*C86</f>
        <v>252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42</v>
      </c>
      <c r="C87" s="204">
        <v>24</v>
      </c>
      <c r="D87" s="191">
        <f t="shared" si="6"/>
        <v>1008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49</v>
      </c>
      <c r="C88" s="204">
        <v>35</v>
      </c>
      <c r="D88" s="191">
        <f t="shared" si="6"/>
        <v>1715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58</v>
      </c>
      <c r="C89" s="204">
        <v>46</v>
      </c>
      <c r="D89" s="191">
        <f t="shared" si="6"/>
        <v>2668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57</v>
      </c>
      <c r="C90" s="204">
        <v>54</v>
      </c>
      <c r="D90" s="191">
        <f t="shared" si="6"/>
        <v>3078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42</v>
      </c>
      <c r="C91" s="204">
        <v>62</v>
      </c>
      <c r="D91" s="191">
        <f t="shared" si="6"/>
        <v>2604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37</v>
      </c>
      <c r="C92" s="204">
        <v>75</v>
      </c>
      <c r="D92" s="191">
        <f t="shared" si="6"/>
        <v>2775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567</v>
      </c>
      <c r="C93" s="204">
        <v>85</v>
      </c>
      <c r="D93" s="191">
        <f t="shared" si="6"/>
        <v>48195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2024-07-03T08:56:52Z</dcterms:modified>
</cp:coreProperties>
</file>