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Déposé\ROCHE BIGOT\"/>
    </mc:Choice>
  </mc:AlternateContent>
  <xr:revisionPtr revIDLastSave="0" documentId="13_ncr:1_{76E3F16A-EEE5-41DF-BDB2-1DA632C8DD52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1" l="1"/>
  <c r="D72" i="1" s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95" i="1"/>
  <c r="D95" i="1" s="1"/>
  <c r="D94" i="1"/>
  <c r="D93" i="1"/>
  <c r="D92" i="1"/>
  <c r="D91" i="1"/>
  <c r="D90" i="1"/>
  <c r="D89" i="1"/>
  <c r="B43" i="1"/>
  <c r="D43" i="1" s="1"/>
  <c r="D42" i="1"/>
  <c r="D41" i="1"/>
  <c r="D40" i="1"/>
  <c r="D39" i="1"/>
  <c r="D38" i="1"/>
  <c r="D37" i="1"/>
  <c r="I22" i="6"/>
  <c r="I23" i="6"/>
  <c r="I21" i="6"/>
  <c r="I20" i="6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<sst xmlns="http://schemas.openxmlformats.org/spreadsheetml/2006/main" count="1172" uniqueCount="324">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</sst>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5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4" zoomScale="80" zoomScaleNormal="80" workbookViewId="0">
      <selection activeCell="E78" sqref="E7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6.85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0.68</v>
      </c>
      <c r="D9" s="33">
        <f t="shared" ref="D9:D18" si="0">C9*$C$5</f>
        <v>4.6580000000000004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0.13</v>
      </c>
      <c r="D10" s="33">
        <f t="shared" si="0"/>
        <v>0.89049999999999996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81</v>
      </c>
      <c r="C11" s="32">
        <v>0.19</v>
      </c>
      <c r="D11" s="33">
        <f t="shared" si="0"/>
        <v>1.3014999999999999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6.8500000000000005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12</v>
      </c>
      <c r="C36" s="60"/>
      <c r="D36" s="60">
        <v>0</v>
      </c>
      <c r="E36" s="51"/>
      <c r="F36" s="51"/>
      <c r="G36" s="51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162</v>
      </c>
      <c r="C37" s="60">
        <v>1</v>
      </c>
      <c r="D37" s="60">
        <f>7+56</f>
        <v>63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321</v>
      </c>
      <c r="C38" s="60">
        <v>2</v>
      </c>
      <c r="D38" s="60">
        <f>56+56</f>
        <v>112</v>
      </c>
      <c r="E38" s="51">
        <v>0.1</v>
      </c>
      <c r="F38" s="51">
        <v>0.45</v>
      </c>
      <c r="G38" s="51">
        <v>0.45</v>
      </c>
      <c r="H38" s="51"/>
      <c r="I38" s="53">
        <f t="shared" si="1"/>
        <v>22.2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429</v>
      </c>
      <c r="C39" s="60">
        <v>3</v>
      </c>
      <c r="D39" s="60">
        <f>56+56</f>
        <v>112</v>
      </c>
      <c r="E39" s="51"/>
      <c r="F39" s="51"/>
      <c r="G39" s="51"/>
      <c r="H39" s="51"/>
      <c r="I39" s="49">
        <f t="shared" si="1"/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509</v>
      </c>
      <c r="C40" s="60">
        <v>4</v>
      </c>
      <c r="D40" s="60">
        <f>56+52</f>
        <v>108</v>
      </c>
      <c r="E40" s="51"/>
      <c r="F40" s="51"/>
      <c r="G40" s="51"/>
      <c r="H40" s="51"/>
      <c r="I40" s="49">
        <f t="shared" si="1"/>
        <v>19.2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563</v>
      </c>
      <c r="C41" s="60">
        <v>5</v>
      </c>
      <c r="D41" s="60">
        <f>44+39</f>
        <v>83</v>
      </c>
      <c r="E41" s="51"/>
      <c r="F41" s="51"/>
      <c r="G41" s="51"/>
      <c r="H41" s="51"/>
      <c r="I41" s="53">
        <f t="shared" si="1"/>
        <v>16.2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614</v>
      </c>
      <c r="C42" s="60">
        <v>6</v>
      </c>
      <c r="D42" s="60">
        <f>35+32</f>
        <v>67</v>
      </c>
      <c r="E42" s="51"/>
      <c r="F42" s="51"/>
      <c r="G42" s="51"/>
      <c r="H42" s="51"/>
      <c r="I42" s="53">
        <f t="shared" si="1"/>
        <v>13.4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592+59</f>
        <v>651</v>
      </c>
      <c r="C43" s="60">
        <v>7</v>
      </c>
      <c r="D43" s="60">
        <f>B43</f>
        <v>651</v>
      </c>
      <c r="E43" s="51"/>
      <c r="F43" s="51"/>
      <c r="G43" s="51"/>
      <c r="H43" s="51"/>
      <c r="I43" s="49">
        <f t="shared" si="1"/>
        <v>10.4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76+8+21</f>
        <v>105</v>
      </c>
      <c r="C63" s="60">
        <v>1</v>
      </c>
      <c r="D63" s="60">
        <f>21+8</f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116+21+21</f>
        <v>158</v>
      </c>
      <c r="C64" s="60">
        <v>2</v>
      </c>
      <c r="D64" s="60">
        <f>21+21</f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157+21+21</f>
        <v>199</v>
      </c>
      <c r="C65" s="60">
        <v>3</v>
      </c>
      <c r="D65" s="60">
        <f t="shared" ref="D65:D70" si="2">21+21</f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193+21+21</f>
        <v>235</v>
      </c>
      <c r="C66" s="60">
        <v>4</v>
      </c>
      <c r="D66" s="60">
        <f t="shared" si="2"/>
        <v>42</v>
      </c>
      <c r="E66" s="51"/>
      <c r="F66" s="51"/>
      <c r="G66" s="51"/>
      <c r="H66" s="51"/>
      <c r="I66" s="49">
        <f t="shared" ref="I66:I81" si="3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221+21+21</f>
        <v>263</v>
      </c>
      <c r="C67" s="60">
        <v>5</v>
      </c>
      <c r="D67" s="60">
        <f t="shared" si="2"/>
        <v>42</v>
      </c>
      <c r="E67" s="51"/>
      <c r="F67" s="51"/>
      <c r="G67" s="51"/>
      <c r="H67" s="51"/>
      <c r="I67" s="49">
        <f t="shared" si="3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240+21+21</f>
        <v>282</v>
      </c>
      <c r="C68" s="60">
        <v>6</v>
      </c>
      <c r="D68" s="60">
        <f t="shared" si="2"/>
        <v>42</v>
      </c>
      <c r="E68" s="51"/>
      <c r="F68" s="51"/>
      <c r="G68" s="51"/>
      <c r="H68" s="51"/>
      <c r="I68" s="49">
        <f t="shared" si="3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254+21+21</f>
        <v>296</v>
      </c>
      <c r="C69" s="50">
        <v>7</v>
      </c>
      <c r="D69" s="50">
        <f t="shared" si="2"/>
        <v>42</v>
      </c>
      <c r="E69" s="51"/>
      <c r="F69" s="51"/>
      <c r="G69" s="51"/>
      <c r="H69" s="51"/>
      <c r="I69" s="49">
        <f t="shared" si="3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261+21+21</f>
        <v>303</v>
      </c>
      <c r="C70" s="50">
        <v>8</v>
      </c>
      <c r="D70" s="50">
        <f t="shared" si="2"/>
        <v>42</v>
      </c>
      <c r="E70" s="51"/>
      <c r="F70" s="51"/>
      <c r="G70" s="51"/>
      <c r="H70" s="51"/>
      <c r="I70" s="49">
        <f t="shared" si="3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f>266+20+19</f>
        <v>305</v>
      </c>
      <c r="C71" s="50">
        <v>9</v>
      </c>
      <c r="D71" s="50">
        <f>20+19</f>
        <v>39</v>
      </c>
      <c r="E71" s="51"/>
      <c r="F71" s="51"/>
      <c r="G71" s="51"/>
      <c r="H71" s="51"/>
      <c r="I71" s="49">
        <f t="shared" si="3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f>268+17+18</f>
        <v>303</v>
      </c>
      <c r="C72" s="50">
        <v>10</v>
      </c>
      <c r="D72" s="50">
        <f>B72</f>
        <v>303</v>
      </c>
      <c r="E72" s="51"/>
      <c r="F72" s="51"/>
      <c r="G72" s="51"/>
      <c r="H72" s="51"/>
      <c r="I72" s="49">
        <f t="shared" si="3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hybride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36</v>
      </c>
      <c r="C88" s="60"/>
      <c r="D88" s="60">
        <v>0</v>
      </c>
      <c r="E88" s="51"/>
      <c r="F88" s="51"/>
      <c r="G88" s="51"/>
      <c r="H88" s="87"/>
      <c r="I88" s="53">
        <f>IFERROR(B88/A88,"")</f>
        <v>3.6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177</v>
      </c>
      <c r="C89" s="60">
        <v>1</v>
      </c>
      <c r="D89" s="60">
        <f>39+42</f>
        <v>81</v>
      </c>
      <c r="E89" s="51"/>
      <c r="F89" s="51">
        <v>0.5</v>
      </c>
      <c r="G89" s="51">
        <v>0.5</v>
      </c>
      <c r="H89" s="87"/>
      <c r="I89" s="53">
        <f t="shared" ref="I89:I107" si="4">IF(A89&lt;&gt;0,(B89-(B88-D88))/(A89-A88),"")</f>
        <v>14.1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260</v>
      </c>
      <c r="C90" s="60">
        <v>2</v>
      </c>
      <c r="D90" s="60">
        <f>42+42</f>
        <v>84</v>
      </c>
      <c r="E90" s="87">
        <v>0.2</v>
      </c>
      <c r="F90" s="87">
        <v>0.4</v>
      </c>
      <c r="G90" s="87">
        <v>0.4</v>
      </c>
      <c r="H90" s="87"/>
      <c r="I90" s="53">
        <f t="shared" si="4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314</v>
      </c>
      <c r="C91" s="60">
        <v>3</v>
      </c>
      <c r="D91" s="60">
        <f>42+38</f>
        <v>80</v>
      </c>
      <c r="E91" s="87"/>
      <c r="F91" s="87"/>
      <c r="G91" s="87"/>
      <c r="H91" s="87"/>
      <c r="I91" s="53">
        <f t="shared" si="4"/>
        <v>13.8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349</v>
      </c>
      <c r="C92" s="60">
        <v>4</v>
      </c>
      <c r="D92" s="60">
        <f>34+31</f>
        <v>65</v>
      </c>
      <c r="E92" s="87"/>
      <c r="F92" s="87"/>
      <c r="G92" s="87"/>
      <c r="H92" s="87"/>
      <c r="I92" s="53">
        <f t="shared" si="4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382</v>
      </c>
      <c r="C93" s="60">
        <v>5</v>
      </c>
      <c r="D93" s="60">
        <f>29+27</f>
        <v>56</v>
      </c>
      <c r="E93" s="87"/>
      <c r="F93" s="87"/>
      <c r="G93" s="87"/>
      <c r="H93" s="87"/>
      <c r="I93" s="53">
        <f t="shared" si="4"/>
        <v>9.8000000000000007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411</v>
      </c>
      <c r="C94" s="60">
        <v>6</v>
      </c>
      <c r="D94" s="60">
        <f>26+26</f>
        <v>52</v>
      </c>
      <c r="E94" s="87"/>
      <c r="F94" s="87"/>
      <c r="G94" s="87"/>
      <c r="H94" s="87"/>
      <c r="I94" s="53">
        <f t="shared" si="4"/>
        <v>8.5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f>381+26+26</f>
        <v>433</v>
      </c>
      <c r="C95" s="60">
        <v>7</v>
      </c>
      <c r="D95" s="60">
        <f>B95</f>
        <v>433</v>
      </c>
      <c r="E95" s="87"/>
      <c r="F95" s="87"/>
      <c r="G95" s="87"/>
      <c r="H95" s="87"/>
      <c r="I95" s="53">
        <f t="shared" si="4"/>
        <v>7.4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326.31232746914907</v>
      </c>
      <c r="T3" s="59">
        <f>IF('Données projet'!E9&gt;30,$R$33-$H$33,LOOKUP('Données projet'!$E$9,$A$3:$A$203,R3:R203)-LOOKUP('Données projet'!$E$9,$A$3:$A$203,$H$3:$H$203))</f>
        <v>330.17137761430297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237.22177246688199</v>
      </c>
      <c r="AO3" s="59">
        <f>IF('Données projet'!E10&gt;30,$AM$33-$H$33,LOOKUP('Données projet'!$E$10,$A$3:$A$203,AM3:AM203)-LOOKUP('Données projet'!$E$10,$A$3:$A$203,$H$3:$H$203))</f>
        <v>149.27472147904302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210.04871822652808</v>
      </c>
      <c r="BJ3" s="59">
        <f>IF('Données projet'!E11&gt;30,$BH$33-$H$33,LOOKUP('Données projet'!$E$11,$A$3:$A$203,BH3:BH203)-LOOKUP('Données projet'!$E$11,$A$3:$A$203,$H$3:$H$203))</f>
        <v>250.17540614049324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1.2820888539868154</v>
      </c>
      <c r="O4" s="13">
        <f>N4*VLOOKUP('Données projet'!$B$9,Paramètres!$A$1:$I$89,3,0)*VLOOKUP('Données projet'!$B$9,Paramètres!$A$1:$I$89,5,0)</f>
        <v>0.71668766937862982</v>
      </c>
      <c r="P4" s="13">
        <f>EXP(-1.0587+0.8836*LN(O4)+0.284)</f>
        <v>0.3433377788328647</v>
      </c>
      <c r="Q4" s="20">
        <f t="shared" ref="Q4:Q34" si="2">(O4+P4)*0.475*44/12</f>
        <v>1.8462109889683529</v>
      </c>
      <c r="R4" s="59">
        <f t="shared" si="0"/>
        <v>295.17954432230169</v>
      </c>
      <c r="S4" s="59">
        <f ca="1">AVERAGE(OFFSET($R$3,0,0,'Données projet'!$E$9+1,1))-AVERAGE(OFFSET($H$3,0,0,'Données projet'!$E$9+1,1))</f>
        <v>326.31232746914907</v>
      </c>
      <c r="T4" s="59">
        <f>$T$3</f>
        <v>330.17137761430297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1.0907244698905405</v>
      </c>
      <c r="AK4" s="13">
        <f>EXP(-1.0587+0.8836*LN(AJ4)+0.284)</f>
        <v>0.49759623852608204</v>
      </c>
      <c r="AL4" s="20">
        <f t="shared" ref="AL4:AL67" si="4">(AJ4+AK4)*0.475*44/12</f>
        <v>2.7663252338256172</v>
      </c>
      <c r="AM4" s="59">
        <f t="shared" ref="AM4:AM67" si="5">AL4+(AD4+AE4)*44/12</f>
        <v>296.09965856715894</v>
      </c>
      <c r="AN4" s="59">
        <f ca="1">AVERAGE(OFFSET($AM$3,0,0,'Données projet'!$E$10+1,1))-AVERAGE(OFFSET($H$3,0,0,'Données projet'!$E$10+1,1))</f>
        <v>237.22177246688199</v>
      </c>
      <c r="AO4" s="59">
        <f>$AO$3</f>
        <v>149.27472147904302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</v>
      </c>
      <c r="BD4" s="12">
        <f>IF('Données projet'!$A$88&gt;35,BD3+BC4-BL3,IF(A4&lt;'Données projet'!$A$88,$BA$205^A4,IF(A4='Données projet'!$A$88,'Données projet'!$B$88,BD3+BC4-BL3)))</f>
        <v>1.4309690811052556</v>
      </c>
      <c r="BE4" s="13">
        <f>BD4*VLOOKUP('Données projet'!$B$11,Paramètres!$A$1:$I$89,3,0)*VLOOKUP('Données projet'!$B$11,Paramètres!$A$1:$I$89,5,0)</f>
        <v>0.78130911828346949</v>
      </c>
      <c r="BF4" s="13">
        <f>EXP(-1.0587+0.8836*LN(BE4)+0.284)</f>
        <v>0.37055303350010543</v>
      </c>
      <c r="BG4" s="20">
        <f t="shared" ref="BG4:BG67" si="7">(BE4+BF4)*0.475*44/12</f>
        <v>2.0061599143563931</v>
      </c>
      <c r="BH4" s="59">
        <f t="shared" ref="BH4:BH67" si="8">BG4+(AY4+AZ4)*44/12</f>
        <v>295.33949324768969</v>
      </c>
      <c r="BI4" s="59">
        <f ca="1">AVERAGE(OFFSET($BH$3,0,0,'Données projet'!$E$11+1,1))-AVERAGE(OFFSET($H$3,0,0,'Données projet'!$E$11+1,1))</f>
        <v>210.04871822652808</v>
      </c>
      <c r="BJ4" s="59">
        <f>$BJ$3</f>
        <v>250.17540614049324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1.6437518295172255</v>
      </c>
      <c r="O5" s="13">
        <f>N5*VLOOKUP('Données projet'!$B$9,Paramètres!$A$1:$I$89,3,0)*VLOOKUP('Données projet'!$B$9,Paramètres!$A$1:$I$89,5,0)</f>
        <v>0.91885727270012907</v>
      </c>
      <c r="P5" s="13">
        <f t="shared" ref="P5:P68" si="33">EXP(-1.0587+0.8836*LN(O5)+0.284)</f>
        <v>0.4276397314244611</v>
      </c>
      <c r="Q5" s="20">
        <f t="shared" si="2"/>
        <v>2.3451489488503281</v>
      </c>
      <c r="R5" s="59">
        <f t="shared" si="0"/>
        <v>295.67848228218367</v>
      </c>
      <c r="S5" s="59">
        <f ca="1">AVERAGE(OFFSET($R$3,0,0,'Données projet'!$E$9+1,1))-AVERAGE(OFFSET($H$3,0,0,'Données projet'!$E$9+1,1))</f>
        <v>326.31232746914907</v>
      </c>
      <c r="T5" s="59">
        <f t="shared" ref="T5:T68" si="34">$T$3</f>
        <v>330.17137761430297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1.3148539668633961</v>
      </c>
      <c r="AK5" s="13">
        <f t="shared" ref="AK5:AK68" si="35">EXP(-1.0587+0.8836*LN(AJ5)+0.284)</f>
        <v>0.58693801963664449</v>
      </c>
      <c r="AL5" s="20">
        <f t="shared" si="4"/>
        <v>3.3122877098209038</v>
      </c>
      <c r="AM5" s="59">
        <f t="shared" si="5"/>
        <v>296.64562104315422</v>
      </c>
      <c r="AN5" s="59">
        <f ca="1">AVERAGE(OFFSET($AM$3,0,0,'Données projet'!$E$10+1,1))-AVERAGE(OFFSET($H$3,0,0,'Données projet'!$E$10+1,1))</f>
        <v>237.22177246688199</v>
      </c>
      <c r="AO5" s="59">
        <f t="shared" ref="AO5:AO68" si="36">$AO$3</f>
        <v>149.27472147904302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</v>
      </c>
      <c r="BD5" s="12">
        <f>IF('Données projet'!$A$88&gt;35,BD4+BC5-BL4,IF(A5&lt;'Données projet'!$A$88,$BA$205^A5,IF(A5='Données projet'!$A$88,'Données projet'!$B$88,BD4+BC5-BL4)))</f>
        <v>2.0476725110792193</v>
      </c>
      <c r="BE5" s="13">
        <f>BD5*VLOOKUP('Données projet'!$B$11,Paramètres!$A$1:$I$89,3,0)*VLOOKUP('Données projet'!$B$11,Paramètres!$A$1:$I$89,5,0)</f>
        <v>1.1180291910492537</v>
      </c>
      <c r="BF5" s="13">
        <f t="shared" ref="BF5:BF68" si="37">EXP(-1.0587+0.8836*LN(BE5)+0.284)</f>
        <v>0.50858700810998547</v>
      </c>
      <c r="BG5" s="20">
        <f t="shared" si="7"/>
        <v>2.8330232135356752</v>
      </c>
      <c r="BH5" s="59">
        <f t="shared" si="8"/>
        <v>296.166356546869</v>
      </c>
      <c r="BI5" s="59">
        <f ca="1">AVERAGE(OFFSET($BH$3,0,0,'Données projet'!$E$11+1,1))-AVERAGE(OFFSET($H$3,0,0,'Données projet'!$E$11+1,1))</f>
        <v>210.04871822652808</v>
      </c>
      <c r="BJ5" s="59">
        <f t="shared" ref="BJ5:BJ68" si="38">$BJ$3</f>
        <v>250.17540614049324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2.1074358993444706</v>
      </c>
      <c r="O6" s="13">
        <f>N6*VLOOKUP('Données projet'!$B$9,Paramètres!$A$1:$I$89,3,0)*VLOOKUP('Données projet'!$B$9,Paramètres!$A$1:$I$89,5,0)</f>
        <v>1.1780566677335591</v>
      </c>
      <c r="P6" s="13">
        <f t="shared" si="33"/>
        <v>0.532640889430954</v>
      </c>
      <c r="Q6" s="20">
        <f t="shared" si="2"/>
        <v>2.9794649120615269</v>
      </c>
      <c r="R6" s="59">
        <f t="shared" si="0"/>
        <v>296.31279824539484</v>
      </c>
      <c r="S6" s="59">
        <f ca="1">AVERAGE(OFFSET($R$3,0,0,'Données projet'!$E$9+1,1))-AVERAGE(OFFSET($H$3,0,0,'Données projet'!$E$9+1,1))</f>
        <v>326.31232746914907</v>
      </c>
      <c r="T6" s="59">
        <f t="shared" si="34"/>
        <v>330.17137761430297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1.5850391202371266</v>
      </c>
      <c r="AK6" s="13">
        <f t="shared" si="35"/>
        <v>0.69232082604846479</v>
      </c>
      <c r="AL6" s="20">
        <f t="shared" si="4"/>
        <v>3.966401906447405</v>
      </c>
      <c r="AM6" s="59">
        <f t="shared" si="5"/>
        <v>297.29973523978072</v>
      </c>
      <c r="AN6" s="59">
        <f ca="1">AVERAGE(OFFSET($AM$3,0,0,'Données projet'!$E$10+1,1))-AVERAGE(OFFSET($H$3,0,0,'Données projet'!$E$10+1,1))</f>
        <v>237.22177246688199</v>
      </c>
      <c r="AO6" s="59">
        <f t="shared" si="36"/>
        <v>149.27472147904302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</v>
      </c>
      <c r="BD6" s="12">
        <f>IF('Données projet'!$A$88&gt;35,BD5+BC6-BL5,IF(A6&lt;'Données projet'!$A$88,$BA$205^A6,IF(A6='Données projet'!$A$88,'Données projet'!$B$88,BD5+BC6-BL5)))</f>
        <v>2.9301560515835217</v>
      </c>
      <c r="BE6" s="13">
        <f>BD6*VLOOKUP('Données projet'!$B$11,Paramètres!$A$1:$I$89,3,0)*VLOOKUP('Données projet'!$B$11,Paramètres!$A$1:$I$89,5,0)</f>
        <v>1.5998652041646029</v>
      </c>
      <c r="BF6" s="13">
        <f t="shared" si="37"/>
        <v>0.6980397444734262</v>
      </c>
      <c r="BG6" s="20">
        <f t="shared" si="7"/>
        <v>4.0021844522112344</v>
      </c>
      <c r="BH6" s="59">
        <f t="shared" si="8"/>
        <v>297.33551778554454</v>
      </c>
      <c r="BI6" s="59">
        <f ca="1">AVERAGE(OFFSET($BH$3,0,0,'Données projet'!$E$11+1,1))-AVERAGE(OFFSET($H$3,0,0,'Données projet'!$E$11+1,1))</f>
        <v>210.04871822652808</v>
      </c>
      <c r="BJ6" s="59">
        <f t="shared" si="38"/>
        <v>250.17540614049324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2.7019200770412262</v>
      </c>
      <c r="O7" s="13">
        <f>N7*VLOOKUP('Données projet'!$B$9,Paramètres!$A$1:$I$89,3,0)*VLOOKUP('Données projet'!$B$9,Paramètres!$A$1:$I$89,5,0)</f>
        <v>1.5103733230660454</v>
      </c>
      <c r="P7" s="13">
        <f t="shared" si="33"/>
        <v>0.66342366306511447</v>
      </c>
      <c r="Q7" s="20">
        <f t="shared" si="2"/>
        <v>3.786029750845104</v>
      </c>
      <c r="R7" s="59">
        <f t="shared" si="0"/>
        <v>297.11936308417842</v>
      </c>
      <c r="S7" s="59">
        <f ca="1">AVERAGE(OFFSET($R$3,0,0,'Données projet'!$E$9+1,1))-AVERAGE(OFFSET($H$3,0,0,'Données projet'!$E$9+1,1))</f>
        <v>326.31232746914907</v>
      </c>
      <c r="T7" s="59">
        <f t="shared" si="34"/>
        <v>330.17137761430297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1.9107437601419195</v>
      </c>
      <c r="AK7" s="13">
        <f t="shared" si="35"/>
        <v>0.81662477151702284</v>
      </c>
      <c r="AL7" s="20">
        <f t="shared" si="4"/>
        <v>4.7501668593059909</v>
      </c>
      <c r="AM7" s="59">
        <f t="shared" si="5"/>
        <v>298.08350019263929</v>
      </c>
      <c r="AN7" s="59">
        <f ca="1">AVERAGE(OFFSET($AM$3,0,0,'Données projet'!$E$10+1,1))-AVERAGE(OFFSET($H$3,0,0,'Données projet'!$E$10+1,1))</f>
        <v>237.22177246688199</v>
      </c>
      <c r="AO7" s="59">
        <f t="shared" si="36"/>
        <v>149.27472147904302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</v>
      </c>
      <c r="BD7" s="12">
        <f>IF('Données projet'!$A$88&gt;35,BD6+BC7-BL6,IF(A7&lt;'Données projet'!$A$88,$BA$205^A7,IF(A7='Données projet'!$A$88,'Données projet'!$B$88,BD6+BC7-BL6)))</f>
        <v>4.192962712629476</v>
      </c>
      <c r="BE7" s="13">
        <f>BD7*VLOOKUP('Données projet'!$B$11,Paramètres!$A$1:$I$89,3,0)*VLOOKUP('Données projet'!$B$11,Paramètres!$A$1:$I$89,5,0)</f>
        <v>2.2893576410956937</v>
      </c>
      <c r="BF7" s="13">
        <f t="shared" si="37"/>
        <v>0.95806514341623272</v>
      </c>
      <c r="BG7" s="20">
        <f t="shared" si="7"/>
        <v>5.6559280163582706</v>
      </c>
      <c r="BH7" s="59">
        <f t="shared" si="8"/>
        <v>298.98926134969156</v>
      </c>
      <c r="BI7" s="59">
        <f ca="1">AVERAGE(OFFSET($BH$3,0,0,'Données projet'!$E$11+1,1))-AVERAGE(OFFSET($H$3,0,0,'Données projet'!$E$11+1,1))</f>
        <v>210.04871822652808</v>
      </c>
      <c r="BJ7" s="59">
        <f t="shared" si="38"/>
        <v>250.17540614049324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3.4641016151377535</v>
      </c>
      <c r="O8" s="13">
        <f>N8*VLOOKUP('Données projet'!$B$9,Paramètres!$A$1:$I$89,3,0)*VLOOKUP('Données projet'!$B$9,Paramètres!$A$1:$I$89,5,0)</f>
        <v>1.9364328028620041</v>
      </c>
      <c r="P8" s="13">
        <f t="shared" si="33"/>
        <v>0.82631837969658639</v>
      </c>
      <c r="Q8" s="20">
        <f t="shared" si="2"/>
        <v>4.8117916429562113</v>
      </c>
      <c r="R8" s="59">
        <f t="shared" si="0"/>
        <v>298.14512497628954</v>
      </c>
      <c r="S8" s="59">
        <f ca="1">AVERAGE(OFFSET($R$3,0,0,'Données projet'!$E$9+1,1))-AVERAGE(OFFSET($H$3,0,0,'Données projet'!$E$9+1,1))</f>
        <v>326.31232746914907</v>
      </c>
      <c r="T8" s="59">
        <f t="shared" si="34"/>
        <v>330.17137761430297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2.3033764090157529</v>
      </c>
      <c r="AK8" s="13">
        <f t="shared" si="35"/>
        <v>0.96324708482559218</v>
      </c>
      <c r="AL8" s="20">
        <f t="shared" si="4"/>
        <v>5.6893692517736758</v>
      </c>
      <c r="AM8" s="59">
        <f t="shared" si="5"/>
        <v>299.02270258510697</v>
      </c>
      <c r="AN8" s="59">
        <f ca="1">AVERAGE(OFFSET($AM$3,0,0,'Données projet'!$E$10+1,1))-AVERAGE(OFFSET($H$3,0,0,'Données projet'!$E$10+1,1))</f>
        <v>237.22177246688199</v>
      </c>
      <c r="AO8" s="59">
        <f t="shared" si="36"/>
        <v>149.27472147904302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</v>
      </c>
      <c r="BD8" s="12">
        <f>IF('Données projet'!$A$88&gt;35,BD7+BC8-BL7,IF(A8&lt;'Données projet'!$A$88,$BA$205^A8,IF(A8='Données projet'!$A$88,'Données projet'!$B$88,BD7+BC8-BL7)))</f>
        <v>6.0000000000000009</v>
      </c>
      <c r="BE8" s="13">
        <f>BD8*VLOOKUP('Données projet'!$B$11,Paramètres!$A$1:$I$89,3,0)*VLOOKUP('Données projet'!$B$11,Paramètres!$A$1:$I$89,5,0)</f>
        <v>3.2760000000000007</v>
      </c>
      <c r="BF8" s="13">
        <f t="shared" si="37"/>
        <v>1.3149520873221716</v>
      </c>
      <c r="BG8" s="20">
        <f t="shared" si="7"/>
        <v>7.9959082187527839</v>
      </c>
      <c r="BH8" s="59">
        <f t="shared" si="8"/>
        <v>301.3292415520861</v>
      </c>
      <c r="BI8" s="59">
        <f ca="1">AVERAGE(OFFSET($BH$3,0,0,'Données projet'!$E$11+1,1))-AVERAGE(OFFSET($H$3,0,0,'Données projet'!$E$11+1,1))</f>
        <v>210.04871822652808</v>
      </c>
      <c r="BJ8" s="59">
        <f t="shared" si="38"/>
        <v>250.17540614049324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4.4412860698458383</v>
      </c>
      <c r="O9" s="13">
        <f>N9*VLOOKUP('Données projet'!$B$9,Paramètres!$A$1:$I$89,3,0)*VLOOKUP('Données projet'!$B$9,Paramètres!$A$1:$I$89,5,0)</f>
        <v>2.4826789130438236</v>
      </c>
      <c r="P9" s="13">
        <f t="shared" si="33"/>
        <v>1.0292096930485513</v>
      </c>
      <c r="Q9" s="20">
        <f t="shared" si="2"/>
        <v>6.1165393222775526</v>
      </c>
      <c r="R9" s="59">
        <f t="shared" si="0"/>
        <v>299.44987265561087</v>
      </c>
      <c r="S9" s="59">
        <f ca="1">AVERAGE(OFFSET($R$3,0,0,'Données projet'!$E$9+1,1))-AVERAGE(OFFSET($H$3,0,0,'Données projet'!$E$9+1,1))</f>
        <v>326.31232746914907</v>
      </c>
      <c r="T9" s="59">
        <f t="shared" si="34"/>
        <v>330.17137761430297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2.7766898902321886</v>
      </c>
      <c r="AK9" s="13">
        <f t="shared" si="35"/>
        <v>1.1361949561012803</v>
      </c>
      <c r="AL9" s="20">
        <f t="shared" si="4"/>
        <v>6.8149411073641248</v>
      </c>
      <c r="AM9" s="59">
        <f t="shared" si="5"/>
        <v>300.14827444069743</v>
      </c>
      <c r="AN9" s="59">
        <f ca="1">AVERAGE(OFFSET($AM$3,0,0,'Données projet'!$E$10+1,1))-AVERAGE(OFFSET($H$3,0,0,'Données projet'!$E$10+1,1))</f>
        <v>237.22177246688199</v>
      </c>
      <c r="AO9" s="59">
        <f t="shared" si="36"/>
        <v>149.27472147904302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</v>
      </c>
      <c r="BD9" s="12">
        <f>IF('Données projet'!$A$88&gt;35,BD8+BC9-BL8,IF(A9&lt;'Données projet'!$A$88,$BA$205^A9,IF(A9='Données projet'!$A$88,'Données projet'!$B$88,BD8+BC9-BL8)))</f>
        <v>8.5858144866315342</v>
      </c>
      <c r="BE9" s="13">
        <f>BD9*VLOOKUP('Données projet'!$B$11,Paramètres!$A$1:$I$89,3,0)*VLOOKUP('Données projet'!$B$11,Paramètres!$A$1:$I$89,5,0)</f>
        <v>4.6878547097008179</v>
      </c>
      <c r="BF9" s="13">
        <f t="shared" si="37"/>
        <v>1.8047822779434171</v>
      </c>
      <c r="BG9" s="20">
        <f t="shared" si="7"/>
        <v>11.308009420147043</v>
      </c>
      <c r="BH9" s="59">
        <f t="shared" si="8"/>
        <v>304.64134275348033</v>
      </c>
      <c r="BI9" s="59">
        <f ca="1">AVERAGE(OFFSET($BH$3,0,0,'Données projet'!$E$11+1,1))-AVERAGE(OFFSET($H$3,0,0,'Données projet'!$E$11+1,1))</f>
        <v>210.04871822652808</v>
      </c>
      <c r="BJ9" s="59">
        <f t="shared" si="38"/>
        <v>250.17540614049324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5.6941233675162577</v>
      </c>
      <c r="O10" s="13">
        <f>N10*VLOOKUP('Données projet'!$B$9,Paramètres!$A$1:$I$89,3,0)*VLOOKUP('Données projet'!$B$9,Paramètres!$A$1:$I$89,5,0)</f>
        <v>3.1830149624415882</v>
      </c>
      <c r="P10" s="13">
        <f t="shared" si="33"/>
        <v>1.2819182270325931</v>
      </c>
      <c r="Q10" s="20">
        <f t="shared" si="2"/>
        <v>7.776425305000866</v>
      </c>
      <c r="R10" s="59">
        <f t="shared" si="0"/>
        <v>301.1097586383342</v>
      </c>
      <c r="S10" s="59">
        <f ca="1">AVERAGE(OFFSET($R$3,0,0,'Données projet'!$E$9+1,1))-AVERAGE(OFFSET($H$3,0,0,'Données projet'!$E$9+1,1))</f>
        <v>326.31232746914907</v>
      </c>
      <c r="T10" s="59">
        <f t="shared" si="34"/>
        <v>330.17137761430297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3.3472630510321921</v>
      </c>
      <c r="AK10" s="13">
        <f t="shared" si="35"/>
        <v>1.34019505338418</v>
      </c>
      <c r="AL10" s="20">
        <f t="shared" si="4"/>
        <v>8.1639895318585136</v>
      </c>
      <c r="AM10" s="59">
        <f t="shared" si="5"/>
        <v>301.49732286519185</v>
      </c>
      <c r="AN10" s="59">
        <f ca="1">AVERAGE(OFFSET($AM$3,0,0,'Données projet'!$E$10+1,1))-AVERAGE(OFFSET($H$3,0,0,'Données projet'!$E$10+1,1))</f>
        <v>237.22177246688199</v>
      </c>
      <c r="AO10" s="59">
        <f t="shared" si="36"/>
        <v>149.27472147904302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</v>
      </c>
      <c r="BD10" s="12">
        <f>IF('Données projet'!$A$88&gt;35,BD9+BC10-BL9,IF(A10&lt;'Données projet'!$A$88,$BA$205^A10,IF(A10='Données projet'!$A$88,'Données projet'!$B$88,BD9+BC10-BL9)))</f>
        <v>12.286035066475318</v>
      </c>
      <c r="BE10" s="13">
        <f>BD10*VLOOKUP('Données projet'!$B$11,Paramètres!$A$1:$I$89,3,0)*VLOOKUP('Données projet'!$B$11,Paramètres!$A$1:$I$89,5,0)</f>
        <v>6.708175146295523</v>
      </c>
      <c r="BF10" s="13">
        <f t="shared" si="37"/>
        <v>2.4770781400954469</v>
      </c>
      <c r="BG10" s="20">
        <f t="shared" si="7"/>
        <v>15.997649473797606</v>
      </c>
      <c r="BH10" s="59">
        <f t="shared" si="8"/>
        <v>309.33098280713091</v>
      </c>
      <c r="BI10" s="59">
        <f ca="1">AVERAGE(OFFSET($BH$3,0,0,'Données projet'!$E$11+1,1))-AVERAGE(OFFSET($H$3,0,0,'Données projet'!$E$11+1,1))</f>
        <v>210.04871822652808</v>
      </c>
      <c r="BJ10" s="59">
        <f t="shared" si="38"/>
        <v>250.17540614049324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7.3003721027184652</v>
      </c>
      <c r="O11" s="13">
        <f>N11*VLOOKUP('Données projet'!$B$9,Paramètres!$A$1:$I$89,3,0)*VLOOKUP('Données projet'!$B$9,Paramètres!$A$1:$I$89,5,0)</f>
        <v>4.0809080054196221</v>
      </c>
      <c r="P11" s="13">
        <f t="shared" si="33"/>
        <v>1.5966759270706423</v>
      </c>
      <c r="Q11" s="20">
        <f t="shared" si="2"/>
        <v>9.8884586824205432</v>
      </c>
      <c r="R11" s="59">
        <f t="shared" si="0"/>
        <v>303.22179201575386</v>
      </c>
      <c r="S11" s="59">
        <f ca="1">AVERAGE(OFFSET($R$3,0,0,'Données projet'!$E$9+1,1))-AVERAGE(OFFSET($H$3,0,0,'Données projet'!$E$9+1,1))</f>
        <v>326.31232746914907</v>
      </c>
      <c r="T11" s="59">
        <f t="shared" si="34"/>
        <v>330.17137761430297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4.0350814731667564</v>
      </c>
      <c r="AK11" s="13">
        <f t="shared" si="35"/>
        <v>1.5808227025391921</v>
      </c>
      <c r="AL11" s="20">
        <f t="shared" si="4"/>
        <v>9.7810331060211926</v>
      </c>
      <c r="AM11" s="59">
        <f t="shared" si="5"/>
        <v>303.11436643935451</v>
      </c>
      <c r="AN11" s="59">
        <f ca="1">AVERAGE(OFFSET($AM$3,0,0,'Données projet'!$E$10+1,1))-AVERAGE(OFFSET($H$3,0,0,'Données projet'!$E$10+1,1))</f>
        <v>237.22177246688199</v>
      </c>
      <c r="AO11" s="59">
        <f t="shared" si="36"/>
        <v>149.27472147904302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</v>
      </c>
      <c r="BD11" s="12">
        <f>IF('Données projet'!$A$88&gt;35,BD10+BC11-BL10,IF(A11&lt;'Données projet'!$A$88,$BA$205^A11,IF(A11='Données projet'!$A$88,'Données projet'!$B$88,BD10+BC11-BL10)))</f>
        <v>17.580936309501134</v>
      </c>
      <c r="BE11" s="13">
        <f>BD11*VLOOKUP('Données projet'!$B$11,Paramètres!$A$1:$I$89,3,0)*VLOOKUP('Données projet'!$B$11,Paramètres!$A$1:$I$89,5,0)</f>
        <v>9.599191224987619</v>
      </c>
      <c r="BF11" s="13">
        <f t="shared" si="37"/>
        <v>3.3998095987127641</v>
      </c>
      <c r="BG11" s="20">
        <f t="shared" si="7"/>
        <v>22.6399264346115</v>
      </c>
      <c r="BH11" s="59">
        <f t="shared" si="8"/>
        <v>315.9732597679448</v>
      </c>
      <c r="BI11" s="59">
        <f ca="1">AVERAGE(OFFSET($BH$3,0,0,'Données projet'!$E$11+1,1))-AVERAGE(OFFSET($H$3,0,0,'Données projet'!$E$11+1,1))</f>
        <v>210.04871822652808</v>
      </c>
      <c r="BJ11" s="59">
        <f t="shared" si="38"/>
        <v>250.17540614049324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9.3597257028516339</v>
      </c>
      <c r="O12" s="13">
        <f>N12*VLOOKUP('Données projet'!$B$9,Paramètres!$A$1:$I$89,3,0)*VLOOKUP('Données projet'!$B$9,Paramètres!$A$1:$I$89,5,0)</f>
        <v>5.2320866678940634</v>
      </c>
      <c r="P12" s="13">
        <f t="shared" si="33"/>
        <v>1.9887181275113242</v>
      </c>
      <c r="Q12" s="20">
        <f t="shared" si="2"/>
        <v>12.576235018664383</v>
      </c>
      <c r="R12" s="59">
        <f t="shared" si="0"/>
        <v>305.90956835199768</v>
      </c>
      <c r="S12" s="59">
        <f ca="1">AVERAGE(OFFSET($R$3,0,0,'Données projet'!$E$9+1,1))-AVERAGE(OFFSET($H$3,0,0,'Données projet'!$E$9+1,1))</f>
        <v>326.31232746914907</v>
      </c>
      <c r="T12" s="59">
        <f t="shared" si="34"/>
        <v>330.17137761430297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4.8642375119197085</v>
      </c>
      <c r="AK12" s="13">
        <f t="shared" si="35"/>
        <v>1.8646542609995393</v>
      </c>
      <c r="AL12" s="20">
        <f t="shared" si="4"/>
        <v>11.719486504501022</v>
      </c>
      <c r="AM12" s="59">
        <f t="shared" si="5"/>
        <v>305.05281983783436</v>
      </c>
      <c r="AN12" s="59">
        <f ca="1">AVERAGE(OFFSET($AM$3,0,0,'Données projet'!$E$10+1,1))-AVERAGE(OFFSET($H$3,0,0,'Données projet'!$E$10+1,1))</f>
        <v>237.22177246688199</v>
      </c>
      <c r="AO12" s="59">
        <f t="shared" si="36"/>
        <v>149.27472147904302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</v>
      </c>
      <c r="BD12" s="12">
        <f>IF('Données projet'!$A$88&gt;35,BD11+BC12-BL11,IF(A12&lt;'Données projet'!$A$88,$BA$205^A12,IF(A12='Données projet'!$A$88,'Données projet'!$B$88,BD11+BC12-BL11)))</f>
        <v>25.157776275776861</v>
      </c>
      <c r="BE12" s="13">
        <f>BD12*VLOOKUP('Données projet'!$B$11,Paramètres!$A$1:$I$89,3,0)*VLOOKUP('Données projet'!$B$11,Paramètres!$A$1:$I$89,5,0)</f>
        <v>13.736145846574166</v>
      </c>
      <c r="BF12" s="13">
        <f t="shared" si="37"/>
        <v>4.6662659204824557</v>
      </c>
      <c r="BG12" s="20">
        <f t="shared" si="7"/>
        <v>32.050867160956948</v>
      </c>
      <c r="BH12" s="59">
        <f t="shared" si="8"/>
        <v>325.38420049429027</v>
      </c>
      <c r="BI12" s="59">
        <f ca="1">AVERAGE(OFFSET($BH$3,0,0,'Données projet'!$E$11+1,1))-AVERAGE(OFFSET($H$3,0,0,'Données projet'!$E$11+1,1))</f>
        <v>210.04871822652808</v>
      </c>
      <c r="BJ12" s="59">
        <f t="shared" si="38"/>
        <v>250.17540614049324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12</v>
      </c>
      <c r="L13" s="12">
        <f>VLOOKUP(A13,'Données projet'!$A$35:$I$55,9,0)</f>
        <v>1.2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12</v>
      </c>
      <c r="O13" s="13">
        <f>N13*VLOOKUP('Données projet'!$B$9,Paramètres!$A$1:$I$89,3,0)*VLOOKUP('Données projet'!$B$9,Paramètres!$A$1:$I$89,5,0)</f>
        <v>6.7080000000000002</v>
      </c>
      <c r="P13" s="13">
        <f t="shared" si="33"/>
        <v>2.477020993200687</v>
      </c>
      <c r="Q13" s="20">
        <f t="shared" si="2"/>
        <v>15.997244896491198</v>
      </c>
      <c r="R13" s="59">
        <f t="shared" si="0"/>
        <v>309.33057822982454</v>
      </c>
      <c r="S13" s="59">
        <f ca="1">AVERAGE(OFFSET($R$3,0,0,'Données projet'!$E$9+1,1))-AVERAGE(OFFSET($H$3,0,0,'Données projet'!$E$9+1,1))</f>
        <v>326.31232746914907</v>
      </c>
      <c r="T13" s="59">
        <f t="shared" si="34"/>
        <v>330.17137761430297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5.8637741839194364</v>
      </c>
      <c r="AK13" s="13">
        <f t="shared" si="35"/>
        <v>2.1994468497187687</v>
      </c>
      <c r="AL13" s="20">
        <f t="shared" si="4"/>
        <v>14.043443300253207</v>
      </c>
      <c r="AM13" s="59">
        <f t="shared" si="5"/>
        <v>307.37677663358653</v>
      </c>
      <c r="AN13" s="59">
        <f ca="1">AVERAGE(OFFSET($AM$3,0,0,'Données projet'!$E$10+1,1))-AVERAGE(OFFSET($H$3,0,0,'Données projet'!$E$10+1,1))</f>
        <v>237.22177246688199</v>
      </c>
      <c r="AO13" s="59">
        <f t="shared" si="36"/>
        <v>149.27472147904302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36</v>
      </c>
      <c r="BB13" s="12">
        <f>VLOOKUP(A13,'Données projet'!$A$87:$I$107,9,0)</f>
        <v>3.6</v>
      </c>
      <c r="BC13" s="12">
        <f t="array" ref="BC13">INDEX(BB:BB,MIN(IF(ISNUMBER(BB13:BB209),ROW(BB13:BB209),"")))</f>
        <v>3.6</v>
      </c>
      <c r="BD13" s="12">
        <f>IF('Données projet'!$A$88&gt;35,BD12+BC13-BL12,IF(A13&lt;'Données projet'!$A$88,$BA$205^A13,IF(A13='Données projet'!$A$88,'Données projet'!$B$88,BD12+BC13-BL12)))</f>
        <v>36</v>
      </c>
      <c r="BE13" s="13">
        <f>BD13*VLOOKUP('Données projet'!$B$11,Paramètres!$A$1:$I$89,3,0)*VLOOKUP('Données projet'!$B$11,Paramètres!$A$1:$I$89,5,0)</f>
        <v>19.655999999999999</v>
      </c>
      <c r="BF13" s="13">
        <f t="shared" si="37"/>
        <v>6.4044873715575275</v>
      </c>
      <c r="BG13" s="20">
        <f t="shared" si="7"/>
        <v>45.388682172129364</v>
      </c>
      <c r="BH13" s="59">
        <f t="shared" si="8"/>
        <v>338.72201550546265</v>
      </c>
      <c r="BI13" s="59">
        <f ca="1">AVERAGE(OFFSET($BH$3,0,0,'Données projet'!$E$11+1,1))-AVERAGE(OFFSET($H$3,0,0,'Données projet'!$E$11+1,1))</f>
        <v>210.04871822652808</v>
      </c>
      <c r="BJ13" s="59">
        <f t="shared" si="38"/>
        <v>250.17540614049324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15</v>
      </c>
      <c r="N14" s="13">
        <f>IF('Données projet'!$A$36&gt;35,N13+M14-V13,IF(A14&lt;'Données projet'!$A$36,$K$205^A14,IF(A14='Données projet'!$A$36,'Données projet'!$B$36,N13+M14-V13)))</f>
        <v>27</v>
      </c>
      <c r="O14" s="13">
        <f>N14*VLOOKUP('Données projet'!$B$9,Paramètres!$A$1:$I$89,3,0)*VLOOKUP('Données projet'!$B$9,Paramètres!$A$1:$I$89,5,0)</f>
        <v>15.093</v>
      </c>
      <c r="P14" s="13">
        <f t="shared" si="33"/>
        <v>5.0712866613861207</v>
      </c>
      <c r="Q14" s="20">
        <f t="shared" si="2"/>
        <v>35.11946593524749</v>
      </c>
      <c r="R14" s="59">
        <f t="shared" si="0"/>
        <v>328.4527992685808</v>
      </c>
      <c r="S14" s="59">
        <f ca="1">AVERAGE(OFFSET($R$3,0,0,'Données projet'!$E$9+1,1))-AVERAGE(OFFSET($H$3,0,0,'Données projet'!$E$9+1,1))</f>
        <v>326.31232746914907</v>
      </c>
      <c r="T14" s="59">
        <f t="shared" si="34"/>
        <v>330.17137761430297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7.0687024627689707</v>
      </c>
      <c r="AK14" s="13">
        <f t="shared" si="35"/>
        <v>2.5943503554083325</v>
      </c>
      <c r="AL14" s="20">
        <f t="shared" si="4"/>
        <v>16.829816991658799</v>
      </c>
      <c r="AM14" s="59">
        <f t="shared" si="5"/>
        <v>310.1631503249921</v>
      </c>
      <c r="AN14" s="59">
        <f ca="1">AVERAGE(OFFSET($AM$3,0,0,'Données projet'!$E$10+1,1))-AVERAGE(OFFSET($H$3,0,0,'Données projet'!$E$10+1,1))</f>
        <v>237.22177246688199</v>
      </c>
      <c r="AO14" s="59">
        <f t="shared" si="36"/>
        <v>149.27472147904302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14.1</v>
      </c>
      <c r="BD14" s="12">
        <f>IF('Données projet'!$A$88&gt;35,BD13+BC14-BL13,IF(A14&lt;'Données projet'!$A$88,$BA$205^A14,IF(A14='Données projet'!$A$88,'Données projet'!$B$88,BD13+BC14-BL13)))</f>
        <v>50.1</v>
      </c>
      <c r="BE14" s="13">
        <f>BD14*VLOOKUP('Données projet'!$B$11,Paramètres!$A$1:$I$89,3,0)*VLOOKUP('Données projet'!$B$11,Paramètres!$A$1:$I$89,5,0)</f>
        <v>27.354600000000001</v>
      </c>
      <c r="BF14" s="13">
        <f t="shared" si="37"/>
        <v>8.5765396264451574</v>
      </c>
      <c r="BG14" s="20">
        <f t="shared" si="7"/>
        <v>62.580068182725313</v>
      </c>
      <c r="BH14" s="59">
        <f t="shared" si="8"/>
        <v>355.91340151605863</v>
      </c>
      <c r="BI14" s="59">
        <f ca="1">AVERAGE(OFFSET($BH$3,0,0,'Données projet'!$E$11+1,1))-AVERAGE(OFFSET($H$3,0,0,'Données projet'!$E$11+1,1))</f>
        <v>210.04871822652808</v>
      </c>
      <c r="BJ14" s="59">
        <f t="shared" si="38"/>
        <v>250.17540614049324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15</v>
      </c>
      <c r="N15" s="13">
        <f>IF('Données projet'!$A$36&gt;35,N14+M15-V14,IF(A15&lt;'Données projet'!$A$36,$K$205^A15,IF(A15='Données projet'!$A$36,'Données projet'!$B$36,N14+M15-V14)))</f>
        <v>42</v>
      </c>
      <c r="O15" s="13">
        <f>N15*VLOOKUP('Données projet'!$B$9,Paramètres!$A$1:$I$89,3,0)*VLOOKUP('Données projet'!$B$9,Paramètres!$A$1:$I$89,5,0)</f>
        <v>23.477999999999998</v>
      </c>
      <c r="P15" s="13">
        <f t="shared" si="33"/>
        <v>7.4932153017418202</v>
      </c>
      <c r="Q15" s="20">
        <f t="shared" si="2"/>
        <v>53.941533317200332</v>
      </c>
      <c r="R15" s="59">
        <f t="shared" si="0"/>
        <v>347.27486665053362</v>
      </c>
      <c r="S15" s="59">
        <f ca="1">AVERAGE(OFFSET($R$3,0,0,'Données projet'!$E$9+1,1))-AVERAGE(OFFSET($H$3,0,0,'Données projet'!$E$9+1,1))</f>
        <v>326.31232746914907</v>
      </c>
      <c r="T15" s="59">
        <f t="shared" si="34"/>
        <v>330.17137761430297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8.521227615514638</v>
      </c>
      <c r="AK15" s="13">
        <f t="shared" si="35"/>
        <v>3.0601574970852128</v>
      </c>
      <c r="AL15" s="20">
        <f t="shared" si="4"/>
        <v>20.170912404444739</v>
      </c>
      <c r="AM15" s="59">
        <f t="shared" si="5"/>
        <v>313.50424573777804</v>
      </c>
      <c r="AN15" s="59">
        <f ca="1">AVERAGE(OFFSET($AM$3,0,0,'Données projet'!$E$10+1,1))-AVERAGE(OFFSET($H$3,0,0,'Données projet'!$E$10+1,1))</f>
        <v>237.22177246688199</v>
      </c>
      <c r="AO15" s="59">
        <f t="shared" si="36"/>
        <v>149.27472147904302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14.1</v>
      </c>
      <c r="BD15" s="12">
        <f>IF('Données projet'!$A$88&gt;35,BD14+BC15-BL14,IF(A15&lt;'Données projet'!$A$88,$BA$205^A15,IF(A15='Données projet'!$A$88,'Données projet'!$B$88,BD14+BC15-BL14)))</f>
        <v>64.2</v>
      </c>
      <c r="BE15" s="13">
        <f>BD15*VLOOKUP('Données projet'!$B$11,Paramètres!$A$1:$I$89,3,0)*VLOOKUP('Données projet'!$B$11,Paramètres!$A$1:$I$89,5,0)</f>
        <v>35.053199999999997</v>
      </c>
      <c r="BF15" s="13">
        <f t="shared" si="37"/>
        <v>10.677594770675379</v>
      </c>
      <c r="BG15" s="20">
        <f t="shared" si="7"/>
        <v>79.64780089225961</v>
      </c>
      <c r="BH15" s="59">
        <f t="shared" si="8"/>
        <v>372.98113422559294</v>
      </c>
      <c r="BI15" s="59">
        <f ca="1">AVERAGE(OFFSET($BH$3,0,0,'Données projet'!$E$11+1,1))-AVERAGE(OFFSET($H$3,0,0,'Données projet'!$E$11+1,1))</f>
        <v>210.04871822652808</v>
      </c>
      <c r="BJ15" s="59">
        <f t="shared" si="38"/>
        <v>250.17540614049324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</v>
      </c>
      <c r="N16" s="13">
        <f>IF('Données projet'!$A$36&gt;35,N15+M16-V15,IF(A16&lt;'Données projet'!$A$36,$K$205^A16,IF(A16='Données projet'!$A$36,'Données projet'!$B$36,N15+M16-V15)))</f>
        <v>57</v>
      </c>
      <c r="O16" s="13">
        <f>N16*VLOOKUP('Données projet'!$B$9,Paramètres!$A$1:$I$89,3,0)*VLOOKUP('Données projet'!$B$9,Paramètres!$A$1:$I$89,5,0)</f>
        <v>31.863</v>
      </c>
      <c r="P16" s="13">
        <f t="shared" si="33"/>
        <v>9.8142283995824151</v>
      </c>
      <c r="Q16" s="20">
        <f t="shared" si="2"/>
        <v>72.587839462606041</v>
      </c>
      <c r="R16" s="59">
        <f t="shared" si="0"/>
        <v>365.92117279593936</v>
      </c>
      <c r="S16" s="59">
        <f ca="1">AVERAGE(OFFSET($R$3,0,0,'Données projet'!$E$9+1,1))-AVERAGE(OFFSET($H$3,0,0,'Données projet'!$E$9+1,1))</f>
        <v>326.31232746914907</v>
      </c>
      <c r="T16" s="59">
        <f t="shared" si="34"/>
        <v>330.17137761430297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10.272227535089344</v>
      </c>
      <c r="AK16" s="13">
        <f t="shared" si="35"/>
        <v>3.6095987912522753</v>
      </c>
      <c r="AL16" s="20">
        <f t="shared" si="4"/>
        <v>24.177514185044988</v>
      </c>
      <c r="AM16" s="59">
        <f t="shared" si="5"/>
        <v>317.51084751837828</v>
      </c>
      <c r="AN16" s="59">
        <f ca="1">AVERAGE(OFFSET($AM$3,0,0,'Données projet'!$E$10+1,1))-AVERAGE(OFFSET($H$3,0,0,'Données projet'!$E$10+1,1))</f>
        <v>237.22177246688199</v>
      </c>
      <c r="AO16" s="59">
        <f t="shared" si="36"/>
        <v>149.27472147904302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14.1</v>
      </c>
      <c r="BD16" s="12">
        <f>IF('Données projet'!$A$88&gt;35,BD15+BC16-BL15,IF(A16&lt;'Données projet'!$A$88,$BA$205^A16,IF(A16='Données projet'!$A$88,'Données projet'!$B$88,BD15+BC16-BL15)))</f>
        <v>78.3</v>
      </c>
      <c r="BE16" s="13">
        <f>BD16*VLOOKUP('Données projet'!$B$11,Paramètres!$A$1:$I$89,3,0)*VLOOKUP('Données projet'!$B$11,Paramètres!$A$1:$I$89,5,0)</f>
        <v>42.751799999999996</v>
      </c>
      <c r="BF16" s="13">
        <f t="shared" si="37"/>
        <v>12.725163670396148</v>
      </c>
      <c r="BG16" s="20">
        <f t="shared" si="7"/>
        <v>96.622378392606606</v>
      </c>
      <c r="BH16" s="59">
        <f t="shared" si="8"/>
        <v>389.95571172593992</v>
      </c>
      <c r="BI16" s="59">
        <f ca="1">AVERAGE(OFFSET($BH$3,0,0,'Données projet'!$E$11+1,1))-AVERAGE(OFFSET($H$3,0,0,'Données projet'!$E$11+1,1))</f>
        <v>210.04871822652808</v>
      </c>
      <c r="BJ16" s="59">
        <f t="shared" si="38"/>
        <v>250.17540614049324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</v>
      </c>
      <c r="N17" s="13">
        <f>IF('Données projet'!$A$36&gt;35,N16+M17-V16,IF(A17&lt;'Données projet'!$A$36,$K$205^A17,IF(A17='Données projet'!$A$36,'Données projet'!$B$36,N16+M17-V16)))</f>
        <v>72</v>
      </c>
      <c r="O17" s="13">
        <f>N17*VLOOKUP('Données projet'!$B$9,Paramètres!$A$1:$I$89,3,0)*VLOOKUP('Données projet'!$B$9,Paramètres!$A$1:$I$89,5,0)</f>
        <v>40.248000000000005</v>
      </c>
      <c r="P17" s="13">
        <f t="shared" si="33"/>
        <v>12.064355669675363</v>
      </c>
      <c r="Q17" s="20">
        <f t="shared" si="2"/>
        <v>91.110686124684605</v>
      </c>
      <c r="R17" s="59">
        <f t="shared" si="0"/>
        <v>384.44401945801792</v>
      </c>
      <c r="S17" s="59">
        <f ca="1">AVERAGE(OFFSET($R$3,0,0,'Données projet'!$E$9+1,1))-AVERAGE(OFFSET($H$3,0,0,'Données projet'!$E$9+1,1))</f>
        <v>326.31232746914907</v>
      </c>
      <c r="T17" s="59">
        <f t="shared" si="34"/>
        <v>330.17137761430297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12.383034850580612</v>
      </c>
      <c r="AK17" s="13">
        <f t="shared" si="35"/>
        <v>4.2576904771143838</v>
      </c>
      <c r="AL17" s="20">
        <f t="shared" si="4"/>
        <v>28.982596612402116</v>
      </c>
      <c r="AM17" s="59">
        <f t="shared" si="5"/>
        <v>322.31592994573543</v>
      </c>
      <c r="AN17" s="59">
        <f ca="1">AVERAGE(OFFSET($AM$3,0,0,'Données projet'!$E$10+1,1))-AVERAGE(OFFSET($H$3,0,0,'Données projet'!$E$10+1,1))</f>
        <v>237.22177246688199</v>
      </c>
      <c r="AO17" s="59">
        <f t="shared" si="36"/>
        <v>149.27472147904302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14.1</v>
      </c>
      <c r="BD17" s="12">
        <f>IF('Données projet'!$A$88&gt;35,BD16+BC17-BL16,IF(A17&lt;'Données projet'!$A$88,$BA$205^A17,IF(A17='Données projet'!$A$88,'Données projet'!$B$88,BD16+BC17-BL16)))</f>
        <v>92.399999999999991</v>
      </c>
      <c r="BE17" s="13">
        <f>BD17*VLOOKUP('Données projet'!$B$11,Paramètres!$A$1:$I$89,3,0)*VLOOKUP('Données projet'!$B$11,Paramètres!$A$1:$I$89,5,0)</f>
        <v>50.450399999999995</v>
      </c>
      <c r="BF17" s="13">
        <f t="shared" si="37"/>
        <v>14.730016649594965</v>
      </c>
      <c r="BG17" s="20">
        <f t="shared" si="7"/>
        <v>113.52255899804454</v>
      </c>
      <c r="BH17" s="59">
        <f t="shared" si="8"/>
        <v>406.85589233137785</v>
      </c>
      <c r="BI17" s="59">
        <f ca="1">AVERAGE(OFFSET($BH$3,0,0,'Données projet'!$E$11+1,1))-AVERAGE(OFFSET($H$3,0,0,'Données projet'!$E$11+1,1))</f>
        <v>210.04871822652808</v>
      </c>
      <c r="BJ17" s="59">
        <f t="shared" si="38"/>
        <v>250.17540614049324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</v>
      </c>
      <c r="N18" s="13">
        <f>IF('Données projet'!$A$36&gt;35,N17+M18-V17,IF(A18&lt;'Données projet'!$A$36,$K$205^A18,IF(A18='Données projet'!$A$36,'Données projet'!$B$36,N17+M18-V17)))</f>
        <v>87</v>
      </c>
      <c r="O18" s="13">
        <f>N18*VLOOKUP('Données projet'!$B$9,Paramètres!$A$1:$I$89,3,0)*VLOOKUP('Données projet'!$B$9,Paramètres!$A$1:$I$89,5,0)</f>
        <v>48.632999999999996</v>
      </c>
      <c r="P18" s="13">
        <f t="shared" si="33"/>
        <v>14.260158409918978</v>
      </c>
      <c r="Q18" s="20">
        <f t="shared" si="2"/>
        <v>109.53891756394221</v>
      </c>
      <c r="R18" s="59">
        <f t="shared" si="0"/>
        <v>402.87225089727553</v>
      </c>
      <c r="S18" s="59">
        <f ca="1">AVERAGE(OFFSET($R$3,0,0,'Données projet'!$E$9+1,1))-AVERAGE(OFFSET($H$3,0,0,'Données projet'!$E$9+1,1))</f>
        <v>326.31232746914907</v>
      </c>
      <c r="T18" s="59">
        <f t="shared" si="34"/>
        <v>330.17137761430297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14.927585237660953</v>
      </c>
      <c r="AK18" s="13">
        <f t="shared" si="35"/>
        <v>5.0221449106318534</v>
      </c>
      <c r="AL18" s="20">
        <f t="shared" si="4"/>
        <v>34.745780008276633</v>
      </c>
      <c r="AM18" s="59">
        <f t="shared" si="5"/>
        <v>328.07911334160997</v>
      </c>
      <c r="AN18" s="59">
        <f ca="1">AVERAGE(OFFSET($AM$3,0,0,'Données projet'!$E$10+1,1))-AVERAGE(OFFSET($H$3,0,0,'Données projet'!$E$10+1,1))</f>
        <v>237.22177246688199</v>
      </c>
      <c r="AO18" s="59">
        <f t="shared" si="36"/>
        <v>149.27472147904302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14.1</v>
      </c>
      <c r="BD18" s="12">
        <f>IF('Données projet'!$A$88&gt;35,BD17+BC18-BL17,IF(A18&lt;'Données projet'!$A$88,$BA$205^A18,IF(A18='Données projet'!$A$88,'Données projet'!$B$88,BD17+BC18-BL17)))</f>
        <v>106.49999999999999</v>
      </c>
      <c r="BE18" s="13">
        <f>BD18*VLOOKUP('Données projet'!$B$11,Paramètres!$A$1:$I$89,3,0)*VLOOKUP('Données projet'!$B$11,Paramètres!$A$1:$I$89,5,0)</f>
        <v>58.148999999999987</v>
      </c>
      <c r="BF18" s="13">
        <f t="shared" si="37"/>
        <v>16.699428066773574</v>
      </c>
      <c r="BG18" s="20">
        <f t="shared" si="7"/>
        <v>130.36101221629727</v>
      </c>
      <c r="BH18" s="59">
        <f t="shared" si="8"/>
        <v>423.69434554963061</v>
      </c>
      <c r="BI18" s="59">
        <f ca="1">AVERAGE(OFFSET($BH$3,0,0,'Données projet'!$E$11+1,1))-AVERAGE(OFFSET($H$3,0,0,'Données projet'!$E$11+1,1))</f>
        <v>210.04871822652808</v>
      </c>
      <c r="BJ18" s="59">
        <f t="shared" si="38"/>
        <v>250.17540614049324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</v>
      </c>
      <c r="N19" s="13">
        <f>IF('Données projet'!$A$36&gt;35,N18+M19-V18,IF(A19&lt;'Données projet'!$A$36,$K$205^A19,IF(A19='Données projet'!$A$36,'Données projet'!$B$36,N18+M19-V18)))</f>
        <v>102</v>
      </c>
      <c r="O19" s="13">
        <f>N19*VLOOKUP('Données projet'!$B$9,Paramètres!$A$1:$I$89,3,0)*VLOOKUP('Données projet'!$B$9,Paramètres!$A$1:$I$89,5,0)</f>
        <v>57.018000000000001</v>
      </c>
      <c r="P19" s="13">
        <f t="shared" si="33"/>
        <v>16.412103612717626</v>
      </c>
      <c r="Q19" s="20">
        <f t="shared" si="2"/>
        <v>127.89076379214985</v>
      </c>
      <c r="R19" s="59">
        <f t="shared" si="0"/>
        <v>421.22409712548318</v>
      </c>
      <c r="S19" s="59">
        <f ca="1">AVERAGE(OFFSET($R$3,0,0,'Données projet'!$E$9+1,1))-AVERAGE(OFFSET($H$3,0,0,'Données projet'!$E$9+1,1))</f>
        <v>326.31232746914907</v>
      </c>
      <c r="T19" s="59">
        <f t="shared" si="34"/>
        <v>330.17137761430297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17.995007178485412</v>
      </c>
      <c r="AK19" s="13">
        <f t="shared" si="35"/>
        <v>5.9238546434872337</v>
      </c>
      <c r="AL19" s="20">
        <f t="shared" si="4"/>
        <v>41.658684339935689</v>
      </c>
      <c r="AM19" s="59">
        <f t="shared" si="5"/>
        <v>334.992017673269</v>
      </c>
      <c r="AN19" s="59">
        <f ca="1">AVERAGE(OFFSET($AM$3,0,0,'Données projet'!$E$10+1,1))-AVERAGE(OFFSET($H$3,0,0,'Données projet'!$E$10+1,1))</f>
        <v>237.22177246688199</v>
      </c>
      <c r="AO19" s="59">
        <f t="shared" si="36"/>
        <v>149.27472147904302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14.1</v>
      </c>
      <c r="BD19" s="12">
        <f>IF('Données projet'!$A$88&gt;35,BD18+BC19-BL18,IF(A19&lt;'Données projet'!$A$88,$BA$205^A19,IF(A19='Données projet'!$A$88,'Données projet'!$B$88,BD18+BC19-BL18)))</f>
        <v>120.59999999999998</v>
      </c>
      <c r="BE19" s="13">
        <f>BD19*VLOOKUP('Données projet'!$B$11,Paramètres!$A$1:$I$89,3,0)*VLOOKUP('Données projet'!$B$11,Paramètres!$A$1:$I$89,5,0)</f>
        <v>65.847599999999986</v>
      </c>
      <c r="BF19" s="13">
        <f t="shared" si="37"/>
        <v>18.63862905611526</v>
      </c>
      <c r="BG19" s="20">
        <f t="shared" si="7"/>
        <v>147.14684893940071</v>
      </c>
      <c r="BH19" s="59">
        <f t="shared" si="8"/>
        <v>440.48018227273406</v>
      </c>
      <c r="BI19" s="59">
        <f ca="1">AVERAGE(OFFSET($BH$3,0,0,'Données projet'!$E$11+1,1))-AVERAGE(OFFSET($H$3,0,0,'Données projet'!$E$11+1,1))</f>
        <v>210.04871822652808</v>
      </c>
      <c r="BJ19" s="59">
        <f t="shared" si="38"/>
        <v>250.17540614049324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</v>
      </c>
      <c r="N20" s="13">
        <f>IF('Données projet'!$A$36&gt;35,N19+M20-V19,IF(A20&lt;'Données projet'!$A$36,$K$205^A20,IF(A20='Données projet'!$A$36,'Données projet'!$B$36,N19+M20-V19)))</f>
        <v>117</v>
      </c>
      <c r="O20" s="13">
        <f>N20*VLOOKUP('Données projet'!$B$9,Paramètres!$A$1:$I$89,3,0)*VLOOKUP('Données projet'!$B$9,Paramètres!$A$1:$I$89,5,0)</f>
        <v>65.403000000000006</v>
      </c>
      <c r="P20" s="13">
        <f t="shared" si="33"/>
        <v>18.527386684584471</v>
      </c>
      <c r="Q20" s="20">
        <f t="shared" si="2"/>
        <v>146.17875680898462</v>
      </c>
      <c r="R20" s="59">
        <f t="shared" si="0"/>
        <v>439.5120901423179</v>
      </c>
      <c r="S20" s="59">
        <f ca="1">AVERAGE(OFFSET($R$3,0,0,'Données projet'!$E$9+1,1))-AVERAGE(OFFSET($H$3,0,0,'Données projet'!$E$9+1,1))</f>
        <v>326.31232746914907</v>
      </c>
      <c r="T20" s="59">
        <f t="shared" si="34"/>
        <v>330.17137761430297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21.692743883101215</v>
      </c>
      <c r="AK20" s="13">
        <f t="shared" si="35"/>
        <v>6.98746341685115</v>
      </c>
      <c r="AL20" s="20">
        <f t="shared" si="4"/>
        <v>49.951361047417038</v>
      </c>
      <c r="AM20" s="59">
        <f t="shared" si="5"/>
        <v>343.28469438075035</v>
      </c>
      <c r="AN20" s="59">
        <f ca="1">AVERAGE(OFFSET($AM$3,0,0,'Données projet'!$E$10+1,1))-AVERAGE(OFFSET($H$3,0,0,'Données projet'!$E$10+1,1))</f>
        <v>237.22177246688199</v>
      </c>
      <c r="AO20" s="59">
        <f t="shared" si="36"/>
        <v>149.27472147904302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14.1</v>
      </c>
      <c r="BD20" s="12">
        <f>IF('Données projet'!$A$88&gt;35,BD19+BC20-BL19,IF(A20&lt;'Données projet'!$A$88,$BA$205^A20,IF(A20='Données projet'!$A$88,'Données projet'!$B$88,BD19+BC20-BL19)))</f>
        <v>134.69999999999999</v>
      </c>
      <c r="BE20" s="13">
        <f>BD20*VLOOKUP('Données projet'!$B$11,Paramètres!$A$1:$I$89,3,0)*VLOOKUP('Données projet'!$B$11,Paramètres!$A$1:$I$89,5,0)</f>
        <v>73.546199999999985</v>
      </c>
      <c r="BF20" s="13">
        <f t="shared" si="37"/>
        <v>20.551555184696866</v>
      </c>
      <c r="BG20" s="20">
        <f t="shared" si="7"/>
        <v>163.88692361334699</v>
      </c>
      <c r="BH20" s="59">
        <f t="shared" si="8"/>
        <v>457.22025694668031</v>
      </c>
      <c r="BI20" s="59">
        <f ca="1">AVERAGE(OFFSET($BH$3,0,0,'Données projet'!$E$11+1,1))-AVERAGE(OFFSET($H$3,0,0,'Données projet'!$E$11+1,1))</f>
        <v>210.04871822652808</v>
      </c>
      <c r="BJ20" s="59">
        <f t="shared" si="38"/>
        <v>250.17540614049324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</v>
      </c>
      <c r="N21" s="13">
        <f>IF('Données projet'!$A$36&gt;35,N20+M21-V20,IF(A21&lt;'Données projet'!$A$36,$K$205^A21,IF(A21='Données projet'!$A$36,'Données projet'!$B$36,N20+M21-V20)))</f>
        <v>132</v>
      </c>
      <c r="O21" s="13">
        <f>N21*VLOOKUP('Données projet'!$B$9,Paramètres!$A$1:$I$89,3,0)*VLOOKUP('Données projet'!$B$9,Paramètres!$A$1:$I$89,5,0)</f>
        <v>73.787999999999997</v>
      </c>
      <c r="P21" s="13">
        <f t="shared" si="33"/>
        <v>20.611246816293939</v>
      </c>
      <c r="Q21" s="20">
        <f t="shared" si="2"/>
        <v>164.41202153837858</v>
      </c>
      <c r="R21" s="59">
        <f t="shared" si="0"/>
        <v>457.74535487171192</v>
      </c>
      <c r="S21" s="59">
        <f ca="1">AVERAGE(OFFSET($R$3,0,0,'Données projet'!$E$9+1,1))-AVERAGE(OFFSET($H$3,0,0,'Données projet'!$E$9+1,1))</f>
        <v>326.31232746914907</v>
      </c>
      <c r="T21" s="59">
        <f t="shared" si="34"/>
        <v>330.17137761430297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26.150316724543362</v>
      </c>
      <c r="AK21" s="13">
        <f t="shared" si="35"/>
        <v>8.2420396752158016</v>
      </c>
      <c r="AL21" s="20">
        <f t="shared" si="4"/>
        <v>59.900020729580547</v>
      </c>
      <c r="AM21" s="59">
        <f t="shared" si="5"/>
        <v>353.23335406291386</v>
      </c>
      <c r="AN21" s="59">
        <f ca="1">AVERAGE(OFFSET($AM$3,0,0,'Données projet'!$E$10+1,1))-AVERAGE(OFFSET($H$3,0,0,'Données projet'!$E$10+1,1))</f>
        <v>237.22177246688199</v>
      </c>
      <c r="AO21" s="59">
        <f t="shared" si="36"/>
        <v>149.27472147904302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14.1</v>
      </c>
      <c r="BD21" s="12">
        <f>IF('Données projet'!$A$88&gt;35,BD20+BC21-BL20,IF(A21&lt;'Données projet'!$A$88,$BA$205^A21,IF(A21='Données projet'!$A$88,'Données projet'!$B$88,BD20+BC21-BL20)))</f>
        <v>148.79999999999998</v>
      </c>
      <c r="BE21" s="13">
        <f>BD21*VLOOKUP('Données projet'!$B$11,Paramètres!$A$1:$I$89,3,0)*VLOOKUP('Données projet'!$B$11,Paramètres!$A$1:$I$89,5,0)</f>
        <v>81.244799999999984</v>
      </c>
      <c r="BF21" s="13">
        <f t="shared" si="37"/>
        <v>22.441270156928962</v>
      </c>
      <c r="BG21" s="20">
        <f t="shared" si="7"/>
        <v>180.58657218998459</v>
      </c>
      <c r="BH21" s="59">
        <f t="shared" si="8"/>
        <v>473.91990552331788</v>
      </c>
      <c r="BI21" s="59">
        <f ca="1">AVERAGE(OFFSET($BH$3,0,0,'Données projet'!$E$11+1,1))-AVERAGE(OFFSET($H$3,0,0,'Données projet'!$E$11+1,1))</f>
        <v>210.04871822652808</v>
      </c>
      <c r="BJ21" s="59">
        <f t="shared" si="38"/>
        <v>250.17540614049324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</v>
      </c>
      <c r="N22" s="13">
        <f>IF('Données projet'!$A$36&gt;35,N21+M22-V21,IF(A22&lt;'Données projet'!$A$36,$K$205^A22,IF(A22='Données projet'!$A$36,'Données projet'!$B$36,N21+M22-V21)))</f>
        <v>147</v>
      </c>
      <c r="O22" s="13">
        <f>N22*VLOOKUP('Données projet'!$B$9,Paramètres!$A$1:$I$89,3,0)*VLOOKUP('Données projet'!$B$9,Paramètres!$A$1:$I$89,5,0)</f>
        <v>82.173000000000002</v>
      </c>
      <c r="P22" s="13">
        <f t="shared" si="33"/>
        <v>22.667662370396656</v>
      </c>
      <c r="Q22" s="20">
        <f t="shared" si="2"/>
        <v>182.59748696177417</v>
      </c>
      <c r="R22" s="59">
        <f t="shared" si="0"/>
        <v>475.93082029510748</v>
      </c>
      <c r="S22" s="59">
        <f ca="1">AVERAGE(OFFSET($R$3,0,0,'Données projet'!$E$9+1,1))-AVERAGE(OFFSET($H$3,0,0,'Données projet'!$E$9+1,1))</f>
        <v>326.31232746914907</v>
      </c>
      <c r="T22" s="59">
        <f t="shared" si="34"/>
        <v>330.17137761430297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31.52386201022027</v>
      </c>
      <c r="AK22" s="13">
        <f t="shared" si="35"/>
        <v>9.7218710074397983</v>
      </c>
      <c r="AL22" s="20">
        <f t="shared" si="4"/>
        <v>71.836318339091292</v>
      </c>
      <c r="AM22" s="59">
        <f t="shared" si="5"/>
        <v>365.16965167242461</v>
      </c>
      <c r="AN22" s="59">
        <f ca="1">AVERAGE(OFFSET($AM$3,0,0,'Données projet'!$E$10+1,1))-AVERAGE(OFFSET($H$3,0,0,'Données projet'!$E$10+1,1))</f>
        <v>237.22177246688199</v>
      </c>
      <c r="AO22" s="59">
        <f t="shared" si="36"/>
        <v>149.27472147904302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14.1</v>
      </c>
      <c r="BD22" s="12">
        <f>IF('Données projet'!$A$88&gt;35,BD21+BC22-BL21,IF(A22&lt;'Données projet'!$A$88,$BA$205^A22,IF(A22='Données projet'!$A$88,'Données projet'!$B$88,BD21+BC22-BL21)))</f>
        <v>162.89999999999998</v>
      </c>
      <c r="BE22" s="13">
        <f>BD22*VLOOKUP('Données projet'!$B$11,Paramètres!$A$1:$I$89,3,0)*VLOOKUP('Données projet'!$B$11,Paramètres!$A$1:$I$89,5,0)</f>
        <v>88.943399999999997</v>
      </c>
      <c r="BF22" s="13">
        <f t="shared" si="37"/>
        <v>24.310223636565393</v>
      </c>
      <c r="BG22" s="20">
        <f t="shared" si="7"/>
        <v>197.25006116701806</v>
      </c>
      <c r="BH22" s="59">
        <f t="shared" si="8"/>
        <v>490.58339450035135</v>
      </c>
      <c r="BI22" s="59">
        <f ca="1">AVERAGE(OFFSET($BH$3,0,0,'Données projet'!$E$11+1,1))-AVERAGE(OFFSET($H$3,0,0,'Données projet'!$E$11+1,1))</f>
        <v>210.04871822652808</v>
      </c>
      <c r="BJ22" s="59">
        <f t="shared" si="38"/>
        <v>250.17540614049324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162</v>
      </c>
      <c r="L23" s="12">
        <f>VLOOKUP(A23,'Données projet'!$A$35:$I$55,9,0)</f>
        <v>15</v>
      </c>
      <c r="M23" s="12">
        <f t="array" ref="M23">INDEX(L:L,MIN(IF(ISNUMBER(L23:L219),ROW(L23:L219),"")))</f>
        <v>15</v>
      </c>
      <c r="N23" s="13">
        <f>IF('Données projet'!$A$36&gt;35,N22+M23-V22,IF(A23&lt;'Données projet'!$A$36,$K$205^A23,IF(A23='Données projet'!$A$36,'Données projet'!$B$36,N22+M23-V22)))</f>
        <v>162</v>
      </c>
      <c r="O23" s="13">
        <f>N23*VLOOKUP('Données projet'!$B$9,Paramètres!$A$1:$I$89,3,0)*VLOOKUP('Données projet'!$B$9,Paramètres!$A$1:$I$89,5,0)</f>
        <v>90.557999999999993</v>
      </c>
      <c r="P23" s="13">
        <f t="shared" si="33"/>
        <v>24.699752708509138</v>
      </c>
      <c r="Q23" s="20">
        <f t="shared" si="2"/>
        <v>200.74058596732007</v>
      </c>
      <c r="R23" s="59">
        <f t="shared" si="0"/>
        <v>494.07391930065342</v>
      </c>
      <c r="S23" s="59">
        <f ca="1">AVERAGE(OFFSET($R$3,0,0,'Données projet'!$E$9+1,1))-AVERAGE(OFFSET($H$3,0,0,'Données projet'!$E$9+1,1))</f>
        <v>326.31232746914907</v>
      </c>
      <c r="T23" s="59">
        <f t="shared" si="34"/>
        <v>330.17137761430297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12.796760722565436</v>
      </c>
      <c r="AB23" s="21">
        <f>EXP(-LN(2)/2)*AB22+(1-EXP(-LN(2)/2))/(LN(2)/2)*V23*Y23*VLOOKUP('Données projet'!$B$9,Paramètres!$A$1:$I$89,3,0)*0.475*44/12</f>
        <v>19.936912410994776</v>
      </c>
      <c r="AC23" s="22">
        <f t="shared" si="3"/>
        <v>32.73367313356021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38.001600000000003</v>
      </c>
      <c r="AK23" s="13">
        <f t="shared" si="35"/>
        <v>11.467401227090512</v>
      </c>
      <c r="AL23" s="20">
        <f t="shared" si="4"/>
        <v>86.158510470515978</v>
      </c>
      <c r="AM23" s="59">
        <f t="shared" si="5"/>
        <v>379.49184380384929</v>
      </c>
      <c r="AN23" s="59">
        <f ca="1">AVERAGE(OFFSET($AM$3,0,0,'Données projet'!$E$10+1,1))-AVERAGE(OFFSET($H$3,0,0,'Données projet'!$E$10+1,1))</f>
        <v>237.22177246688199</v>
      </c>
      <c r="AO23" s="59">
        <f t="shared" si="36"/>
        <v>149.27472147904302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177</v>
      </c>
      <c r="BB23" s="12">
        <f>VLOOKUP(A23,'Données projet'!$A$87:$I$107,9,0)</f>
        <v>14.1</v>
      </c>
      <c r="BC23" s="12">
        <f t="array" ref="BC23">INDEX(BB:BB,MIN(IF(ISNUMBER(BB23:BB219),ROW(BB23:BB219),"")))</f>
        <v>14.1</v>
      </c>
      <c r="BD23" s="12">
        <f>IF('Données projet'!$A$88&gt;35,BD22+BC23-BL22,IF(A23&lt;'Données projet'!$A$88,$BA$205^A23,IF(A23='Données projet'!$A$88,'Données projet'!$B$88,BD22+BC23-BL22)))</f>
        <v>176.99999999999997</v>
      </c>
      <c r="BE23" s="13">
        <f>BD23*VLOOKUP('Données projet'!$B$11,Paramètres!$A$1:$I$89,3,0)*VLOOKUP('Données projet'!$B$11,Paramètres!$A$1:$I$89,5,0)</f>
        <v>96.641999999999996</v>
      </c>
      <c r="BF23" s="13">
        <f t="shared" si="37"/>
        <v>26.160416982548217</v>
      </c>
      <c r="BG23" s="20">
        <f t="shared" si="7"/>
        <v>213.88087624460479</v>
      </c>
      <c r="BH23" s="59">
        <f t="shared" si="8"/>
        <v>507.21420957793811</v>
      </c>
      <c r="BI23" s="59">
        <f ca="1">AVERAGE(OFFSET($BH$3,0,0,'Données projet'!$E$11+1,1))-AVERAGE(OFFSET($H$3,0,0,'Données projet'!$E$11+1,1))</f>
        <v>210.04871822652808</v>
      </c>
      <c r="BJ23" s="59">
        <f t="shared" si="38"/>
        <v>250.17540614049324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81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17.531291645290491</v>
      </c>
      <c r="BR23" s="21">
        <f>EXP(-LN(2)/2)*BR22+(1-EXP(-LN(2)/2))/(LN(2)/2)*BL23*BO23*VLOOKUP('Données projet'!$B$11,Paramètres!$A$1:$I$89,3,0)*0.475*44/12</f>
        <v>25.037052795202737</v>
      </c>
      <c r="BS23" s="22">
        <f t="shared" si="9"/>
        <v>42.568344440493227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22.2</v>
      </c>
      <c r="N24" s="13">
        <f>IF('Données projet'!$A$36&gt;35,N23+M24-V23,IF(A24&lt;'Données projet'!$A$36,$K$205^A24,IF(A24='Données projet'!$A$36,'Données projet'!$B$36,N23+M24-V23)))</f>
        <v>121.19999999999999</v>
      </c>
      <c r="O24" s="13">
        <f>N24*VLOOKUP('Données projet'!$B$9,Paramètres!$A$1:$I$89,3,0)*VLOOKUP('Données projet'!$B$9,Paramètres!$A$1:$I$89,5,0)</f>
        <v>67.750799999999998</v>
      </c>
      <c r="P24" s="13">
        <f t="shared" si="33"/>
        <v>19.113844706860473</v>
      </c>
      <c r="Q24" s="20">
        <f t="shared" si="2"/>
        <v>151.28925619778201</v>
      </c>
      <c r="R24" s="59">
        <f t="shared" si="0"/>
        <v>444.6225895311153</v>
      </c>
      <c r="S24" s="59">
        <f ca="1">AVERAGE(OFFSET($R$3,0,0,'Données projet'!$E$9+1,1))-AVERAGE(OFFSET($H$3,0,0,'Données projet'!$E$9+1,1))</f>
        <v>326.31232746914907</v>
      </c>
      <c r="T24" s="59">
        <f t="shared" si="34"/>
        <v>330.17137761430297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12.446832627654485</v>
      </c>
      <c r="AB24" s="21">
        <f>EXP(-LN(2)/2)*AB23+(1-EXP(-LN(2)/2))/(LN(2)/2)*V24*Y24*VLOOKUP('Données projet'!$B$9,Paramètres!$A$1:$I$89,3,0)*0.475*44/12</f>
        <v>14.097525961736647</v>
      </c>
      <c r="AC24" s="22">
        <f t="shared" si="3"/>
        <v>26.54435858939113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43.701839999999997</v>
      </c>
      <c r="AK24" s="13">
        <f t="shared" si="35"/>
        <v>12.974708810432297</v>
      </c>
      <c r="AL24" s="20">
        <f t="shared" si="4"/>
        <v>98.711655844836244</v>
      </c>
      <c r="AM24" s="59">
        <f t="shared" si="5"/>
        <v>392.04498917816954</v>
      </c>
      <c r="AN24" s="59">
        <f ca="1">AVERAGE(OFFSET($AM$3,0,0,'Données projet'!$E$10+1,1))-AVERAGE(OFFSET($H$3,0,0,'Données projet'!$E$10+1,1))</f>
        <v>237.22177246688199</v>
      </c>
      <c r="AO24" s="59">
        <f t="shared" si="36"/>
        <v>149.27472147904302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112.39999999999998</v>
      </c>
      <c r="BE24" s="13">
        <f>BD24*VLOOKUP('Données projet'!$B$11,Paramètres!$A$1:$I$89,3,0)*VLOOKUP('Données projet'!$B$11,Paramètres!$A$1:$I$89,5,0)</f>
        <v>61.370399999999989</v>
      </c>
      <c r="BF24" s="13">
        <f t="shared" si="37"/>
        <v>17.514292424921972</v>
      </c>
      <c r="BG24" s="20">
        <f t="shared" si="7"/>
        <v>137.39083930673908</v>
      </c>
      <c r="BH24" s="59">
        <f t="shared" si="8"/>
        <v>430.72417264007242</v>
      </c>
      <c r="BI24" s="59">
        <f ca="1">AVERAGE(OFFSET($BH$3,0,0,'Données projet'!$E$11+1,1))-AVERAGE(OFFSET($H$3,0,0,'Données projet'!$E$11+1,1))</f>
        <v>210.04871822652808</v>
      </c>
      <c r="BJ24" s="59">
        <f t="shared" si="38"/>
        <v>250.17540614049324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17.051897553319463</v>
      </c>
      <c r="BR24" s="21">
        <f>EXP(-LN(2)/2)*BR23+(1-EXP(-LN(2)/2))/(LN(2)/2)*BL24*BO24*VLOOKUP('Données projet'!$B$11,Paramètres!$A$1:$I$89,3,0)*0.475*44/12</f>
        <v>17.703869812413462</v>
      </c>
      <c r="BS24" s="22">
        <f t="shared" si="9"/>
        <v>34.755767365732922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22.2</v>
      </c>
      <c r="N25" s="13">
        <f>IF('Données projet'!$A$36&gt;35,N24+M25-V24,IF(A25&lt;'Données projet'!$A$36,$K$205^A25,IF(A25='Données projet'!$A$36,'Données projet'!$B$36,N24+M25-V24)))</f>
        <v>143.39999999999998</v>
      </c>
      <c r="O25" s="13">
        <f>N25*VLOOKUP('Données projet'!$B$9,Paramètres!$A$1:$I$89,3,0)*VLOOKUP('Données projet'!$B$9,Paramètres!$A$1:$I$89,5,0)</f>
        <v>80.160599999999988</v>
      </c>
      <c r="P25" s="13">
        <f t="shared" si="33"/>
        <v>22.176447079115164</v>
      </c>
      <c r="Q25" s="20">
        <f t="shared" si="2"/>
        <v>178.23702366279221</v>
      </c>
      <c r="R25" s="59">
        <f t="shared" si="0"/>
        <v>471.5703569961255</v>
      </c>
      <c r="S25" s="59">
        <f ca="1">AVERAGE(OFFSET($R$3,0,0,'Données projet'!$E$9+1,1))-AVERAGE(OFFSET($H$3,0,0,'Données projet'!$E$9+1,1))</f>
        <v>326.31232746914907</v>
      </c>
      <c r="T25" s="59">
        <f t="shared" si="34"/>
        <v>330.17137761430297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12.106473334900793</v>
      </c>
      <c r="AB25" s="21">
        <f>EXP(-LN(2)/2)*AB24+(1-EXP(-LN(2)/2))/(LN(2)/2)*V25*Y25*VLOOKUP('Données projet'!$B$9,Paramètres!$A$1:$I$89,3,0)*0.475*44/12</f>
        <v>9.9684562054973895</v>
      </c>
      <c r="AC25" s="22">
        <f t="shared" si="3"/>
        <v>22.07492954039818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49.402079999999998</v>
      </c>
      <c r="AK25" s="13">
        <f t="shared" si="35"/>
        <v>14.459236264867963</v>
      </c>
      <c r="AL25" s="20">
        <f t="shared" si="4"/>
        <v>111.22512582797835</v>
      </c>
      <c r="AM25" s="59">
        <f t="shared" si="5"/>
        <v>404.55845916131165</v>
      </c>
      <c r="AN25" s="59">
        <f ca="1">AVERAGE(OFFSET($AM$3,0,0,'Données projet'!$E$10+1,1))-AVERAGE(OFFSET($H$3,0,0,'Données projet'!$E$10+1,1))</f>
        <v>237.22177246688199</v>
      </c>
      <c r="AO25" s="59">
        <f t="shared" si="36"/>
        <v>149.27472147904302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128.79999999999998</v>
      </c>
      <c r="BE25" s="13">
        <f>BD25*VLOOKUP('Données projet'!$B$11,Paramètres!$A$1:$I$89,3,0)*VLOOKUP('Données projet'!$B$11,Paramètres!$A$1:$I$89,5,0)</f>
        <v>70.324799999999982</v>
      </c>
      <c r="BF25" s="13">
        <f t="shared" si="37"/>
        <v>19.754095114409182</v>
      </c>
      <c r="BG25" s="20">
        <f t="shared" si="7"/>
        <v>156.88740899092929</v>
      </c>
      <c r="BH25" s="59">
        <f t="shared" si="8"/>
        <v>450.22074232426257</v>
      </c>
      <c r="BI25" s="59">
        <f ca="1">AVERAGE(OFFSET($BH$3,0,0,'Données projet'!$E$11+1,1))-AVERAGE(OFFSET($H$3,0,0,'Données projet'!$E$11+1,1))</f>
        <v>210.04871822652808</v>
      </c>
      <c r="BJ25" s="59">
        <f t="shared" si="38"/>
        <v>250.17540614049324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16.585612518003622</v>
      </c>
      <c r="BR25" s="21">
        <f>EXP(-LN(2)/2)*BR24+(1-EXP(-LN(2)/2))/(LN(2)/2)*BL25*BO25*VLOOKUP('Données projet'!$B$11,Paramètres!$A$1:$I$89,3,0)*0.475*44/12</f>
        <v>12.51852639760137</v>
      </c>
      <c r="BS25" s="22">
        <f t="shared" si="9"/>
        <v>29.104138915604992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22.2</v>
      </c>
      <c r="N26" s="13">
        <f>IF('Données projet'!$A$36&gt;35,N25+M26-V25,IF(A26&lt;'Données projet'!$A$36,$K$205^A26,IF(A26='Données projet'!$A$36,'Données projet'!$B$36,N25+M26-V25)))</f>
        <v>165.59999999999997</v>
      </c>
      <c r="O26" s="13">
        <f>N26*VLOOKUP('Données projet'!$B$9,Paramètres!$A$1:$I$89,3,0)*VLOOKUP('Données projet'!$B$9,Paramètres!$A$1:$I$89,5,0)</f>
        <v>92.570399999999978</v>
      </c>
      <c r="P26" s="13">
        <f t="shared" si="33"/>
        <v>25.184123943972491</v>
      </c>
      <c r="Q26" s="20">
        <f t="shared" si="2"/>
        <v>205.08912920241869</v>
      </c>
      <c r="R26" s="59">
        <f t="shared" si="0"/>
        <v>498.422462535752</v>
      </c>
      <c r="S26" s="59">
        <f ca="1">AVERAGE(OFFSET($R$3,0,0,'Données projet'!$E$9+1,1))-AVERAGE(OFFSET($H$3,0,0,'Données projet'!$E$9+1,1))</f>
        <v>326.31232746914907</v>
      </c>
      <c r="T26" s="59">
        <f t="shared" si="34"/>
        <v>330.17137761430297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11.775421184906168</v>
      </c>
      <c r="AB26" s="21">
        <f>EXP(-LN(2)/2)*AB25+(1-EXP(-LN(2)/2))/(LN(2)/2)*V26*Y26*VLOOKUP('Données projet'!$B$9,Paramètres!$A$1:$I$89,3,0)*0.475*44/12</f>
        <v>7.0487629808683252</v>
      </c>
      <c r="AC26" s="22">
        <f t="shared" si="3"/>
        <v>18.824184165774493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55.102319999999992</v>
      </c>
      <c r="AK26" s="13">
        <f t="shared" si="35"/>
        <v>15.923912218988239</v>
      </c>
      <c r="AL26" s="20">
        <f t="shared" si="4"/>
        <v>123.70402111473783</v>
      </c>
      <c r="AM26" s="59">
        <f t="shared" si="5"/>
        <v>417.03735444807114</v>
      </c>
      <c r="AN26" s="59">
        <f ca="1">AVERAGE(OFFSET($AM$3,0,0,'Données projet'!$E$10+1,1))-AVERAGE(OFFSET($H$3,0,0,'Données projet'!$E$10+1,1))</f>
        <v>237.22177246688199</v>
      </c>
      <c r="AO26" s="59">
        <f t="shared" si="36"/>
        <v>149.27472147904302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145.19999999999999</v>
      </c>
      <c r="BE26" s="13">
        <f>BD26*VLOOKUP('Données projet'!$B$11,Paramètres!$A$1:$I$89,3,0)*VLOOKUP('Données projet'!$B$11,Paramètres!$A$1:$I$89,5,0)</f>
        <v>79.279199999999989</v>
      </c>
      <c r="BF26" s="13">
        <f t="shared" si="37"/>
        <v>21.960852053344638</v>
      </c>
      <c r="BG26" s="20">
        <f t="shared" si="7"/>
        <v>176.32642399290856</v>
      </c>
      <c r="BH26" s="59">
        <f t="shared" si="8"/>
        <v>469.6597573262419</v>
      </c>
      <c r="BI26" s="59">
        <f ca="1">AVERAGE(OFFSET($BH$3,0,0,'Données projet'!$E$11+1,1))-AVERAGE(OFFSET($H$3,0,0,'Données projet'!$E$11+1,1))</f>
        <v>210.04871822652808</v>
      </c>
      <c r="BJ26" s="59">
        <f t="shared" si="38"/>
        <v>250.17540614049324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16.132078071499357</v>
      </c>
      <c r="BR26" s="21">
        <f>EXP(-LN(2)/2)*BR25+(1-EXP(-LN(2)/2))/(LN(2)/2)*BL26*BO26*VLOOKUP('Données projet'!$B$11,Paramètres!$A$1:$I$89,3,0)*0.475*44/12</f>
        <v>8.851934906206731</v>
      </c>
      <c r="BS26" s="22">
        <f t="shared" si="9"/>
        <v>24.984012977706087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22.2</v>
      </c>
      <c r="N27" s="13">
        <f>IF('Données projet'!$A$36&gt;35,N26+M27-V26,IF(A27&lt;'Données projet'!$A$36,$K$205^A27,IF(A27='Données projet'!$A$36,'Données projet'!$B$36,N26+M27-V26)))</f>
        <v>187.79999999999995</v>
      </c>
      <c r="O27" s="13">
        <f>N27*VLOOKUP('Données projet'!$B$9,Paramètres!$A$1:$I$89,3,0)*VLOOKUP('Données projet'!$B$9,Paramètres!$A$1:$I$89,5,0)</f>
        <v>104.98019999999997</v>
      </c>
      <c r="P27" s="13">
        <f t="shared" si="33"/>
        <v>28.145084690033578</v>
      </c>
      <c r="Q27" s="20">
        <f t="shared" si="2"/>
        <v>231.85987083514172</v>
      </c>
      <c r="R27" s="59">
        <f t="shared" si="0"/>
        <v>525.19320416847506</v>
      </c>
      <c r="S27" s="59">
        <f ca="1">AVERAGE(OFFSET($R$3,0,0,'Données projet'!$E$9+1,1))-AVERAGE(OFFSET($H$3,0,0,'Données projet'!$E$9+1,1))</f>
        <v>326.31232746914907</v>
      </c>
      <c r="T27" s="59">
        <f t="shared" si="34"/>
        <v>330.17137761430297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11.453421673362422</v>
      </c>
      <c r="AB27" s="21">
        <f>EXP(-LN(2)/2)*AB26+(1-EXP(-LN(2)/2))/(LN(2)/2)*V27*Y27*VLOOKUP('Données projet'!$B$9,Paramètres!$A$1:$I$89,3,0)*0.475*44/12</f>
        <v>4.9842281027486957</v>
      </c>
      <c r="AC27" s="22">
        <f t="shared" si="3"/>
        <v>16.437649776111119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60.802559999999993</v>
      </c>
      <c r="AK27" s="13">
        <f t="shared" si="35"/>
        <v>17.371024177726472</v>
      </c>
      <c r="AL27" s="20">
        <f t="shared" si="4"/>
        <v>136.15232577620694</v>
      </c>
      <c r="AM27" s="59">
        <f t="shared" si="5"/>
        <v>429.48565910954028</v>
      </c>
      <c r="AN27" s="59">
        <f ca="1">AVERAGE(OFFSET($AM$3,0,0,'Données projet'!$E$10+1,1))-AVERAGE(OFFSET($H$3,0,0,'Données projet'!$E$10+1,1))</f>
        <v>237.22177246688199</v>
      </c>
      <c r="AO27" s="59">
        <f t="shared" si="36"/>
        <v>149.27472147904302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161.6</v>
      </c>
      <c r="BE27" s="13">
        <f>BD27*VLOOKUP('Données projet'!$B$11,Paramètres!$A$1:$I$89,3,0)*VLOOKUP('Données projet'!$B$11,Paramètres!$A$1:$I$89,5,0)</f>
        <v>88.23360000000001</v>
      </c>
      <c r="BF27" s="13">
        <f t="shared" si="37"/>
        <v>24.138721634312098</v>
      </c>
      <c r="BG27" s="20">
        <f t="shared" si="7"/>
        <v>195.7151268464269</v>
      </c>
      <c r="BH27" s="59">
        <f t="shared" si="8"/>
        <v>489.04846017976024</v>
      </c>
      <c r="BI27" s="59">
        <f ca="1">AVERAGE(OFFSET($BH$3,0,0,'Données projet'!$E$11+1,1))-AVERAGE(OFFSET($H$3,0,0,'Données projet'!$E$11+1,1))</f>
        <v>210.04871822652808</v>
      </c>
      <c r="BJ27" s="59">
        <f t="shared" si="38"/>
        <v>250.17540614049324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15.690945548285091</v>
      </c>
      <c r="BR27" s="21">
        <f>EXP(-LN(2)/2)*BR26+(1-EXP(-LN(2)/2))/(LN(2)/2)*BL27*BO27*VLOOKUP('Données projet'!$B$11,Paramètres!$A$1:$I$89,3,0)*0.475*44/12</f>
        <v>6.259263198800685</v>
      </c>
      <c r="BS27" s="22">
        <f t="shared" si="9"/>
        <v>21.950208747085775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22.2</v>
      </c>
      <c r="N28" s="13">
        <f>IF('Données projet'!$A$36&gt;35,N27+M28-V27,IF(A28&lt;'Données projet'!$A$36,$K$205^A28,IF(A28='Données projet'!$A$36,'Données projet'!$B$36,N27+M28-V27)))</f>
        <v>209.99999999999994</v>
      </c>
      <c r="O28" s="13">
        <f>N28*VLOOKUP('Données projet'!$B$9,Paramètres!$A$1:$I$89,3,0)*VLOOKUP('Données projet'!$B$9,Paramètres!$A$1:$I$89,5,0)</f>
        <v>117.38999999999996</v>
      </c>
      <c r="P28" s="13">
        <f t="shared" si="33"/>
        <v>31.065482772413461</v>
      </c>
      <c r="Q28" s="20">
        <f t="shared" si="2"/>
        <v>258.55996582862002</v>
      </c>
      <c r="R28" s="59">
        <f t="shared" si="0"/>
        <v>551.89329916195334</v>
      </c>
      <c r="S28" s="59">
        <f ca="1">AVERAGE(OFFSET($R$3,0,0,'Données projet'!$E$9+1,1))-AVERAGE(OFFSET($H$3,0,0,'Données projet'!$E$9+1,1))</f>
        <v>326.31232746914907</v>
      </c>
      <c r="T28" s="59">
        <f t="shared" si="34"/>
        <v>330.17137761430297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11.140227255395057</v>
      </c>
      <c r="AB28" s="21">
        <f>EXP(-LN(2)/2)*AB27+(1-EXP(-LN(2)/2))/(LN(2)/2)*V28*Y28*VLOOKUP('Données projet'!$B$9,Paramètres!$A$1:$I$89,3,0)*0.475*44/12</f>
        <v>3.524381490434163</v>
      </c>
      <c r="AC28" s="22">
        <f t="shared" si="3"/>
        <v>14.66460874582922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66.502799999999979</v>
      </c>
      <c r="AK28" s="13">
        <f t="shared" si="35"/>
        <v>18.802406075407909</v>
      </c>
      <c r="AL28" s="20">
        <f t="shared" si="4"/>
        <v>148.57323391466869</v>
      </c>
      <c r="AM28" s="59">
        <f t="shared" si="5"/>
        <v>441.90656724800203</v>
      </c>
      <c r="AN28" s="59">
        <f ca="1">AVERAGE(OFFSET($AM$3,0,0,'Données projet'!$E$10+1,1))-AVERAGE(OFFSET($H$3,0,0,'Données projet'!$E$10+1,1))</f>
        <v>237.22177246688199</v>
      </c>
      <c r="AO28" s="59">
        <f t="shared" si="36"/>
        <v>149.27472147904302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178</v>
      </c>
      <c r="BE28" s="13">
        <f>BD28*VLOOKUP('Données projet'!$B$11,Paramètres!$A$1:$I$89,3,0)*VLOOKUP('Données projet'!$B$11,Paramètres!$A$1:$I$89,5,0)</f>
        <v>97.187999999999988</v>
      </c>
      <c r="BF28" s="13">
        <f t="shared" si="37"/>
        <v>26.290969297460332</v>
      </c>
      <c r="BG28" s="20">
        <f t="shared" si="7"/>
        <v>215.0592048597434</v>
      </c>
      <c r="BH28" s="59">
        <f t="shared" si="8"/>
        <v>508.39253819307669</v>
      </c>
      <c r="BI28" s="59">
        <f ca="1">AVERAGE(OFFSET($BH$3,0,0,'Données projet'!$E$11+1,1))-AVERAGE(OFFSET($H$3,0,0,'Données projet'!$E$11+1,1))</f>
        <v>210.04871822652808</v>
      </c>
      <c r="BJ28" s="59">
        <f t="shared" si="38"/>
        <v>250.17540614049324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15.261875817116271</v>
      </c>
      <c r="BR28" s="21">
        <f>EXP(-LN(2)/2)*BR27+(1-EXP(-LN(2)/2))/(LN(2)/2)*BL28*BO28*VLOOKUP('Données projet'!$B$11,Paramètres!$A$1:$I$89,3,0)*0.475*44/12</f>
        <v>4.4259674531033655</v>
      </c>
      <c r="BS28" s="22">
        <f t="shared" si="9"/>
        <v>19.687843270219638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22.2</v>
      </c>
      <c r="N29" s="13">
        <f>IF('Données projet'!$A$36&gt;35,N28+M29-V28,IF(A29&lt;'Données projet'!$A$36,$K$205^A29,IF(A29='Données projet'!$A$36,'Données projet'!$B$36,N28+M29-V28)))</f>
        <v>232.19999999999993</v>
      </c>
      <c r="O29" s="13">
        <f>N29*VLOOKUP('Données projet'!$B$9,Paramètres!$A$1:$I$89,3,0)*VLOOKUP('Données projet'!$B$9,Paramètres!$A$1:$I$89,5,0)</f>
        <v>129.79979999999998</v>
      </c>
      <c r="P29" s="13">
        <f t="shared" si="33"/>
        <v>33.950094841766401</v>
      </c>
      <c r="Q29" s="20">
        <f t="shared" si="2"/>
        <v>285.19773351607643</v>
      </c>
      <c r="R29" s="59">
        <f t="shared" si="0"/>
        <v>578.53106684940974</v>
      </c>
      <c r="S29" s="59">
        <f ca="1">AVERAGE(OFFSET($R$3,0,0,'Données projet'!$E$9+1,1))-AVERAGE(OFFSET($H$3,0,0,'Données projet'!$E$9+1,1))</f>
        <v>326.31232746914907</v>
      </c>
      <c r="T29" s="59">
        <f t="shared" si="34"/>
        <v>330.17137761430297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10.83559715525719</v>
      </c>
      <c r="AB29" s="21">
        <f>EXP(-LN(2)/2)*AB28+(1-EXP(-LN(2)/2))/(LN(2)/2)*V29*Y29*VLOOKUP('Données projet'!$B$9,Paramètres!$A$1:$I$89,3,0)*0.475*44/12</f>
        <v>2.4921140513743483</v>
      </c>
      <c r="AC29" s="22">
        <f t="shared" si="3"/>
        <v>13.327711206631538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72.203039999999973</v>
      </c>
      <c r="AK29" s="13">
        <f t="shared" si="35"/>
        <v>20.219559499787128</v>
      </c>
      <c r="AL29" s="20">
        <f t="shared" si="4"/>
        <v>160.96936079546251</v>
      </c>
      <c r="AM29" s="59">
        <f t="shared" si="5"/>
        <v>454.30269412879579</v>
      </c>
      <c r="AN29" s="59">
        <f ca="1">AVERAGE(OFFSET($AM$3,0,0,'Données projet'!$E$10+1,1))-AVERAGE(OFFSET($H$3,0,0,'Données projet'!$E$10+1,1))</f>
        <v>237.22177246688199</v>
      </c>
      <c r="AO29" s="59">
        <f t="shared" si="36"/>
        <v>149.27472147904302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194.4</v>
      </c>
      <c r="BE29" s="13">
        <f>BD29*VLOOKUP('Données projet'!$B$11,Paramètres!$A$1:$I$89,3,0)*VLOOKUP('Données projet'!$B$11,Paramètres!$A$1:$I$89,5,0)</f>
        <v>106.14239999999999</v>
      </c>
      <c r="BF29" s="13">
        <f t="shared" si="37"/>
        <v>28.420224211524975</v>
      </c>
      <c r="BG29" s="20">
        <f t="shared" si="7"/>
        <v>234.36323716840596</v>
      </c>
      <c r="BH29" s="59">
        <f t="shared" si="8"/>
        <v>527.6965705017393</v>
      </c>
      <c r="BI29" s="59">
        <f ca="1">AVERAGE(OFFSET($BH$3,0,0,'Données projet'!$E$11+1,1))-AVERAGE(OFFSET($H$3,0,0,'Données projet'!$E$11+1,1))</f>
        <v>210.04871822652808</v>
      </c>
      <c r="BJ29" s="59">
        <f t="shared" si="38"/>
        <v>250.17540614049324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14.844539020310059</v>
      </c>
      <c r="BR29" s="21">
        <f>EXP(-LN(2)/2)*BR28+(1-EXP(-LN(2)/2))/(LN(2)/2)*BL29*BO29*VLOOKUP('Données projet'!$B$11,Paramètres!$A$1:$I$89,3,0)*0.475*44/12</f>
        <v>3.1296315994003425</v>
      </c>
      <c r="BS29" s="22">
        <f t="shared" si="9"/>
        <v>17.974170619710399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22.2</v>
      </c>
      <c r="N30" s="13">
        <f>IF('Données projet'!$A$36&gt;35,N29+M30-V29,IF(A30&lt;'Données projet'!$A$36,$K$205^A30,IF(A30='Données projet'!$A$36,'Données projet'!$B$36,N29+M30-V29)))</f>
        <v>254.39999999999992</v>
      </c>
      <c r="O30" s="13">
        <f>N30*VLOOKUP('Données projet'!$B$9,Paramètres!$A$1:$I$89,3,0)*VLOOKUP('Données projet'!$B$9,Paramètres!$A$1:$I$89,5,0)</f>
        <v>142.20959999999997</v>
      </c>
      <c r="P30" s="13">
        <f t="shared" si="33"/>
        <v>36.802731569585617</v>
      </c>
      <c r="Q30" s="20">
        <f t="shared" si="2"/>
        <v>311.77981081702814</v>
      </c>
      <c r="R30" s="59">
        <f t="shared" si="0"/>
        <v>605.11314415036145</v>
      </c>
      <c r="S30" s="59">
        <f ca="1">AVERAGE(OFFSET($R$3,0,0,'Données projet'!$E$9+1,1))-AVERAGE(OFFSET($H$3,0,0,'Données projet'!$E$9+1,1))</f>
        <v>326.31232746914907</v>
      </c>
      <c r="T30" s="59">
        <f t="shared" si="34"/>
        <v>330.17137761430297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10.539297181227393</v>
      </c>
      <c r="AB30" s="21">
        <f>EXP(-LN(2)/2)*AB29+(1-EXP(-LN(2)/2))/(LN(2)/2)*V30*Y30*VLOOKUP('Données projet'!$B$9,Paramètres!$A$1:$I$89,3,0)*0.475*44/12</f>
        <v>1.762190745217082</v>
      </c>
      <c r="AC30" s="22">
        <f t="shared" si="3"/>
        <v>12.301487926444475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77.903279999999981</v>
      </c>
      <c r="AK30" s="13">
        <f t="shared" si="35"/>
        <v>21.623735462576285</v>
      </c>
      <c r="AL30" s="20">
        <f t="shared" si="4"/>
        <v>173.342885263987</v>
      </c>
      <c r="AM30" s="59">
        <f t="shared" si="5"/>
        <v>466.67621859732031</v>
      </c>
      <c r="AN30" s="59">
        <f ca="1">AVERAGE(OFFSET($AM$3,0,0,'Données projet'!$E$10+1,1))-AVERAGE(OFFSET($H$3,0,0,'Données projet'!$E$10+1,1))</f>
        <v>237.22177246688199</v>
      </c>
      <c r="AO30" s="59">
        <f t="shared" si="36"/>
        <v>149.27472147904302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210.8</v>
      </c>
      <c r="BE30" s="13">
        <f>BD30*VLOOKUP('Données projet'!$B$11,Paramètres!$A$1:$I$89,3,0)*VLOOKUP('Données projet'!$B$11,Paramètres!$A$1:$I$89,5,0)</f>
        <v>115.0968</v>
      </c>
      <c r="BF30" s="13">
        <f t="shared" si="37"/>
        <v>30.528646626547697</v>
      </c>
      <c r="BG30" s="20">
        <f t="shared" si="7"/>
        <v>253.6309862079039</v>
      </c>
      <c r="BH30" s="59">
        <f t="shared" si="8"/>
        <v>546.96431954123727</v>
      </c>
      <c r="BI30" s="59">
        <f ca="1">AVERAGE(OFFSET($BH$3,0,0,'Données projet'!$E$11+1,1))-AVERAGE(OFFSET($H$3,0,0,'Données projet'!$E$11+1,1))</f>
        <v>210.04871822652808</v>
      </c>
      <c r="BJ30" s="59">
        <f t="shared" si="38"/>
        <v>250.17540614049324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14.438614320159301</v>
      </c>
      <c r="BR30" s="21">
        <f>EXP(-LN(2)/2)*BR29+(1-EXP(-LN(2)/2))/(LN(2)/2)*BL30*BO30*VLOOKUP('Données projet'!$B$11,Paramètres!$A$1:$I$89,3,0)*0.475*44/12</f>
        <v>2.2129837265516827</v>
      </c>
      <c r="BS30" s="22">
        <f t="shared" si="9"/>
        <v>16.651598046710983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22.2</v>
      </c>
      <c r="N31" s="13">
        <f>IF('Données projet'!$A$36&gt;35,N30+M31-V30,IF(A31&lt;'Données projet'!$A$36,$K$205^A31,IF(A31='Données projet'!$A$36,'Données projet'!$B$36,N30+M31-V30)))</f>
        <v>276.59999999999991</v>
      </c>
      <c r="O31" s="13">
        <f>N31*VLOOKUP('Données projet'!$B$9,Paramètres!$A$1:$I$89,3,0)*VLOOKUP('Données projet'!$B$9,Paramètres!$A$1:$I$89,5,0)</f>
        <v>154.61939999999996</v>
      </c>
      <c r="P31" s="13">
        <f t="shared" si="33"/>
        <v>39.626500524372794</v>
      </c>
      <c r="Q31" s="20">
        <f t="shared" si="2"/>
        <v>338.31161007994922</v>
      </c>
      <c r="R31" s="59">
        <f t="shared" si="0"/>
        <v>631.64494341328259</v>
      </c>
      <c r="S31" s="59">
        <f ca="1">AVERAGE(OFFSET($R$3,0,0,'Données projet'!$E$9+1,1))-AVERAGE(OFFSET($H$3,0,0,'Données projet'!$E$9+1,1))</f>
        <v>326.31232746914907</v>
      </c>
      <c r="T31" s="59">
        <f t="shared" si="34"/>
        <v>330.17137761430297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10.251099545569179</v>
      </c>
      <c r="AB31" s="21">
        <f>EXP(-LN(2)/2)*AB30+(1-EXP(-LN(2)/2))/(LN(2)/2)*V31*Y31*VLOOKUP('Données projet'!$B$9,Paramètres!$A$1:$I$89,3,0)*0.475*44/12</f>
        <v>1.2460570256871744</v>
      </c>
      <c r="AC31" s="22">
        <f t="shared" si="3"/>
        <v>11.497156571256353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83.603519999999975</v>
      </c>
      <c r="AK31" s="13">
        <f t="shared" si="35"/>
        <v>23.015991519299678</v>
      </c>
      <c r="AL31" s="20">
        <f t="shared" si="4"/>
        <v>185.69564922944687</v>
      </c>
      <c r="AM31" s="59">
        <f t="shared" si="5"/>
        <v>479.02898256278019</v>
      </c>
      <c r="AN31" s="59">
        <f ca="1">AVERAGE(OFFSET($AM$3,0,0,'Données projet'!$E$10+1,1))-AVERAGE(OFFSET($H$3,0,0,'Données projet'!$E$10+1,1))</f>
        <v>237.22177246688199</v>
      </c>
      <c r="AO31" s="59">
        <f t="shared" si="36"/>
        <v>149.27472147904302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227.20000000000002</v>
      </c>
      <c r="BE31" s="13">
        <f>BD31*VLOOKUP('Données projet'!$B$11,Paramètres!$A$1:$I$89,3,0)*VLOOKUP('Données projet'!$B$11,Paramètres!$A$1:$I$89,5,0)</f>
        <v>124.05120000000001</v>
      </c>
      <c r="BF31" s="13">
        <f t="shared" si="37"/>
        <v>32.618041559365977</v>
      </c>
      <c r="BG31" s="20">
        <f t="shared" si="7"/>
        <v>272.86559571589572</v>
      </c>
      <c r="BH31" s="59">
        <f t="shared" si="8"/>
        <v>566.19892904922904</v>
      </c>
      <c r="BI31" s="59">
        <f ca="1">AVERAGE(OFFSET($BH$3,0,0,'Données projet'!$E$11+1,1))-AVERAGE(OFFSET($H$3,0,0,'Données projet'!$E$11+1,1))</f>
        <v>210.04871822652808</v>
      </c>
      <c r="BJ31" s="59">
        <f t="shared" si="38"/>
        <v>250.17540614049324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14.043789652280818</v>
      </c>
      <c r="BR31" s="21">
        <f>EXP(-LN(2)/2)*BR30+(1-EXP(-LN(2)/2))/(LN(2)/2)*BL31*BO31*VLOOKUP('Données projet'!$B$11,Paramètres!$A$1:$I$89,3,0)*0.475*44/12</f>
        <v>1.5648157997001713</v>
      </c>
      <c r="BS31" s="22">
        <f t="shared" si="9"/>
        <v>15.608605451980988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22.2</v>
      </c>
      <c r="N32" s="13">
        <f>IF('Données projet'!$A$36&gt;35,N31+M32-V31,IF(A32&lt;'Données projet'!$A$36,$K$205^A32,IF(A32='Données projet'!$A$36,'Données projet'!$B$36,N31+M32-V31)))</f>
        <v>298.7999999999999</v>
      </c>
      <c r="O32" s="13">
        <f>N32*VLOOKUP('Données projet'!$B$9,Paramètres!$A$1:$I$89,3,0)*VLOOKUP('Données projet'!$B$9,Paramètres!$A$1:$I$89,5,0)</f>
        <v>167.02919999999995</v>
      </c>
      <c r="P32" s="13">
        <f t="shared" si="33"/>
        <v>42.423982056168619</v>
      </c>
      <c r="Q32" s="20">
        <f t="shared" si="2"/>
        <v>364.79762541449355</v>
      </c>
      <c r="R32" s="59">
        <f t="shared" si="0"/>
        <v>658.13095874782687</v>
      </c>
      <c r="S32" s="59">
        <f ca="1">AVERAGE(OFFSET($R$3,0,0,'Données projet'!$E$9+1,1))-AVERAGE(OFFSET($H$3,0,0,'Données projet'!$E$9+1,1))</f>
        <v>326.31232746914907</v>
      </c>
      <c r="T32" s="59">
        <f t="shared" si="34"/>
        <v>330.17137761430297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9.9707826894136939</v>
      </c>
      <c r="AB32" s="21">
        <f>EXP(-LN(2)/2)*AB31+(1-EXP(-LN(2)/2))/(LN(2)/2)*V32*Y32*VLOOKUP('Données projet'!$B$9,Paramètres!$A$1:$I$89,3,0)*0.475*44/12</f>
        <v>0.88109537260854109</v>
      </c>
      <c r="AC32" s="22">
        <f t="shared" si="3"/>
        <v>10.851878062022235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89.303759999999968</v>
      </c>
      <c r="AK32" s="13">
        <f t="shared" si="35"/>
        <v>24.397232850954325</v>
      </c>
      <c r="AL32" s="20">
        <f t="shared" si="4"/>
        <v>198.02922921541202</v>
      </c>
      <c r="AM32" s="59">
        <f t="shared" si="5"/>
        <v>491.36256254874536</v>
      </c>
      <c r="AN32" s="59">
        <f ca="1">AVERAGE(OFFSET($AM$3,0,0,'Données projet'!$E$10+1,1))-AVERAGE(OFFSET($H$3,0,0,'Données projet'!$E$10+1,1))</f>
        <v>237.22177246688199</v>
      </c>
      <c r="AO32" s="59">
        <f t="shared" si="36"/>
        <v>149.27472147904302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243.60000000000002</v>
      </c>
      <c r="BE32" s="13">
        <f>BD32*VLOOKUP('Données projet'!$B$11,Paramètres!$A$1:$I$89,3,0)*VLOOKUP('Données projet'!$B$11,Paramètres!$A$1:$I$89,5,0)</f>
        <v>133.00560000000002</v>
      </c>
      <c r="BF32" s="13">
        <f t="shared" si="37"/>
        <v>34.689938673073549</v>
      </c>
      <c r="BG32" s="20">
        <f t="shared" si="7"/>
        <v>292.06972985560316</v>
      </c>
      <c r="BH32" s="59">
        <f t="shared" si="8"/>
        <v>585.40306318893647</v>
      </c>
      <c r="BI32" s="59">
        <f ca="1">AVERAGE(OFFSET($BH$3,0,0,'Données projet'!$E$11+1,1))-AVERAGE(OFFSET($H$3,0,0,'Données projet'!$E$11+1,1))</f>
        <v>210.04871822652808</v>
      </c>
      <c r="BJ32" s="59">
        <f t="shared" si="38"/>
        <v>250.17540614049324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13.659761485708399</v>
      </c>
      <c r="BR32" s="21">
        <f>EXP(-LN(2)/2)*BR31+(1-EXP(-LN(2)/2))/(LN(2)/2)*BL32*BO32*VLOOKUP('Données projet'!$B$11,Paramètres!$A$1:$I$89,3,0)*0.475*44/12</f>
        <v>1.1064918632758414</v>
      </c>
      <c r="BS32" s="22">
        <f t="shared" si="9"/>
        <v>14.766253348984241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321</v>
      </c>
      <c r="L33" s="12">
        <f>VLOOKUP(A33,'Données projet'!$A$35:$I$55,9,0)</f>
        <v>22.2</v>
      </c>
      <c r="M33" s="12">
        <f t="array" ref="M33">INDEX(L:L,MIN(IF(ISNUMBER(L33:L229),ROW(L33:L229),"")))</f>
        <v>22.2</v>
      </c>
      <c r="N33" s="13">
        <f>IF('Données projet'!$A$36&gt;35,N32+M33-V32,IF(A33&lt;'Données projet'!$A$36,$K$205^A33,IF(A33='Données projet'!$A$36,'Données projet'!$B$36,N32+M33-V32)))</f>
        <v>320.99999999999989</v>
      </c>
      <c r="O33" s="13">
        <f>N33*VLOOKUP('Données projet'!$B$9,Paramètres!$A$1:$I$89,3,0)*VLOOKUP('Données projet'!$B$9,Paramètres!$A$1:$I$89,5,0)</f>
        <v>179.43899999999994</v>
      </c>
      <c r="P33" s="13">
        <f t="shared" si="33"/>
        <v>45.19735133639599</v>
      </c>
      <c r="Q33" s="20">
        <f t="shared" si="2"/>
        <v>391.24164524422287</v>
      </c>
      <c r="R33" s="59">
        <f t="shared" si="0"/>
        <v>684.57497857755618</v>
      </c>
      <c r="S33" s="59">
        <f ca="1">AVERAGE(OFFSET($R$3,0,0,'Données projet'!$E$9+1,1))-AVERAGE(OFFSET($H$3,0,0,'Données projet'!$E$9+1,1))</f>
        <v>326.31232746914907</v>
      </c>
      <c r="T33" s="59">
        <f t="shared" si="34"/>
        <v>330.17137761430297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112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4.5679451084387308</v>
      </c>
      <c r="AA33" s="21">
        <f>EXP(-LN(2)/25)*AA32+(1-EXP(-LN(2)/25))/(LN(2)/25)*Calculateur!V33*Calculateur!X33*VLOOKUP('Données projet'!$B$9,Paramètres!$A$1:$I$89,3,0)*0.475*44/12</f>
        <v>30.172948268535706</v>
      </c>
      <c r="AB33" s="21">
        <f>EXP(-LN(2)/2)*AB32+(1-EXP(-LN(2)/2))/(LN(2)/2)*V33*Y33*VLOOKUP('Données projet'!$B$9,Paramètres!$A$1:$I$89,3,0)*0.475*44/12</f>
        <v>32.522088370435227</v>
      </c>
      <c r="AC33" s="22">
        <f t="shared" si="3"/>
        <v>67.262981747409668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95.003999999999962</v>
      </c>
      <c r="AK33" s="13">
        <f t="shared" si="35"/>
        <v>25.768242550600764</v>
      </c>
      <c r="AL33" s="20">
        <f t="shared" si="4"/>
        <v>210.34498910896289</v>
      </c>
      <c r="AM33" s="59">
        <f t="shared" si="5"/>
        <v>503.67832244229623</v>
      </c>
      <c r="AN33" s="59">
        <f ca="1">AVERAGE(OFFSET($AM$3,0,0,'Données projet'!$E$10+1,1))-AVERAGE(OFFSET($H$3,0,0,'Données projet'!$E$10+1,1))</f>
        <v>237.22177246688199</v>
      </c>
      <c r="AO33" s="59">
        <f t="shared" si="36"/>
        <v>149.27472147904302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3.1059381724899082</v>
      </c>
      <c r="AW33" s="21">
        <f>EXP(-LN(2)/2)*AW32+(1-EXP(-LN(2)/2))/(LN(2)/2)*AQ33*AT33*VLOOKUP('Données projet'!$B$10,Paramètres!$A$1:$I$89,3,0)*0.475*44/12</f>
        <v>6.1893478544284255</v>
      </c>
      <c r="AX33" s="21">
        <f t="shared" si="6"/>
        <v>9.2952860269183333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260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260</v>
      </c>
      <c r="BE33" s="13">
        <f>BD33*VLOOKUP('Données projet'!$B$11,Paramètres!$A$1:$I$89,3,0)*VLOOKUP('Données projet'!$B$11,Paramètres!$A$1:$I$89,5,0)</f>
        <v>141.96</v>
      </c>
      <c r="BF33" s="13">
        <f t="shared" si="37"/>
        <v>36.745650011720485</v>
      </c>
      <c r="BG33" s="20">
        <f t="shared" si="7"/>
        <v>311.24567377041313</v>
      </c>
      <c r="BH33" s="59">
        <f t="shared" si="8"/>
        <v>604.57900710374645</v>
      </c>
      <c r="BI33" s="59">
        <f ca="1">AVERAGE(OFFSET($BH$3,0,0,'Données projet'!$E$11+1,1))-AVERAGE(OFFSET($H$3,0,0,'Données projet'!$E$11+1,1))</f>
        <v>210.04871822652808</v>
      </c>
      <c r="BJ33" s="59">
        <f t="shared" si="38"/>
        <v>250.17540614049324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7.3009862621134873</v>
      </c>
      <c r="BQ33" s="21">
        <f>EXP(-LN(2)/25)*BQ32+(1-EXP(-LN(2)/25))/(LN(2)/25)*Calculateur!BL33*Calculateur!BN33*VLOOKUP('Données projet'!$B$11,Paramètres!$A$1:$I$89,3,0)*0.475*44/12</f>
        <v>27.830713584157436</v>
      </c>
      <c r="BR33" s="21">
        <f>EXP(-LN(2)/2)*BR32+(1-EXP(-LN(2)/2))/(LN(2)/2)*BL33*BO33*VLOOKUP('Données projet'!$B$11,Paramètres!$A$1:$I$89,3,0)*0.475*44/12</f>
        <v>21.553888737351617</v>
      </c>
      <c r="BS33" s="22">
        <f t="shared" si="9"/>
        <v>56.685588583622547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</v>
      </c>
      <c r="N34" s="13">
        <f>IF('Données projet'!$A$36&gt;35,N33+M34-V33,IF(A34&lt;'Données projet'!$A$36,$K$205^A34,IF(A34='Données projet'!$A$36,'Données projet'!$B$36,N33+M34-V33)))</f>
        <v>230.99999999999989</v>
      </c>
      <c r="O34" s="13">
        <f>N34*VLOOKUP('Données projet'!$B$9,Paramètres!$A$1:$I$89,3,0)*VLOOKUP('Données projet'!$B$9,Paramètres!$A$1:$I$89,5,0)</f>
        <v>129.12899999999993</v>
      </c>
      <c r="P34" s="13">
        <f t="shared" si="33"/>
        <v>33.795018128858409</v>
      </c>
      <c r="Q34" s="20">
        <f t="shared" si="2"/>
        <v>283.75933157442824</v>
      </c>
      <c r="R34" s="59">
        <f t="shared" si="0"/>
        <v>577.09266490776156</v>
      </c>
      <c r="S34" s="59">
        <f ca="1">AVERAGE(OFFSET($R$3,0,0,'Données projet'!$E$9+1,1))-AVERAGE(OFFSET($H$3,0,0,'Données projet'!$E$9+1,1))</f>
        <v>326.31232746914907</v>
      </c>
      <c r="T34" s="59">
        <f t="shared" si="34"/>
        <v>330.17137761430297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4.4783704910336519</v>
      </c>
      <c r="AA34" s="21">
        <f>EXP(-LN(2)/25)*AA33+(1-EXP(-LN(2)/25))/(LN(2)/25)*Calculateur!V34*Calculateur!X34*VLOOKUP('Données projet'!$B$9,Paramètres!$A$1:$I$89,3,0)*0.475*44/12</f>
        <v>29.347867411406209</v>
      </c>
      <c r="AB34" s="21">
        <f>EXP(-LN(2)/2)*AB33+(1-EXP(-LN(2)/2))/(LN(2)/2)*V34*Y34*VLOOKUP('Données projet'!$B$9,Paramètres!$A$1:$I$89,3,0)*0.475*44/12</f>
        <v>22.996589225082907</v>
      </c>
      <c r="AC34" s="22">
        <f t="shared" si="3"/>
        <v>56.822827127522771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76.184159999999977</v>
      </c>
      <c r="AK34" s="13">
        <f t="shared" si="35"/>
        <v>21.201554232857205</v>
      </c>
      <c r="AL34" s="20">
        <f t="shared" si="4"/>
        <v>169.61345228889294</v>
      </c>
      <c r="AM34" s="59">
        <f t="shared" si="5"/>
        <v>462.94678562222623</v>
      </c>
      <c r="AN34" s="59">
        <f ca="1">AVERAGE(OFFSET($AM$3,0,0,'Données projet'!$E$10+1,1))-AVERAGE(OFFSET($H$3,0,0,'Données projet'!$E$10+1,1))</f>
        <v>237.22177246688199</v>
      </c>
      <c r="AO34" s="59">
        <f t="shared" si="36"/>
        <v>149.27472147904302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3.0210061298289821</v>
      </c>
      <c r="AW34" s="21">
        <f>EXP(-LN(2)/2)*AW33+(1-EXP(-LN(2)/2))/(LN(2)/2)*AQ34*AT34*VLOOKUP('Données projet'!$B$10,Paramètres!$A$1:$I$89,3,0)*0.475*44/12</f>
        <v>4.3765298389887484</v>
      </c>
      <c r="AX34" s="21">
        <f t="shared" si="6"/>
        <v>7.3975359688177305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13.8</v>
      </c>
      <c r="BD34" s="12">
        <f>IF('Données projet'!$A$88&gt;35,BD33+BC34-BL33,IF(A34&lt;'Données projet'!$A$88,$BA$205^A34,IF(A34='Données projet'!$A$88,'Données projet'!$B$88,BD33+BC34-BL33)))</f>
        <v>189.8</v>
      </c>
      <c r="BE34" s="13">
        <f>BD34*VLOOKUP('Données projet'!$B$11,Paramètres!$A$1:$I$89,3,0)*VLOOKUP('Données projet'!$B$11,Paramètres!$A$1:$I$89,5,0)</f>
        <v>103.63080000000001</v>
      </c>
      <c r="BF34" s="13">
        <f t="shared" si="37"/>
        <v>27.825181985080775</v>
      </c>
      <c r="BG34" s="20">
        <f t="shared" si="7"/>
        <v>228.952501957349</v>
      </c>
      <c r="BH34" s="59">
        <f t="shared" si="8"/>
        <v>522.28583529068237</v>
      </c>
      <c r="BI34" s="59">
        <f ca="1">AVERAGE(OFFSET($BH$3,0,0,'Données projet'!$E$11+1,1))-AVERAGE(OFFSET($H$3,0,0,'Données projet'!$E$11+1,1))</f>
        <v>210.04871822652808</v>
      </c>
      <c r="BJ34" s="59">
        <f t="shared" si="38"/>
        <v>250.17540614049324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7.1578183746753483</v>
      </c>
      <c r="BQ34" s="21">
        <f>EXP(-LN(2)/25)*BQ33+(1-EXP(-LN(2)/25))/(LN(2)/25)*Calculateur!BL34*Calculateur!BN34*VLOOKUP('Données projet'!$B$11,Paramètres!$A$1:$I$89,3,0)*0.475*44/12</f>
        <v>27.069681257645033</v>
      </c>
      <c r="BR34" s="21">
        <f>EXP(-LN(2)/2)*BR33+(1-EXP(-LN(2)/2))/(LN(2)/2)*BL34*BO34*VLOOKUP('Données projet'!$B$11,Paramètres!$A$1:$I$89,3,0)*0.475*44/12</f>
        <v>15.240900887121683</v>
      </c>
      <c r="BS34" s="22">
        <f t="shared" si="9"/>
        <v>49.468400519442064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</v>
      </c>
      <c r="N35" s="13">
        <f>IF('Données projet'!$A$36&gt;35,N34+M35-V34,IF(A35&lt;'Données projet'!$A$36,$K$205^A35,IF(A35='Données projet'!$A$36,'Données projet'!$B$36,N34+M35-V34)))</f>
        <v>252.99999999999989</v>
      </c>
      <c r="O35" s="13">
        <f>N35*VLOOKUP('Données projet'!$B$9,Paramètres!$A$1:$I$89,3,0)*VLOOKUP('Données projet'!$B$9,Paramètres!$A$1:$I$89,5,0)</f>
        <v>141.42699999999994</v>
      </c>
      <c r="P35" s="13">
        <f t="shared" si="33"/>
        <v>36.62371795968599</v>
      </c>
      <c r="Q35" s="20">
        <f t="shared" ref="Q35:Q66" si="53">(O35+P35)*0.475*44/12</f>
        <v>310.10500044645295</v>
      </c>
      <c r="R35" s="59">
        <f t="shared" si="0"/>
        <v>603.43833377978626</v>
      </c>
      <c r="S35" s="59">
        <f ca="1">AVERAGE(OFFSET($R$3,0,0,'Données projet'!$E$9+1,1))-AVERAGE(OFFSET($H$3,0,0,'Données projet'!$E$9+1,1))</f>
        <v>326.31232746914907</v>
      </c>
      <c r="T35" s="59">
        <f t="shared" si="34"/>
        <v>330.17137761430297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4.3905523772407644</v>
      </c>
      <c r="AA35" s="21">
        <f>EXP(-LN(2)/25)*AA34+(1-EXP(-LN(2)/25))/(LN(2)/25)*Calculateur!V35*Calculateur!X35*VLOOKUP('Données projet'!$B$9,Paramètres!$A$1:$I$89,3,0)*0.475*44/12</f>
        <v>28.545348433704035</v>
      </c>
      <c r="AB35" s="21">
        <f>EXP(-LN(2)/2)*AB34+(1-EXP(-LN(2)/2))/(LN(2)/2)*V35*Y35*VLOOKUP('Données projet'!$B$9,Paramètres!$A$1:$I$89,3,0)*0.475*44/12</f>
        <v>16.261044185217617</v>
      </c>
      <c r="AC35" s="22">
        <f t="shared" si="3"/>
        <v>49.196944996162415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83.603519999999975</v>
      </c>
      <c r="AK35" s="13">
        <f t="shared" si="35"/>
        <v>23.015991519299678</v>
      </c>
      <c r="AL35" s="20">
        <f t="shared" si="4"/>
        <v>185.69564922944687</v>
      </c>
      <c r="AM35" s="59">
        <f t="shared" si="5"/>
        <v>479.02898256278019</v>
      </c>
      <c r="AN35" s="59">
        <f ca="1">AVERAGE(OFFSET($AM$3,0,0,'Données projet'!$E$10+1,1))-AVERAGE(OFFSET($H$3,0,0,'Données projet'!$E$10+1,1))</f>
        <v>237.22177246688199</v>
      </c>
      <c r="AO35" s="59">
        <f t="shared" si="36"/>
        <v>149.27472147904302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2.938396558341001</v>
      </c>
      <c r="AW35" s="21">
        <f>EXP(-LN(2)/2)*AW34+(1-EXP(-LN(2)/2))/(LN(2)/2)*AQ35*AT35*VLOOKUP('Données projet'!$B$10,Paramètres!$A$1:$I$89,3,0)*0.475*44/12</f>
        <v>3.0946739272142132</v>
      </c>
      <c r="AX35" s="21">
        <f t="shared" si="6"/>
        <v>6.0330704855552142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13.8</v>
      </c>
      <c r="BD35" s="12">
        <f>IF('Données projet'!$A$88&gt;35,BD34+BC35-BL34,IF(A35&lt;'Données projet'!$A$88,$BA$205^A35,IF(A35='Données projet'!$A$88,'Données projet'!$B$88,BD34+BC35-BL34)))</f>
        <v>203.60000000000002</v>
      </c>
      <c r="BE35" s="13">
        <f>BD35*VLOOKUP('Données projet'!$B$11,Paramètres!$A$1:$I$89,3,0)*VLOOKUP('Données projet'!$B$11,Paramètres!$A$1:$I$89,5,0)</f>
        <v>111.1656</v>
      </c>
      <c r="BF35" s="13">
        <f t="shared" si="37"/>
        <v>29.60544032483066</v>
      </c>
      <c r="BG35" s="20">
        <f t="shared" si="7"/>
        <v>245.17622856574675</v>
      </c>
      <c r="BH35" s="59">
        <f t="shared" si="8"/>
        <v>538.50956189908004</v>
      </c>
      <c r="BI35" s="59">
        <f ca="1">AVERAGE(OFFSET($BH$3,0,0,'Données projet'!$E$11+1,1))-AVERAGE(OFFSET($H$3,0,0,'Données projet'!$E$11+1,1))</f>
        <v>210.04871822652808</v>
      </c>
      <c r="BJ35" s="59">
        <f t="shared" si="38"/>
        <v>250.17540614049324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7.0174579221860824</v>
      </c>
      <c r="BQ35" s="21">
        <f>EXP(-LN(2)/25)*BQ34+(1-EXP(-LN(2)/25))/(LN(2)/25)*Calculateur!BL35*Calculateur!BN35*VLOOKUP('Données projet'!$B$11,Paramètres!$A$1:$I$89,3,0)*0.475*44/12</f>
        <v>26.329459400122062</v>
      </c>
      <c r="BR35" s="21">
        <f>EXP(-LN(2)/2)*BR34+(1-EXP(-LN(2)/2))/(LN(2)/2)*BL35*BO35*VLOOKUP('Données projet'!$B$11,Paramètres!$A$1:$I$89,3,0)*0.475*44/12</f>
        <v>10.77694436867581</v>
      </c>
      <c r="BS35" s="22">
        <f t="shared" si="9"/>
        <v>44.123861690983958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</v>
      </c>
      <c r="N36" s="13">
        <f>IF('Données projet'!$A$36&gt;35,N35+M36-V35,IF(A36&lt;'Données projet'!$A$36,$K$205^A36,IF(A36='Données projet'!$A$36,'Données projet'!$B$36,N35+M36-V35)))</f>
        <v>274.99999999999989</v>
      </c>
      <c r="O36" s="13">
        <f>N36*VLOOKUP('Données projet'!$B$9,Paramètres!$A$1:$I$89,3,0)*VLOOKUP('Données projet'!$B$9,Paramètres!$A$1:$I$89,5,0)</f>
        <v>153.72499999999994</v>
      </c>
      <c r="P36" s="13">
        <f t="shared" si="33"/>
        <v>39.423892922919691</v>
      </c>
      <c r="Q36" s="20">
        <f t="shared" si="53"/>
        <v>336.40098850741833</v>
      </c>
      <c r="R36" s="59">
        <f t="shared" si="0"/>
        <v>629.73432184075159</v>
      </c>
      <c r="S36" s="59">
        <f ca="1">AVERAGE(OFFSET($R$3,0,0,'Données projet'!$E$9+1,1))-AVERAGE(OFFSET($H$3,0,0,'Données projet'!$E$9+1,1))</f>
        <v>326.31232746914907</v>
      </c>
      <c r="T36" s="59">
        <f t="shared" si="34"/>
        <v>330.17137761430297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4.3044563230955957</v>
      </c>
      <c r="AA36" s="21">
        <f>EXP(-LN(2)/25)*AA35+(1-EXP(-LN(2)/25))/(LN(2)/25)*Calculateur!V36*Calculateur!X36*VLOOKUP('Données projet'!$B$9,Paramètres!$A$1:$I$89,3,0)*0.475*44/12</f>
        <v>27.764774379649765</v>
      </c>
      <c r="AB36" s="21">
        <f>EXP(-LN(2)/2)*AB35+(1-EXP(-LN(2)/2))/(LN(2)/2)*V36*Y36*VLOOKUP('Données projet'!$B$9,Paramètres!$A$1:$I$89,3,0)*0.475*44/12</f>
        <v>11.498294612541455</v>
      </c>
      <c r="AC36" s="22">
        <f t="shared" si="3"/>
        <v>43.567525315286815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91.022879999999972</v>
      </c>
      <c r="AK36" s="13">
        <f t="shared" si="35"/>
        <v>24.811756526220293</v>
      </c>
      <c r="AL36" s="20">
        <f t="shared" si="4"/>
        <v>201.74532528316695</v>
      </c>
      <c r="AM36" s="59">
        <f t="shared" si="5"/>
        <v>495.07865861650026</v>
      </c>
      <c r="AN36" s="59">
        <f ca="1">AVERAGE(OFFSET($AM$3,0,0,'Données projet'!$E$10+1,1))-AVERAGE(OFFSET($H$3,0,0,'Données projet'!$E$10+1,1))</f>
        <v>237.22177246688199</v>
      </c>
      <c r="AO36" s="59">
        <f t="shared" si="36"/>
        <v>149.27472147904302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2.8580459499296071</v>
      </c>
      <c r="AW36" s="21">
        <f>EXP(-LN(2)/2)*AW35+(1-EXP(-LN(2)/2))/(LN(2)/2)*AQ36*AT36*VLOOKUP('Données projet'!$B$10,Paramètres!$A$1:$I$89,3,0)*0.475*44/12</f>
        <v>2.1882649194943746</v>
      </c>
      <c r="AX36" s="21">
        <f t="shared" si="6"/>
        <v>5.0463108694239818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13.8</v>
      </c>
      <c r="BD36" s="12">
        <f>IF('Données projet'!$A$88&gt;35,BD35+BC36-BL35,IF(A36&lt;'Données projet'!$A$88,$BA$205^A36,IF(A36='Données projet'!$A$88,'Données projet'!$B$88,BD35+BC36-BL35)))</f>
        <v>217.40000000000003</v>
      </c>
      <c r="BE36" s="13">
        <f>BD36*VLOOKUP('Données projet'!$B$11,Paramètres!$A$1:$I$89,3,0)*VLOOKUP('Données projet'!$B$11,Paramètres!$A$1:$I$89,5,0)</f>
        <v>118.70040000000002</v>
      </c>
      <c r="BF36" s="13">
        <f t="shared" si="37"/>
        <v>31.371697109278699</v>
      </c>
      <c r="BG36" s="20">
        <f t="shared" si="7"/>
        <v>261.37556913199376</v>
      </c>
      <c r="BH36" s="59">
        <f t="shared" si="8"/>
        <v>554.70890246532713</v>
      </c>
      <c r="BI36" s="59">
        <f ca="1">AVERAGE(OFFSET($BH$3,0,0,'Données projet'!$E$11+1,1))-AVERAGE(OFFSET($H$3,0,0,'Données projet'!$E$11+1,1))</f>
        <v>210.04871822652808</v>
      </c>
      <c r="BJ36" s="59">
        <f t="shared" si="38"/>
        <v>250.17540614049324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6.8798498525587082</v>
      </c>
      <c r="BQ36" s="21">
        <f>EXP(-LN(2)/25)*BQ35+(1-EXP(-LN(2)/25))/(LN(2)/25)*Calculateur!BL36*Calculateur!BN36*VLOOKUP('Données projet'!$B$11,Paramètres!$A$1:$I$89,3,0)*0.475*44/12</f>
        <v>25.609478948219632</v>
      </c>
      <c r="BR36" s="21">
        <f>EXP(-LN(2)/2)*BR35+(1-EXP(-LN(2)/2))/(LN(2)/2)*BL36*BO36*VLOOKUP('Données projet'!$B$11,Paramètres!$A$1:$I$89,3,0)*0.475*44/12</f>
        <v>7.6204504435608422</v>
      </c>
      <c r="BS36" s="22">
        <f t="shared" si="9"/>
        <v>40.10977924433918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</v>
      </c>
      <c r="N37" s="13">
        <f>IF('Données projet'!$A$36&gt;35,N36+M37-V36,IF(A37&lt;'Données projet'!$A$36,$K$205^A37,IF(A37='Données projet'!$A$36,'Données projet'!$B$36,N36+M37-V36)))</f>
        <v>296.99999999999989</v>
      </c>
      <c r="O37" s="13">
        <f>N37*VLOOKUP('Données projet'!$B$9,Paramètres!$A$1:$I$89,3,0)*VLOOKUP('Données projet'!$B$9,Paramètres!$A$1:$I$89,5,0)</f>
        <v>166.02299999999994</v>
      </c>
      <c r="P37" s="13">
        <f t="shared" si="33"/>
        <v>42.198084449395701</v>
      </c>
      <c r="Q37" s="20">
        <f t="shared" si="53"/>
        <v>362.6517220826974</v>
      </c>
      <c r="R37" s="59">
        <f t="shared" si="0"/>
        <v>655.98505541603072</v>
      </c>
      <c r="S37" s="59">
        <f ca="1">AVERAGE(OFFSET($R$3,0,0,'Données projet'!$E$9+1,1))-AVERAGE(OFFSET($H$3,0,0,'Données projet'!$E$9+1,1))</f>
        <v>326.31232746914907</v>
      </c>
      <c r="T37" s="59">
        <f t="shared" si="34"/>
        <v>330.17137761430297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4.2200485600588058</v>
      </c>
      <c r="AA37" s="21">
        <f>EXP(-LN(2)/25)*AA36+(1-EXP(-LN(2)/25))/(LN(2)/25)*Calculateur!V37*Calculateur!X37*VLOOKUP('Données projet'!$B$9,Paramètres!$A$1:$I$89,3,0)*0.475*44/12</f>
        <v>27.005545164152213</v>
      </c>
      <c r="AB37" s="21">
        <f>EXP(-LN(2)/2)*AB36+(1-EXP(-LN(2)/2))/(LN(2)/2)*V37*Y37*VLOOKUP('Données projet'!$B$9,Paramètres!$A$1:$I$89,3,0)*0.475*44/12</f>
        <v>8.1305220926088104</v>
      </c>
      <c r="AC37" s="22">
        <f t="shared" si="3"/>
        <v>39.35611581681983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98.442239999999984</v>
      </c>
      <c r="AK37" s="13">
        <f t="shared" si="35"/>
        <v>26.590544283900247</v>
      </c>
      <c r="AL37" s="20">
        <f t="shared" si="4"/>
        <v>217.76543262779288</v>
      </c>
      <c r="AM37" s="59">
        <f t="shared" si="5"/>
        <v>511.09876596112622</v>
      </c>
      <c r="AN37" s="59">
        <f ca="1">AVERAGE(OFFSET($AM$3,0,0,'Données projet'!$E$10+1,1))-AVERAGE(OFFSET($H$3,0,0,'Données projet'!$E$10+1,1))</f>
        <v>237.22177246688199</v>
      </c>
      <c r="AO37" s="59">
        <f t="shared" si="36"/>
        <v>149.27472147904302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2.7798925331306776</v>
      </c>
      <c r="AW37" s="21">
        <f>EXP(-LN(2)/2)*AW36+(1-EXP(-LN(2)/2))/(LN(2)/2)*AQ37*AT37*VLOOKUP('Données projet'!$B$10,Paramètres!$A$1:$I$89,3,0)*0.475*44/12</f>
        <v>1.5473369636071068</v>
      </c>
      <c r="AX37" s="21">
        <f t="shared" si="6"/>
        <v>4.3272294967377842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13.8</v>
      </c>
      <c r="BD37" s="12">
        <f>IF('Données projet'!$A$88&gt;35,BD36+BC37-BL36,IF(A37&lt;'Données projet'!$A$88,$BA$205^A37,IF(A37='Données projet'!$A$88,'Données projet'!$B$88,BD36+BC37-BL36)))</f>
        <v>231.20000000000005</v>
      </c>
      <c r="BE37" s="13">
        <f>BD37*VLOOKUP('Données projet'!$B$11,Paramètres!$A$1:$I$89,3,0)*VLOOKUP('Données projet'!$B$11,Paramètres!$A$1:$I$89,5,0)</f>
        <v>126.23520000000002</v>
      </c>
      <c r="BF37" s="13">
        <f t="shared" si="37"/>
        <v>33.12494229060627</v>
      </c>
      <c r="BG37" s="20">
        <f t="shared" si="7"/>
        <v>277.55224782280595</v>
      </c>
      <c r="BH37" s="59">
        <f t="shared" si="8"/>
        <v>570.88558115613932</v>
      </c>
      <c r="BI37" s="59">
        <f ca="1">AVERAGE(OFFSET($BH$3,0,0,'Données projet'!$E$11+1,1))-AVERAGE(OFFSET($H$3,0,0,'Données projet'!$E$11+1,1))</f>
        <v>210.04871822652808</v>
      </c>
      <c r="BJ37" s="59">
        <f t="shared" si="38"/>
        <v>250.17540614049324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6.7449401932440924</v>
      </c>
      <c r="BQ37" s="21">
        <f>EXP(-LN(2)/25)*BQ36+(1-EXP(-LN(2)/25))/(LN(2)/25)*Calculateur!BL37*Calculateur!BN37*VLOOKUP('Données projet'!$B$11,Paramètres!$A$1:$I$89,3,0)*0.475*44/12</f>
        <v>24.909186399636599</v>
      </c>
      <c r="BR37" s="21">
        <f>EXP(-LN(2)/2)*BR36+(1-EXP(-LN(2)/2))/(LN(2)/2)*BL37*BO37*VLOOKUP('Données projet'!$B$11,Paramètres!$A$1:$I$89,3,0)*0.475*44/12</f>
        <v>5.388472184337906</v>
      </c>
      <c r="BS37" s="22">
        <f t="shared" si="9"/>
        <v>37.042598777218601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</v>
      </c>
      <c r="N38" s="13">
        <f>IF('Données projet'!$A$36&gt;35,N37+M38-V37,IF(A38&lt;'Données projet'!$A$36,$K$205^A38,IF(A38='Données projet'!$A$36,'Données projet'!$B$36,N37+M38-V37)))</f>
        <v>318.99999999999989</v>
      </c>
      <c r="O38" s="13">
        <f>N38*VLOOKUP('Données projet'!$B$9,Paramètres!$A$1:$I$89,3,0)*VLOOKUP('Données projet'!$B$9,Paramètres!$A$1:$I$89,5,0)</f>
        <v>178.32099999999994</v>
      </c>
      <c r="P38" s="13">
        <f t="shared" si="33"/>
        <v>44.948436103175418</v>
      </c>
      <c r="Q38" s="20">
        <f t="shared" si="53"/>
        <v>388.86093454636375</v>
      </c>
      <c r="R38" s="59">
        <f t="shared" si="0"/>
        <v>682.19426787969701</v>
      </c>
      <c r="S38" s="59">
        <f ca="1">AVERAGE(OFFSET($R$3,0,0,'Données projet'!$E$9+1,1))-AVERAGE(OFFSET($H$3,0,0,'Données projet'!$E$9+1,1))</f>
        <v>326.31232746914907</v>
      </c>
      <c r="T38" s="59">
        <f t="shared" si="34"/>
        <v>330.17137761430297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4.1372959817715156</v>
      </c>
      <c r="AA38" s="21">
        <f>EXP(-LN(2)/25)*AA37+(1-EXP(-LN(2)/25))/(LN(2)/25)*Calculateur!V38*Calculateur!X38*VLOOKUP('Données projet'!$B$9,Paramètres!$A$1:$I$89,3,0)*0.475*44/12</f>
        <v>26.267077111478574</v>
      </c>
      <c r="AB38" s="21">
        <f>EXP(-LN(2)/2)*AB37+(1-EXP(-LN(2)/2))/(LN(2)/2)*V38*Y38*VLOOKUP('Données projet'!$B$9,Paramètres!$A$1:$I$89,3,0)*0.475*44/12</f>
        <v>5.7491473062707286</v>
      </c>
      <c r="AC38" s="22">
        <f t="shared" si="3"/>
        <v>36.153520399520815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105.86159999999998</v>
      </c>
      <c r="AK38" s="13">
        <f t="shared" si="35"/>
        <v>28.353779818951288</v>
      </c>
      <c r="AL38" s="20">
        <f t="shared" si="4"/>
        <v>233.75845318467347</v>
      </c>
      <c r="AM38" s="59">
        <f t="shared" si="5"/>
        <v>527.09178651800676</v>
      </c>
      <c r="AN38" s="59">
        <f ca="1">AVERAGE(OFFSET($AM$3,0,0,'Données projet'!$E$10+1,1))-AVERAGE(OFFSET($H$3,0,0,'Données projet'!$E$10+1,1))</f>
        <v>237.22177246688199</v>
      </c>
      <c r="AO38" s="59">
        <f t="shared" si="36"/>
        <v>149.27472147904302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2.7038762256240245</v>
      </c>
      <c r="AW38" s="21">
        <f>EXP(-LN(2)/2)*AW37+(1-EXP(-LN(2)/2))/(LN(2)/2)*AQ38*AT38*VLOOKUP('Données projet'!$B$10,Paramètres!$A$1:$I$89,3,0)*0.475*44/12</f>
        <v>1.0941324597471873</v>
      </c>
      <c r="AX38" s="21">
        <f t="shared" si="6"/>
        <v>3.7980086853712116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13.8</v>
      </c>
      <c r="BD38" s="12">
        <f>IF('Données projet'!$A$88&gt;35,BD37+BC38-BL37,IF(A38&lt;'Données projet'!$A$88,$BA$205^A38,IF(A38='Données projet'!$A$88,'Données projet'!$B$88,BD37+BC38-BL37)))</f>
        <v>245.00000000000006</v>
      </c>
      <c r="BE38" s="13">
        <f>BD38*VLOOKUP('Données projet'!$B$11,Paramètres!$A$1:$I$89,3,0)*VLOOKUP('Données projet'!$B$11,Paramètres!$A$1:$I$89,5,0)</f>
        <v>133.77000000000004</v>
      </c>
      <c r="BF38" s="13">
        <f t="shared" si="37"/>
        <v>34.86604096673306</v>
      </c>
      <c r="BG38" s="20">
        <f t="shared" si="7"/>
        <v>293.70777135039344</v>
      </c>
      <c r="BH38" s="59">
        <f t="shared" si="8"/>
        <v>587.04110468372676</v>
      </c>
      <c r="BI38" s="59">
        <f ca="1">AVERAGE(OFFSET($BH$3,0,0,'Données projet'!$E$11+1,1))-AVERAGE(OFFSET($H$3,0,0,'Données projet'!$E$11+1,1))</f>
        <v>210.04871822652808</v>
      </c>
      <c r="BJ38" s="59">
        <f t="shared" si="38"/>
        <v>250.17540614049324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6.612676030061869</v>
      </c>
      <c r="BQ38" s="21">
        <f>EXP(-LN(2)/25)*BQ37+(1-EXP(-LN(2)/25))/(LN(2)/25)*Calculateur!BL38*Calculateur!BN38*VLOOKUP('Données projet'!$B$11,Paramètres!$A$1:$I$89,3,0)*0.475*44/12</f>
        <v>24.228043387621355</v>
      </c>
      <c r="BR38" s="21">
        <f>EXP(-LN(2)/2)*BR37+(1-EXP(-LN(2)/2))/(LN(2)/2)*BL38*BO38*VLOOKUP('Données projet'!$B$11,Paramètres!$A$1:$I$89,3,0)*0.475*44/12</f>
        <v>3.8102252217804216</v>
      </c>
      <c r="BS38" s="22">
        <f t="shared" si="9"/>
        <v>34.650944639463646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340.99999999999989</v>
      </c>
      <c r="O39" s="13">
        <f>N39*VLOOKUP('Données projet'!$B$9,Paramètres!$A$1:$I$89,3,0)*VLOOKUP('Données projet'!$B$9,Paramètres!$A$1:$I$89,5,0)</f>
        <v>190.61899999999991</v>
      </c>
      <c r="P39" s="13">
        <f t="shared" si="33"/>
        <v>47.676779045481801</v>
      </c>
      <c r="Q39" s="20">
        <f t="shared" si="53"/>
        <v>415.03181517088063</v>
      </c>
      <c r="R39" s="59">
        <f t="shared" si="0"/>
        <v>708.36514850421395</v>
      </c>
      <c r="S39" s="59">
        <f ca="1">AVERAGE(OFFSET($R$3,0,0,'Données projet'!$E$9+1,1))-AVERAGE(OFFSET($H$3,0,0,'Données projet'!$E$9+1,1))</f>
        <v>326.31232746914907</v>
      </c>
      <c r="T39" s="59">
        <f t="shared" si="34"/>
        <v>330.17137761430297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4.0561661310703503</v>
      </c>
      <c r="AA39" s="21">
        <f>EXP(-LN(2)/25)*AA38+(1-EXP(-LN(2)/25))/(LN(2)/25)*Calculateur!V39*Calculateur!X39*VLOOKUP('Données projet'!$B$9,Paramètres!$A$1:$I$89,3,0)*0.475*44/12</f>
        <v>25.548802506539641</v>
      </c>
      <c r="AB39" s="21">
        <f>EXP(-LN(2)/2)*AB38+(1-EXP(-LN(2)/2))/(LN(2)/2)*V39*Y39*VLOOKUP('Données projet'!$B$9,Paramètres!$A$1:$I$89,3,0)*0.475*44/12</f>
        <v>4.0652610463044052</v>
      </c>
      <c r="AC39" s="22">
        <f t="shared" si="3"/>
        <v>33.6702296839144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113.28095999999998</v>
      </c>
      <c r="AK39" s="13">
        <f t="shared" si="35"/>
        <v>30.102677097724456</v>
      </c>
      <c r="AL39" s="20">
        <f t="shared" si="4"/>
        <v>249.72650127853672</v>
      </c>
      <c r="AM39" s="59">
        <f t="shared" si="5"/>
        <v>543.05983461186997</v>
      </c>
      <c r="AN39" s="59">
        <f ca="1">AVERAGE(OFFSET($AM$3,0,0,'Données projet'!$E$10+1,1))-AVERAGE(OFFSET($H$3,0,0,'Données projet'!$E$10+1,1))</f>
        <v>237.22177246688199</v>
      </c>
      <c r="AO39" s="59">
        <f t="shared" si="36"/>
        <v>149.27472147904302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2.6299385880436645</v>
      </c>
      <c r="AW39" s="21">
        <f>EXP(-LN(2)/2)*AW38+(1-EXP(-LN(2)/2))/(LN(2)/2)*AQ39*AT39*VLOOKUP('Données projet'!$B$10,Paramètres!$A$1:$I$89,3,0)*0.475*44/12</f>
        <v>0.77366848180355341</v>
      </c>
      <c r="AX39" s="21">
        <f t="shared" si="6"/>
        <v>3.4036070698472178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13.8</v>
      </c>
      <c r="BD39" s="12">
        <f>IF('Données projet'!$A$88&gt;35,BD38+BC39-BL38,IF(A39&lt;'Données projet'!$A$88,$BA$205^A39,IF(A39='Données projet'!$A$88,'Données projet'!$B$88,BD38+BC39-BL38)))</f>
        <v>258.80000000000007</v>
      </c>
      <c r="BE39" s="13">
        <f>BD39*VLOOKUP('Données projet'!$B$11,Paramètres!$A$1:$I$89,3,0)*VLOOKUP('Données projet'!$B$11,Paramètres!$A$1:$I$89,5,0)</f>
        <v>141.30480000000003</v>
      </c>
      <c r="BF39" s="13">
        <f t="shared" si="37"/>
        <v>36.595755275288994</v>
      </c>
      <c r="BG39" s="20">
        <f t="shared" si="7"/>
        <v>309.84346710446169</v>
      </c>
      <c r="BH39" s="59">
        <f t="shared" si="8"/>
        <v>603.17680043779501</v>
      </c>
      <c r="BI39" s="59">
        <f ca="1">AVERAGE(OFFSET($BH$3,0,0,'Données projet'!$E$11+1,1))-AVERAGE(OFFSET($H$3,0,0,'Données projet'!$E$11+1,1))</f>
        <v>210.04871822652808</v>
      </c>
      <c r="BJ39" s="59">
        <f t="shared" si="38"/>
        <v>250.17540614049324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6.4830054864464755</v>
      </c>
      <c r="BQ39" s="21">
        <f>EXP(-LN(2)/25)*BQ38+(1-EXP(-LN(2)/25))/(LN(2)/25)*Calculateur!BL39*Calculateur!BN39*VLOOKUP('Données projet'!$B$11,Paramètres!$A$1:$I$89,3,0)*0.475*44/12</f>
        <v>23.565526267089421</v>
      </c>
      <c r="BR39" s="21">
        <f>EXP(-LN(2)/2)*BR38+(1-EXP(-LN(2)/2))/(LN(2)/2)*BL39*BO39*VLOOKUP('Données projet'!$B$11,Paramètres!$A$1:$I$89,3,0)*0.475*44/12</f>
        <v>2.6942360921689534</v>
      </c>
      <c r="BS39" s="22">
        <f t="shared" si="9"/>
        <v>32.742767845704847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362.99999999999989</v>
      </c>
      <c r="O40" s="13">
        <f>N40*VLOOKUP('Données projet'!$B$9,Paramètres!$A$1:$I$89,3,0)*VLOOKUP('Données projet'!$B$9,Paramètres!$A$1:$I$89,5,0)</f>
        <v>202.91699999999994</v>
      </c>
      <c r="P40" s="13">
        <f t="shared" si="33"/>
        <v>50.384694798587844</v>
      </c>
      <c r="Q40" s="20">
        <f t="shared" si="53"/>
        <v>441.16711844087371</v>
      </c>
      <c r="R40" s="59">
        <f t="shared" si="0"/>
        <v>734.50045177420702</v>
      </c>
      <c r="S40" s="59">
        <f ca="1">AVERAGE(OFFSET($R$3,0,0,'Données projet'!$E$9+1,1))-AVERAGE(OFFSET($H$3,0,0,'Données projet'!$E$9+1,1))</f>
        <v>326.31232746914907</v>
      </c>
      <c r="T40" s="59">
        <f t="shared" si="34"/>
        <v>330.17137761430297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3.9766271872571117</v>
      </c>
      <c r="AA40" s="21">
        <f>EXP(-LN(2)/25)*AA39+(1-EXP(-LN(2)/25))/(LN(2)/25)*Calculateur!V40*Calculateur!X40*VLOOKUP('Données projet'!$B$9,Paramètres!$A$1:$I$89,3,0)*0.475*44/12</f>
        <v>24.850169158445183</v>
      </c>
      <c r="AB40" s="21">
        <f>EXP(-LN(2)/2)*AB39+(1-EXP(-LN(2)/2))/(LN(2)/2)*V40*Y40*VLOOKUP('Données projet'!$B$9,Paramètres!$A$1:$I$89,3,0)*0.475*44/12</f>
        <v>2.8745736531353643</v>
      </c>
      <c r="AC40" s="22">
        <f t="shared" si="3"/>
        <v>31.701369998837659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120.70031999999998</v>
      </c>
      <c r="AK40" s="13">
        <f t="shared" si="35"/>
        <v>31.838282075030818</v>
      </c>
      <c r="AL40" s="20">
        <f t="shared" si="4"/>
        <v>265.67139861401193</v>
      </c>
      <c r="AM40" s="59">
        <f t="shared" si="5"/>
        <v>559.00473194734525</v>
      </c>
      <c r="AN40" s="59">
        <f ca="1">AVERAGE(OFFSET($AM$3,0,0,'Données projet'!$E$10+1,1))-AVERAGE(OFFSET($H$3,0,0,'Données projet'!$E$10+1,1))</f>
        <v>237.22177246688199</v>
      </c>
      <c r="AO40" s="59">
        <f t="shared" si="36"/>
        <v>149.27472147904302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2.5580227790511509</v>
      </c>
      <c r="AW40" s="21">
        <f>EXP(-LN(2)/2)*AW39+(1-EXP(-LN(2)/2))/(LN(2)/2)*AQ40*AT40*VLOOKUP('Données projet'!$B$10,Paramètres!$A$1:$I$89,3,0)*0.475*44/12</f>
        <v>0.54706622987359366</v>
      </c>
      <c r="AX40" s="21">
        <f t="shared" si="6"/>
        <v>3.1050890089247445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13.8</v>
      </c>
      <c r="BD40" s="12">
        <f>IF('Données projet'!$A$88&gt;35,BD39+BC40-BL39,IF(A40&lt;'Données projet'!$A$88,$BA$205^A40,IF(A40='Données projet'!$A$88,'Données projet'!$B$88,BD39+BC40-BL39)))</f>
        <v>272.60000000000008</v>
      </c>
      <c r="BE40" s="13">
        <f>BD40*VLOOKUP('Données projet'!$B$11,Paramètres!$A$1:$I$89,3,0)*VLOOKUP('Données projet'!$B$11,Paramètres!$A$1:$I$89,5,0)</f>
        <v>148.83960000000005</v>
      </c>
      <c r="BF40" s="13">
        <f t="shared" si="37"/>
        <v>38.314761484407519</v>
      </c>
      <c r="BG40" s="20">
        <f t="shared" si="7"/>
        <v>325.9605129186765</v>
      </c>
      <c r="BH40" s="59">
        <f t="shared" si="8"/>
        <v>619.29384625200987</v>
      </c>
      <c r="BI40" s="59">
        <f ca="1">AVERAGE(OFFSET($BH$3,0,0,'Données projet'!$E$11+1,1))-AVERAGE(OFFSET($H$3,0,0,'Données projet'!$E$11+1,1))</f>
        <v>210.04871822652808</v>
      </c>
      <c r="BJ40" s="59">
        <f t="shared" si="38"/>
        <v>250.17540614049324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6.3558777031001581</v>
      </c>
      <c r="BQ40" s="21">
        <f>EXP(-LN(2)/25)*BQ39+(1-EXP(-LN(2)/25))/(LN(2)/25)*Calculateur!BL40*Calculateur!BN40*VLOOKUP('Données projet'!$B$11,Paramètres!$A$1:$I$89,3,0)*0.475*44/12</f>
        <v>22.921125712058693</v>
      </c>
      <c r="BR40" s="21">
        <f>EXP(-LN(2)/2)*BR39+(1-EXP(-LN(2)/2))/(LN(2)/2)*BL40*BO40*VLOOKUP('Données projet'!$B$11,Paramètres!$A$1:$I$89,3,0)*0.475*44/12</f>
        <v>1.9051126108902112</v>
      </c>
      <c r="BS40" s="22">
        <f t="shared" si="9"/>
        <v>31.182116026049062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384.99999999999989</v>
      </c>
      <c r="O41" s="13">
        <f>N41*VLOOKUP('Données projet'!$B$9,Paramètres!$A$1:$I$89,3,0)*VLOOKUP('Données projet'!$B$9,Paramètres!$A$1:$I$89,5,0)</f>
        <v>215.21499999999995</v>
      </c>
      <c r="P41" s="13">
        <f t="shared" si="33"/>
        <v>53.073562353518611</v>
      </c>
      <c r="Q41" s="20">
        <f t="shared" si="53"/>
        <v>467.26924609904478</v>
      </c>
      <c r="R41" s="59">
        <f t="shared" si="0"/>
        <v>760.60257943237809</v>
      </c>
      <c r="S41" s="59">
        <f ca="1">AVERAGE(OFFSET($R$3,0,0,'Données projet'!$E$9+1,1))-AVERAGE(OFFSET($H$3,0,0,'Données projet'!$E$9+1,1))</f>
        <v>326.31232746914907</v>
      </c>
      <c r="T41" s="59">
        <f t="shared" si="34"/>
        <v>330.17137761430297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3.8986479536180854</v>
      </c>
      <c r="AA41" s="21">
        <f>EXP(-LN(2)/25)*AA40+(1-EXP(-LN(2)/25))/(LN(2)/25)*Calculateur!V41*Calculateur!X41*VLOOKUP('Données projet'!$B$9,Paramètres!$A$1:$I$89,3,0)*0.475*44/12</f>
        <v>24.1706399759939</v>
      </c>
      <c r="AB41" s="21">
        <f>EXP(-LN(2)/2)*AB40+(1-EXP(-LN(2)/2))/(LN(2)/2)*V41*Y41*VLOOKUP('Données projet'!$B$9,Paramètres!$A$1:$I$89,3,0)*0.475*44/12</f>
        <v>2.0326305231522026</v>
      </c>
      <c r="AC41" s="22">
        <f t="shared" si="3"/>
        <v>30.101918452764188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128.11967999999996</v>
      </c>
      <c r="AK41" s="13">
        <f t="shared" si="35"/>
        <v>33.561504850994297</v>
      </c>
      <c r="AL41" s="20">
        <f t="shared" si="4"/>
        <v>281.5947302821483</v>
      </c>
      <c r="AM41" s="59">
        <f t="shared" si="5"/>
        <v>574.92806361548162</v>
      </c>
      <c r="AN41" s="59">
        <f ca="1">AVERAGE(OFFSET($AM$3,0,0,'Données projet'!$E$10+1,1))-AVERAGE(OFFSET($H$3,0,0,'Données projet'!$E$10+1,1))</f>
        <v>237.22177246688199</v>
      </c>
      <c r="AO41" s="59">
        <f t="shared" si="36"/>
        <v>149.27472147904302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2.4880735116374257</v>
      </c>
      <c r="AW41" s="21">
        <f>EXP(-LN(2)/2)*AW40+(1-EXP(-LN(2)/2))/(LN(2)/2)*AQ41*AT41*VLOOKUP('Données projet'!$B$10,Paramètres!$A$1:$I$89,3,0)*0.475*44/12</f>
        <v>0.3868342409017767</v>
      </c>
      <c r="AX41" s="21">
        <f t="shared" si="6"/>
        <v>2.8749077525392024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13.8</v>
      </c>
      <c r="BD41" s="12">
        <f>IF('Données projet'!$A$88&gt;35,BD40+BC41-BL40,IF(A41&lt;'Données projet'!$A$88,$BA$205^A41,IF(A41='Données projet'!$A$88,'Données projet'!$B$88,BD40+BC41-BL40)))</f>
        <v>286.40000000000009</v>
      </c>
      <c r="BE41" s="13">
        <f>BD41*VLOOKUP('Données projet'!$B$11,Paramètres!$A$1:$I$89,3,0)*VLOOKUP('Données projet'!$B$11,Paramètres!$A$1:$I$89,5,0)</f>
        <v>156.37440000000007</v>
      </c>
      <c r="BF41" s="13">
        <f t="shared" si="37"/>
        <v>40.023663524293205</v>
      </c>
      <c r="BG41" s="20">
        <f t="shared" si="7"/>
        <v>342.0599606381441</v>
      </c>
      <c r="BH41" s="59">
        <f t="shared" si="8"/>
        <v>635.39329397147742</v>
      </c>
      <c r="BI41" s="59">
        <f ca="1">AVERAGE(OFFSET($BH$3,0,0,'Données projet'!$E$11+1,1))-AVERAGE(OFFSET($H$3,0,0,'Données projet'!$E$11+1,1))</f>
        <v>210.04871822652808</v>
      </c>
      <c r="BJ41" s="59">
        <f t="shared" si="38"/>
        <v>250.17540614049324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6.2312428180449704</v>
      </c>
      <c r="BQ41" s="21">
        <f>EXP(-LN(2)/25)*BQ40+(1-EXP(-LN(2)/25))/(LN(2)/25)*Calculateur!BL41*Calculateur!BN41*VLOOKUP('Données projet'!$B$11,Paramètres!$A$1:$I$89,3,0)*0.475*44/12</f>
        <v>22.294346324092835</v>
      </c>
      <c r="BR41" s="21">
        <f>EXP(-LN(2)/2)*BR40+(1-EXP(-LN(2)/2))/(LN(2)/2)*BL41*BO41*VLOOKUP('Données projet'!$B$11,Paramètres!$A$1:$I$89,3,0)*0.475*44/12</f>
        <v>1.3471180460844769</v>
      </c>
      <c r="BS41" s="22">
        <f t="shared" si="9"/>
        <v>29.872707188222282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406.99999999999989</v>
      </c>
      <c r="O42" s="13">
        <f>N42*VLOOKUP('Données projet'!$B$9,Paramètres!$A$1:$I$89,3,0)*VLOOKUP('Données projet'!$B$9,Paramètres!$A$1:$I$89,5,0)</f>
        <v>227.51299999999995</v>
      </c>
      <c r="P42" s="13">
        <f t="shared" si="33"/>
        <v>55.744594200664011</v>
      </c>
      <c r="Q42" s="20">
        <f t="shared" si="53"/>
        <v>493.34030989948968</v>
      </c>
      <c r="R42" s="59">
        <f t="shared" si="0"/>
        <v>786.673643232823</v>
      </c>
      <c r="S42" s="59">
        <f ca="1">AVERAGE(OFFSET($R$3,0,0,'Données projet'!$E$9+1,1))-AVERAGE(OFFSET($H$3,0,0,'Données projet'!$E$9+1,1))</f>
        <v>326.31232746914907</v>
      </c>
      <c r="T42" s="59">
        <f t="shared" si="34"/>
        <v>330.17137761430297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3.8221978451880845</v>
      </c>
      <c r="AA42" s="21">
        <f>EXP(-LN(2)/25)*AA41+(1-EXP(-LN(2)/25))/(LN(2)/25)*Calculateur!V42*Calculateur!X42*VLOOKUP('Données projet'!$B$9,Paramètres!$A$1:$I$89,3,0)*0.475*44/12</f>
        <v>23.509692554771632</v>
      </c>
      <c r="AB42" s="21">
        <f>EXP(-LN(2)/2)*AB41+(1-EXP(-LN(2)/2))/(LN(2)/2)*V42*Y42*VLOOKUP('Données projet'!$B$9,Paramètres!$A$1:$I$89,3,0)*0.475*44/12</f>
        <v>1.4372868265676821</v>
      </c>
      <c r="AC42" s="22">
        <f t="shared" si="3"/>
        <v>28.7691772265274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135.53903999999997</v>
      </c>
      <c r="AK42" s="13">
        <f t="shared" si="35"/>
        <v>35.273144164630104</v>
      </c>
      <c r="AL42" s="20">
        <f t="shared" si="4"/>
        <v>297.49788742006405</v>
      </c>
      <c r="AM42" s="59">
        <f t="shared" si="5"/>
        <v>590.83122075339736</v>
      </c>
      <c r="AN42" s="59">
        <f ca="1">AVERAGE(OFFSET($AM$3,0,0,'Données projet'!$E$10+1,1))-AVERAGE(OFFSET($H$3,0,0,'Données projet'!$E$10+1,1))</f>
        <v>237.22177246688199</v>
      </c>
      <c r="AO42" s="59">
        <f t="shared" si="36"/>
        <v>149.27472147904302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2.420037010619601</v>
      </c>
      <c r="AW42" s="21">
        <f>EXP(-LN(2)/2)*AW41+(1-EXP(-LN(2)/2))/(LN(2)/2)*AQ42*AT42*VLOOKUP('Données projet'!$B$10,Paramètres!$A$1:$I$89,3,0)*0.475*44/12</f>
        <v>0.27353311493679683</v>
      </c>
      <c r="AX42" s="21">
        <f t="shared" si="6"/>
        <v>2.693570125556398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13.8</v>
      </c>
      <c r="BD42" s="12">
        <f>IF('Données projet'!$A$88&gt;35,BD41+BC42-BL41,IF(A42&lt;'Données projet'!$A$88,$BA$205^A42,IF(A42='Données projet'!$A$88,'Données projet'!$B$88,BD41+BC42-BL41)))</f>
        <v>300.2000000000001</v>
      </c>
      <c r="BE42" s="13">
        <f>BD42*VLOOKUP('Données projet'!$B$11,Paramètres!$A$1:$I$89,3,0)*VLOOKUP('Données projet'!$B$11,Paramètres!$A$1:$I$89,5,0)</f>
        <v>163.90920000000006</v>
      </c>
      <c r="BF42" s="13">
        <f t="shared" si="37"/>
        <v>41.723003836805745</v>
      </c>
      <c r="BG42" s="20">
        <f t="shared" si="7"/>
        <v>358.14275501577009</v>
      </c>
      <c r="BH42" s="59">
        <f t="shared" si="8"/>
        <v>651.47608834910341</v>
      </c>
      <c r="BI42" s="59">
        <f ca="1">AVERAGE(OFFSET($BH$3,0,0,'Données projet'!$E$11+1,1))-AVERAGE(OFFSET($H$3,0,0,'Données projet'!$E$11+1,1))</f>
        <v>210.04871822652808</v>
      </c>
      <c r="BJ42" s="59">
        <f t="shared" si="38"/>
        <v>250.17540614049324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6.1090519470659412</v>
      </c>
      <c r="BQ42" s="21">
        <f>EXP(-LN(2)/25)*BQ41+(1-EXP(-LN(2)/25))/(LN(2)/25)*Calculateur!BL42*Calculateur!BN42*VLOOKUP('Données projet'!$B$11,Paramètres!$A$1:$I$89,3,0)*0.475*44/12</f>
        <v>21.684706251451797</v>
      </c>
      <c r="BR42" s="21">
        <f>EXP(-LN(2)/2)*BR41+(1-EXP(-LN(2)/2))/(LN(2)/2)*BL42*BO42*VLOOKUP('Données projet'!$B$11,Paramètres!$A$1:$I$89,3,0)*0.475*44/12</f>
        <v>0.95255630544510572</v>
      </c>
      <c r="BS42" s="22">
        <f t="shared" si="9"/>
        <v>28.746314503962843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429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428.99999999999989</v>
      </c>
      <c r="O43" s="13">
        <f>N43*VLOOKUP('Données projet'!$B$9,Paramètres!$A$1:$I$89,3,0)*VLOOKUP('Données projet'!$B$9,Paramètres!$A$1:$I$89,5,0)</f>
        <v>239.81099999999992</v>
      </c>
      <c r="P43" s="13">
        <f t="shared" si="33"/>
        <v>58.398864347229804</v>
      </c>
      <c r="Q43" s="20">
        <f t="shared" si="53"/>
        <v>519.3821804047584</v>
      </c>
      <c r="R43" s="59">
        <f t="shared" si="0"/>
        <v>812.71551373809166</v>
      </c>
      <c r="S43" s="59">
        <f ca="1">AVERAGE(OFFSET($R$3,0,0,'Données projet'!$E$9+1,1))-AVERAGE(OFFSET($H$3,0,0,'Données projet'!$E$9+1,1))</f>
        <v>326.31232746914907</v>
      </c>
      <c r="T43" s="59">
        <f t="shared" si="34"/>
        <v>330.17137761430297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112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3.747246876754434</v>
      </c>
      <c r="AA43" s="21">
        <f>EXP(-LN(2)/25)*AA42+(1-EXP(-LN(2)/25))/(LN(2)/25)*Calculateur!V43*Calculateur!X43*VLOOKUP('Données projet'!$B$9,Paramètres!$A$1:$I$89,3,0)*0.475*44/12</f>
        <v>22.866818775540402</v>
      </c>
      <c r="AB43" s="21">
        <f>EXP(-LN(2)/2)*AB42+(1-EXP(-LN(2)/2))/(LN(2)/2)*V43*Y43*VLOOKUP('Données projet'!$B$9,Paramètres!$A$1:$I$89,3,0)*0.475*44/12</f>
        <v>1.0163152615761013</v>
      </c>
      <c r="AC43" s="22">
        <f t="shared" si="3"/>
        <v>27.630380913870937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142.95839999999993</v>
      </c>
      <c r="AK43" s="13">
        <f t="shared" si="35"/>
        <v>36.973906370811264</v>
      </c>
      <c r="AL43" s="20">
        <f t="shared" si="4"/>
        <v>313.38210026249618</v>
      </c>
      <c r="AM43" s="59">
        <f t="shared" si="5"/>
        <v>606.7154335958295</v>
      </c>
      <c r="AN43" s="59">
        <f ca="1">AVERAGE(OFFSET($AM$3,0,0,'Données projet'!$E$10+1,1))-AVERAGE(OFFSET($H$3,0,0,'Données projet'!$E$10+1,1))</f>
        <v>237.22177246688199</v>
      </c>
      <c r="AO43" s="59">
        <f t="shared" si="36"/>
        <v>149.27472147904302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2.3538609712999925</v>
      </c>
      <c r="AW43" s="21">
        <f>EXP(-LN(2)/2)*AW42+(1-EXP(-LN(2)/2))/(LN(2)/2)*AQ43*AT43*VLOOKUP('Données projet'!$B$10,Paramètres!$A$1:$I$89,3,0)*0.475*44/12</f>
        <v>0.19341712045088835</v>
      </c>
      <c r="AX43" s="21">
        <f t="shared" si="6"/>
        <v>2.547278091750881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314</v>
      </c>
      <c r="BB43" s="12">
        <f>VLOOKUP(A43,'Données projet'!$A$87:$I$107,9,0)</f>
        <v>13.8</v>
      </c>
      <c r="BC43" s="12">
        <f t="array" ref="BC43">INDEX(BB:BB,MIN(IF(ISNUMBER(BB43:BB239),ROW(BB43:BB239),"")))</f>
        <v>13.8</v>
      </c>
      <c r="BD43" s="12">
        <f>IF('Données projet'!$A$88&gt;35,BD42+BC43-BL42,IF(A43&lt;'Données projet'!$A$88,$BA$205^A43,IF(A43='Données projet'!$A$88,'Données projet'!$B$88,BD42+BC43-BL42)))</f>
        <v>314.00000000000011</v>
      </c>
      <c r="BE43" s="13">
        <f>BD43*VLOOKUP('Données projet'!$B$11,Paramètres!$A$1:$I$89,3,0)*VLOOKUP('Données projet'!$B$11,Paramètres!$A$1:$I$89,5,0)</f>
        <v>171.44400000000007</v>
      </c>
      <c r="BF43" s="13">
        <f t="shared" si="37"/>
        <v>43.413272173627242</v>
      </c>
      <c r="BG43" s="20">
        <f t="shared" si="7"/>
        <v>374.20974903573421</v>
      </c>
      <c r="BH43" s="59">
        <f t="shared" si="8"/>
        <v>667.54308236906752</v>
      </c>
      <c r="BI43" s="59">
        <f ca="1">AVERAGE(OFFSET($BH$3,0,0,'Données projet'!$E$11+1,1))-AVERAGE(OFFSET($H$3,0,0,'Données projet'!$E$11+1,1))</f>
        <v>210.04871822652808</v>
      </c>
      <c r="BJ43" s="59">
        <f t="shared" si="38"/>
        <v>250.17540614049324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5.9892571645377384</v>
      </c>
      <c r="BQ43" s="21">
        <f>EXP(-LN(2)/25)*BQ42+(1-EXP(-LN(2)/25))/(LN(2)/25)*Calculateur!BL43*Calculateur!BN43*VLOOKUP('Données projet'!$B$11,Paramètres!$A$1:$I$89,3,0)*0.475*44/12</f>
        <v>21.091736818656706</v>
      </c>
      <c r="BR43" s="21">
        <f>EXP(-LN(2)/2)*BR42+(1-EXP(-LN(2)/2))/(LN(2)/2)*BL43*BO43*VLOOKUP('Données projet'!$B$11,Paramètres!$A$1:$I$89,3,0)*0.475*44/12</f>
        <v>0.67355902304223858</v>
      </c>
      <c r="BS43" s="22">
        <f t="shared" si="9"/>
        <v>27.754553006236684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19.2</v>
      </c>
      <c r="N44" s="13">
        <f>IF('Données projet'!$A$36&gt;35,N43+M44-V43,IF(A44&lt;'Données projet'!$A$36,$K$205^A44,IF(A44='Données projet'!$A$36,'Données projet'!$B$36,N43+M44-V43)))</f>
        <v>336.19999999999987</v>
      </c>
      <c r="O44" s="13">
        <f>N44*VLOOKUP('Données projet'!$B$9,Paramètres!$A$1:$I$89,3,0)*VLOOKUP('Données projet'!$B$9,Paramètres!$A$1:$I$89,5,0)</f>
        <v>187.93579999999994</v>
      </c>
      <c r="P44" s="13">
        <f t="shared" si="33"/>
        <v>47.083297807364765</v>
      </c>
      <c r="Q44" s="20">
        <f t="shared" si="53"/>
        <v>409.3249286811602</v>
      </c>
      <c r="R44" s="59">
        <f t="shared" si="0"/>
        <v>702.65826201449352</v>
      </c>
      <c r="S44" s="59">
        <f ca="1">AVERAGE(OFFSET($R$3,0,0,'Données projet'!$E$9+1,1))-AVERAGE(OFFSET($H$3,0,0,'Données projet'!$E$9+1,1))</f>
        <v>326.31232746914907</v>
      </c>
      <c r="T44" s="59">
        <f t="shared" si="34"/>
        <v>330.17137761430297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3.6737656510961907</v>
      </c>
      <c r="AA44" s="21">
        <f>EXP(-LN(2)/25)*AA43+(1-EXP(-LN(2)/25))/(LN(2)/25)*Calculateur!V44*Calculateur!X44*VLOOKUP('Données projet'!$B$9,Paramètres!$A$1:$I$89,3,0)*0.475*44/12</f>
        <v>22.241524413609515</v>
      </c>
      <c r="AB44" s="21">
        <f>EXP(-LN(2)/2)*AB43+(1-EXP(-LN(2)/2))/(LN(2)/2)*V44*Y44*VLOOKUP('Données projet'!$B$9,Paramètres!$A$1:$I$89,3,0)*0.475*44/12</f>
        <v>0.71864341328384107</v>
      </c>
      <c r="AC44" s="22">
        <f t="shared" si="3"/>
        <v>26.633933477989544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112.46663999999996</v>
      </c>
      <c r="AK44" s="13">
        <f t="shared" si="35"/>
        <v>29.911391992758421</v>
      </c>
      <c r="AL44" s="20">
        <f t="shared" si="4"/>
        <v>247.97507238738748</v>
      </c>
      <c r="AM44" s="59">
        <f t="shared" si="5"/>
        <v>541.30840572072077</v>
      </c>
      <c r="AN44" s="59">
        <f ca="1">AVERAGE(OFFSET($AM$3,0,0,'Données projet'!$E$10+1,1))-AVERAGE(OFFSET($H$3,0,0,'Données projet'!$E$10+1,1))</f>
        <v>237.22177246688199</v>
      </c>
      <c r="AO44" s="59">
        <f t="shared" si="36"/>
        <v>149.27472147904302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2.2894945192556255</v>
      </c>
      <c r="AW44" s="21">
        <f>EXP(-LN(2)/2)*AW43+(1-EXP(-LN(2)/2))/(LN(2)/2)*AQ44*AT44*VLOOKUP('Données projet'!$B$10,Paramètres!$A$1:$I$89,3,0)*0.475*44/12</f>
        <v>0.13676655746839841</v>
      </c>
      <c r="AX44" s="21">
        <f t="shared" si="6"/>
        <v>2.4262610767240238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245.50000000000011</v>
      </c>
      <c r="BE44" s="13">
        <f>BD44*VLOOKUP('Données projet'!$B$11,Paramètres!$A$1:$I$89,3,0)*VLOOKUP('Données projet'!$B$11,Paramètres!$A$1:$I$89,5,0)</f>
        <v>134.04300000000006</v>
      </c>
      <c r="BF44" s="13">
        <f t="shared" si="37"/>
        <v>34.928906226695894</v>
      </c>
      <c r="BG44" s="20">
        <f t="shared" si="7"/>
        <v>294.2927366781621</v>
      </c>
      <c r="BH44" s="59">
        <f t="shared" si="8"/>
        <v>587.62607001149536</v>
      </c>
      <c r="BI44" s="59">
        <f ca="1">AVERAGE(OFFSET($BH$3,0,0,'Données projet'!$E$11+1,1))-AVERAGE(OFFSET($H$3,0,0,'Données projet'!$E$11+1,1))</f>
        <v>210.04871822652808</v>
      </c>
      <c r="BJ44" s="59">
        <f t="shared" si="38"/>
        <v>250.17540614049324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5.8718114846273117</v>
      </c>
      <c r="BQ44" s="21">
        <f>EXP(-LN(2)/25)*BQ43+(1-EXP(-LN(2)/25))/(LN(2)/25)*Calculateur!BL44*Calculateur!BN44*VLOOKUP('Données projet'!$B$11,Paramètres!$A$1:$I$89,3,0)*0.475*44/12</f>
        <v>20.514982166184303</v>
      </c>
      <c r="BR44" s="21">
        <f>EXP(-LN(2)/2)*BR43+(1-EXP(-LN(2)/2))/(LN(2)/2)*BL44*BO44*VLOOKUP('Données projet'!$B$11,Paramètres!$A$1:$I$89,3,0)*0.475*44/12</f>
        <v>0.47627815272255297</v>
      </c>
      <c r="BS44" s="22">
        <f t="shared" si="9"/>
        <v>26.863071803534169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19.2</v>
      </c>
      <c r="N45" s="13">
        <f>IF('Données projet'!$A$36&gt;35,N44+M45-V44,IF(A45&lt;'Données projet'!$A$36,$K$205^A45,IF(A45='Données projet'!$A$36,'Données projet'!$B$36,N44+M45-V44)))</f>
        <v>355.39999999999986</v>
      </c>
      <c r="O45" s="13">
        <f>N45*VLOOKUP('Données projet'!$B$9,Paramètres!$A$1:$I$89,3,0)*VLOOKUP('Données projet'!$B$9,Paramètres!$A$1:$I$89,5,0)</f>
        <v>198.66859999999994</v>
      </c>
      <c r="P45" s="13">
        <f t="shared" si="33"/>
        <v>49.451452656287465</v>
      </c>
      <c r="Q45" s="20">
        <f t="shared" si="53"/>
        <v>432.14242504303388</v>
      </c>
      <c r="R45" s="59">
        <f t="shared" si="0"/>
        <v>725.47575837636714</v>
      </c>
      <c r="S45" s="59">
        <f ca="1">AVERAGE(OFFSET($R$3,0,0,'Données projet'!$E$9+1,1))-AVERAGE(OFFSET($H$3,0,0,'Données projet'!$E$9+1,1))</f>
        <v>326.31232746914907</v>
      </c>
      <c r="T45" s="59">
        <f t="shared" si="34"/>
        <v>330.17137761430297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3.6017253474539834</v>
      </c>
      <c r="AA45" s="21">
        <f>EXP(-LN(2)/25)*AA44+(1-EXP(-LN(2)/25))/(LN(2)/25)*Calculateur!V45*Calculateur!X45*VLOOKUP('Données projet'!$B$9,Paramètres!$A$1:$I$89,3,0)*0.475*44/12</f>
        <v>21.633328758888428</v>
      </c>
      <c r="AB45" s="21">
        <f>EXP(-LN(2)/2)*AB44+(1-EXP(-LN(2)/2))/(LN(2)/2)*V45*Y45*VLOOKUP('Données projet'!$B$9,Paramètres!$A$1:$I$89,3,0)*0.475*44/12</f>
        <v>0.50815763078805065</v>
      </c>
      <c r="AC45" s="22">
        <f t="shared" si="3"/>
        <v>25.743211737130462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119.97647999999997</v>
      </c>
      <c r="AK45" s="13">
        <f t="shared" si="35"/>
        <v>31.669513577784763</v>
      </c>
      <c r="AL45" s="20">
        <f t="shared" si="4"/>
        <v>264.11677214797504</v>
      </c>
      <c r="AM45" s="59">
        <f t="shared" si="5"/>
        <v>557.45010548130836</v>
      </c>
      <c r="AN45" s="59">
        <f ca="1">AVERAGE(OFFSET($AM$3,0,0,'Données projet'!$E$10+1,1))-AVERAGE(OFFSET($H$3,0,0,'Données projet'!$E$10+1,1))</f>
        <v>237.22177246688199</v>
      </c>
      <c r="AO45" s="59">
        <f t="shared" si="36"/>
        <v>149.27472147904302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2.2268881712272965</v>
      </c>
      <c r="AW45" s="21">
        <f>EXP(-LN(2)/2)*AW44+(1-EXP(-LN(2)/2))/(LN(2)/2)*AQ45*AT45*VLOOKUP('Données projet'!$B$10,Paramètres!$A$1:$I$89,3,0)*0.475*44/12</f>
        <v>9.6708560225444176E-2</v>
      </c>
      <c r="AX45" s="21">
        <f t="shared" si="6"/>
        <v>2.3235967314527408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257.00000000000011</v>
      </c>
      <c r="BE45" s="13">
        <f>BD45*VLOOKUP('Données projet'!$B$11,Paramètres!$A$1:$I$89,3,0)*VLOOKUP('Données projet'!$B$11,Paramètres!$A$1:$I$89,5,0)</f>
        <v>140.32200000000006</v>
      </c>
      <c r="BF45" s="13">
        <f t="shared" si="37"/>
        <v>36.370761307502896</v>
      </c>
      <c r="BG45" s="20">
        <f t="shared" si="7"/>
        <v>307.73989261056767</v>
      </c>
      <c r="BH45" s="59">
        <f t="shared" si="8"/>
        <v>601.07322594390098</v>
      </c>
      <c r="BI45" s="59">
        <f ca="1">AVERAGE(OFFSET($BH$3,0,0,'Données projet'!$E$11+1,1))-AVERAGE(OFFSET($H$3,0,0,'Données projet'!$E$11+1,1))</f>
        <v>210.04871822652808</v>
      </c>
      <c r="BJ45" s="59">
        <f t="shared" si="38"/>
        <v>250.17540614049324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5.7566688428651371</v>
      </c>
      <c r="BQ45" s="21">
        <f>EXP(-LN(2)/25)*BQ44+(1-EXP(-LN(2)/25))/(LN(2)/25)*Calculateur!BL45*Calculateur!BN45*VLOOKUP('Données projet'!$B$11,Paramètres!$A$1:$I$89,3,0)*0.475*44/12</f>
        <v>19.953998900013968</v>
      </c>
      <c r="BR45" s="21">
        <f>EXP(-LN(2)/2)*BR44+(1-EXP(-LN(2)/2))/(LN(2)/2)*BL45*BO45*VLOOKUP('Données projet'!$B$11,Paramètres!$A$1:$I$89,3,0)*0.475*44/12</f>
        <v>0.33677951152111935</v>
      </c>
      <c r="BS45" s="22">
        <f t="shared" si="9"/>
        <v>26.047447254400222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19.2</v>
      </c>
      <c r="N46" s="13">
        <f>IF('Données projet'!$A$36&gt;35,N45+M46-V45,IF(A46&lt;'Données projet'!$A$36,$K$205^A46,IF(A46='Données projet'!$A$36,'Données projet'!$B$36,N45+M46-V45)))</f>
        <v>374.59999999999985</v>
      </c>
      <c r="O46" s="13">
        <f>N46*VLOOKUP('Données projet'!$B$9,Paramètres!$A$1:$I$89,3,0)*VLOOKUP('Données projet'!$B$9,Paramètres!$A$1:$I$89,5,0)</f>
        <v>209.40139999999994</v>
      </c>
      <c r="P46" s="13">
        <f t="shared" si="33"/>
        <v>51.804754813749405</v>
      </c>
      <c r="Q46" s="20">
        <f t="shared" si="53"/>
        <v>454.93405296728002</v>
      </c>
      <c r="R46" s="59">
        <f t="shared" si="0"/>
        <v>748.26738630061334</v>
      </c>
      <c r="S46" s="59">
        <f ca="1">AVERAGE(OFFSET($R$3,0,0,'Données projet'!$E$9+1,1))-AVERAGE(OFFSET($H$3,0,0,'Données projet'!$E$9+1,1))</f>
        <v>326.31232746914907</v>
      </c>
      <c r="T46" s="59">
        <f t="shared" si="34"/>
        <v>330.17137761430297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3.5310977102259531</v>
      </c>
      <c r="AA46" s="21">
        <f>EXP(-LN(2)/25)*AA45+(1-EXP(-LN(2)/25))/(LN(2)/25)*Calculateur!V46*Calculateur!X46*VLOOKUP('Données projet'!$B$9,Paramètres!$A$1:$I$89,3,0)*0.475*44/12</f>
        <v>21.041764246329308</v>
      </c>
      <c r="AB46" s="21">
        <f>EXP(-LN(2)/2)*AB45+(1-EXP(-LN(2)/2))/(LN(2)/2)*V46*Y46*VLOOKUP('Données projet'!$B$9,Paramètres!$A$1:$I$89,3,0)*0.475*44/12</f>
        <v>0.35932170664192054</v>
      </c>
      <c r="AC46" s="22">
        <f t="shared" si="3"/>
        <v>24.932183663197183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127.48631999999998</v>
      </c>
      <c r="AK46" s="13">
        <f t="shared" si="35"/>
        <v>33.414863287066048</v>
      </c>
      <c r="AL46" s="20">
        <f t="shared" si="4"/>
        <v>280.23622755830667</v>
      </c>
      <c r="AM46" s="59">
        <f t="shared" si="5"/>
        <v>573.56956089163998</v>
      </c>
      <c r="AN46" s="59">
        <f ca="1">AVERAGE(OFFSET($AM$3,0,0,'Données projet'!$E$10+1,1))-AVERAGE(OFFSET($H$3,0,0,'Données projet'!$E$10+1,1))</f>
        <v>237.22177246688199</v>
      </c>
      <c r="AO46" s="59">
        <f t="shared" si="36"/>
        <v>149.27472147904302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2.1659937970781269</v>
      </c>
      <c r="AW46" s="21">
        <f>EXP(-LN(2)/2)*AW45+(1-EXP(-LN(2)/2))/(LN(2)/2)*AQ46*AT46*VLOOKUP('Données projet'!$B$10,Paramètres!$A$1:$I$89,3,0)*0.475*44/12</f>
        <v>6.8383278734199207E-2</v>
      </c>
      <c r="AX46" s="21">
        <f t="shared" si="6"/>
        <v>2.234377075812326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268.50000000000011</v>
      </c>
      <c r="BE46" s="13">
        <f>BD46*VLOOKUP('Données projet'!$B$11,Paramètres!$A$1:$I$89,3,0)*VLOOKUP('Données projet'!$B$11,Paramètres!$A$1:$I$89,5,0)</f>
        <v>146.60100000000006</v>
      </c>
      <c r="BF46" s="13">
        <f t="shared" si="37"/>
        <v>37.805123282858517</v>
      </c>
      <c r="BG46" s="20">
        <f t="shared" si="7"/>
        <v>321.1739980509787</v>
      </c>
      <c r="BH46" s="59">
        <f t="shared" si="8"/>
        <v>614.50733138431201</v>
      </c>
      <c r="BI46" s="59">
        <f ca="1">AVERAGE(OFFSET($BH$3,0,0,'Données projet'!$E$11+1,1))-AVERAGE(OFFSET($H$3,0,0,'Données projet'!$E$11+1,1))</f>
        <v>210.04871822652808</v>
      </c>
      <c r="BJ46" s="59">
        <f t="shared" si="38"/>
        <v>250.17540614049324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5.6437840780778412</v>
      </c>
      <c r="BQ46" s="21">
        <f>EXP(-LN(2)/25)*BQ45+(1-EXP(-LN(2)/25))/(LN(2)/25)*Calculateur!BL46*Calculateur!BN46*VLOOKUP('Données projet'!$B$11,Paramètres!$A$1:$I$89,3,0)*0.475*44/12</f>
        <v>19.408355750757888</v>
      </c>
      <c r="BR46" s="21">
        <f>EXP(-LN(2)/2)*BR45+(1-EXP(-LN(2)/2))/(LN(2)/2)*BL46*BO46*VLOOKUP('Données projet'!$B$11,Paramètres!$A$1:$I$89,3,0)*0.475*44/12</f>
        <v>0.23813907636127651</v>
      </c>
      <c r="BS46" s="22">
        <f t="shared" si="9"/>
        <v>25.290278905197003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19.2</v>
      </c>
      <c r="N47" s="13">
        <f>IF('Données projet'!$A$36&gt;35,N46+M47-V46,IF(A47&lt;'Données projet'!$A$36,$K$205^A47,IF(A47='Données projet'!$A$36,'Données projet'!$B$36,N46+M47-V46)))</f>
        <v>393.79999999999984</v>
      </c>
      <c r="O47" s="13">
        <f>N47*VLOOKUP('Données projet'!$B$9,Paramètres!$A$1:$I$89,3,0)*VLOOKUP('Données projet'!$B$9,Paramètres!$A$1:$I$89,5,0)</f>
        <v>220.13419999999991</v>
      </c>
      <c r="P47" s="13">
        <f t="shared" si="33"/>
        <v>54.144052392262886</v>
      </c>
      <c r="Q47" s="20">
        <f t="shared" si="53"/>
        <v>477.701289583191</v>
      </c>
      <c r="R47" s="59">
        <f t="shared" si="0"/>
        <v>771.03462291652431</v>
      </c>
      <c r="S47" s="59">
        <f ca="1">AVERAGE(OFFSET($R$3,0,0,'Données projet'!$E$9+1,1))-AVERAGE(OFFSET($H$3,0,0,'Données projet'!$E$9+1,1))</f>
        <v>326.31232746914907</v>
      </c>
      <c r="T47" s="59">
        <f t="shared" si="34"/>
        <v>330.17137761430297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3.4618550378853596</v>
      </c>
      <c r="AA47" s="21">
        <f>EXP(-LN(2)/25)*AA46+(1-EXP(-LN(2)/25))/(LN(2)/25)*Calculateur!V47*Calculateur!X47*VLOOKUP('Données projet'!$B$9,Paramètres!$A$1:$I$89,3,0)*0.475*44/12</f>
        <v>20.466376096475141</v>
      </c>
      <c r="AB47" s="21">
        <f>EXP(-LN(2)/2)*AB46+(1-EXP(-LN(2)/2))/(LN(2)/2)*V47*Y47*VLOOKUP('Données projet'!$B$9,Paramètres!$A$1:$I$89,3,0)*0.475*44/12</f>
        <v>0.25407881539402533</v>
      </c>
      <c r="AC47" s="22">
        <f t="shared" si="3"/>
        <v>24.182309949754526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134.99615999999997</v>
      </c>
      <c r="AK47" s="13">
        <f t="shared" si="35"/>
        <v>35.148279172043118</v>
      </c>
      <c r="AL47" s="20">
        <f t="shared" si="4"/>
        <v>296.33489822464168</v>
      </c>
      <c r="AM47" s="59">
        <f t="shared" si="5"/>
        <v>589.66823155797499</v>
      </c>
      <c r="AN47" s="59">
        <f ca="1">AVERAGE(OFFSET($AM$3,0,0,'Données projet'!$E$10+1,1))-AVERAGE(OFFSET($H$3,0,0,'Données projet'!$E$10+1,1))</f>
        <v>237.22177246688199</v>
      </c>
      <c r="AO47" s="59">
        <f t="shared" si="36"/>
        <v>149.27472147904302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2.106764582792362</v>
      </c>
      <c r="AW47" s="21">
        <f>EXP(-LN(2)/2)*AW46+(1-EXP(-LN(2)/2))/(LN(2)/2)*AQ47*AT47*VLOOKUP('Données projet'!$B$10,Paramètres!$A$1:$I$89,3,0)*0.475*44/12</f>
        <v>4.8354280112722088E-2</v>
      </c>
      <c r="AX47" s="21">
        <f t="shared" si="6"/>
        <v>2.1551188629050841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280.00000000000011</v>
      </c>
      <c r="BE47" s="13">
        <f>BD47*VLOOKUP('Données projet'!$B$11,Paramètres!$A$1:$I$89,3,0)*VLOOKUP('Données projet'!$B$11,Paramètres!$A$1:$I$89,5,0)</f>
        <v>152.88000000000005</v>
      </c>
      <c r="BF47" s="13">
        <f t="shared" si="37"/>
        <v>39.232349774697852</v>
      </c>
      <c r="BG47" s="20">
        <f t="shared" si="7"/>
        <v>334.59567585759885</v>
      </c>
      <c r="BH47" s="59">
        <f t="shared" si="8"/>
        <v>627.92900919093222</v>
      </c>
      <c r="BI47" s="59">
        <f ca="1">AVERAGE(OFFSET($BH$3,0,0,'Données projet'!$E$11+1,1))-AVERAGE(OFFSET($H$3,0,0,'Données projet'!$E$11+1,1))</f>
        <v>210.04871822652808</v>
      </c>
      <c r="BJ47" s="59">
        <f t="shared" si="38"/>
        <v>250.17540614049324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5.533112914675117</v>
      </c>
      <c r="BQ47" s="21">
        <f>EXP(-LN(2)/25)*BQ46+(1-EXP(-LN(2)/25))/(LN(2)/25)*Calculateur!BL47*Calculateur!BN47*VLOOKUP('Données projet'!$B$11,Paramètres!$A$1:$I$89,3,0)*0.475*44/12</f>
        <v>18.877633242112342</v>
      </c>
      <c r="BR47" s="21">
        <f>EXP(-LN(2)/2)*BR46+(1-EXP(-LN(2)/2))/(LN(2)/2)*BL47*BO47*VLOOKUP('Données projet'!$B$11,Paramètres!$A$1:$I$89,3,0)*0.475*44/12</f>
        <v>0.1683897557605597</v>
      </c>
      <c r="BS47" s="22">
        <f t="shared" si="9"/>
        <v>24.579135912548022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19.2</v>
      </c>
      <c r="N48" s="13">
        <f>IF('Données projet'!$A$36&gt;35,N47+M48-V47,IF(A48&lt;'Données projet'!$A$36,$K$205^A48,IF(A48='Données projet'!$A$36,'Données projet'!$B$36,N47+M48-V47)))</f>
        <v>412.99999999999983</v>
      </c>
      <c r="O48" s="13">
        <f>N48*VLOOKUP('Données projet'!$B$9,Paramètres!$A$1:$I$89,3,0)*VLOOKUP('Données projet'!$B$9,Paramètres!$A$1:$I$89,5,0)</f>
        <v>230.8669999999999</v>
      </c>
      <c r="P48" s="13">
        <f t="shared" si="33"/>
        <v>56.470106131334084</v>
      </c>
      <c r="Q48" s="20">
        <f t="shared" si="53"/>
        <v>500.44545984540667</v>
      </c>
      <c r="R48" s="59">
        <f t="shared" si="0"/>
        <v>793.77879317873999</v>
      </c>
      <c r="S48" s="59">
        <f ca="1">AVERAGE(OFFSET($R$3,0,0,'Données projet'!$E$9+1,1))-AVERAGE(OFFSET($H$3,0,0,'Données projet'!$E$9+1,1))</f>
        <v>326.31232746914907</v>
      </c>
      <c r="T48" s="59">
        <f t="shared" si="34"/>
        <v>330.17137761430297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3.3939701721155053</v>
      </c>
      <c r="AA48" s="21">
        <f>EXP(-LN(2)/25)*AA47+(1-EXP(-LN(2)/25))/(LN(2)/25)*Calculateur!V48*Calculateur!X48*VLOOKUP('Données projet'!$B$9,Paramètres!$A$1:$I$89,3,0)*0.475*44/12</f>
        <v>19.906721965837086</v>
      </c>
      <c r="AB48" s="21">
        <f>EXP(-LN(2)/2)*AB47+(1-EXP(-LN(2)/2))/(LN(2)/2)*V48*Y48*VLOOKUP('Données projet'!$B$9,Paramètres!$A$1:$I$89,3,0)*0.475*44/12</f>
        <v>0.17966085332096027</v>
      </c>
      <c r="AC48" s="22">
        <f t="shared" si="3"/>
        <v>23.480352991273552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142.506</v>
      </c>
      <c r="AK48" s="13">
        <f t="shared" si="35"/>
        <v>36.870500776307537</v>
      </c>
      <c r="AL48" s="20">
        <f t="shared" si="4"/>
        <v>312.41407218540223</v>
      </c>
      <c r="AM48" s="59">
        <f t="shared" si="5"/>
        <v>605.7474055187356</v>
      </c>
      <c r="AN48" s="59">
        <f ca="1">AVERAGE(OFFSET($AM$3,0,0,'Données projet'!$E$10+1,1))-AVERAGE(OFFSET($H$3,0,0,'Données projet'!$E$10+1,1))</f>
        <v>237.22177246688199</v>
      </c>
      <c r="AO48" s="59">
        <f t="shared" si="36"/>
        <v>149.27472147904302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2.0491549944859706</v>
      </c>
      <c r="AW48" s="21">
        <f>EXP(-LN(2)/2)*AW47+(1-EXP(-LN(2)/2))/(LN(2)/2)*AQ48*AT48*VLOOKUP('Données projet'!$B$10,Paramètres!$A$1:$I$89,3,0)*0.475*44/12</f>
        <v>3.4191639367099604E-2</v>
      </c>
      <c r="AX48" s="21">
        <f t="shared" si="6"/>
        <v>2.0833466338530702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291.50000000000011</v>
      </c>
      <c r="BE48" s="13">
        <f>BD48*VLOOKUP('Données projet'!$B$11,Paramètres!$A$1:$I$89,3,0)*VLOOKUP('Données projet'!$B$11,Paramètres!$A$1:$I$89,5,0)</f>
        <v>159.15900000000008</v>
      </c>
      <c r="BF48" s="13">
        <f t="shared" si="37"/>
        <v>40.65276736661405</v>
      </c>
      <c r="BG48" s="20">
        <f t="shared" si="7"/>
        <v>348.00549483018625</v>
      </c>
      <c r="BH48" s="59">
        <f t="shared" si="8"/>
        <v>641.33882816351957</v>
      </c>
      <c r="BI48" s="59">
        <f ca="1">AVERAGE(OFFSET($BH$3,0,0,'Données projet'!$E$11+1,1))-AVERAGE(OFFSET($H$3,0,0,'Données projet'!$E$11+1,1))</f>
        <v>210.04871822652808</v>
      </c>
      <c r="BJ48" s="59">
        <f t="shared" si="38"/>
        <v>250.17540614049324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5.4246119452839761</v>
      </c>
      <c r="BQ48" s="21">
        <f>EXP(-LN(2)/25)*BQ47+(1-EXP(-LN(2)/25))/(LN(2)/25)*Calculateur!BL48*Calculateur!BN48*VLOOKUP('Données projet'!$B$11,Paramètres!$A$1:$I$89,3,0)*0.475*44/12</f>
        <v>18.361423368375192</v>
      </c>
      <c r="BR48" s="21">
        <f>EXP(-LN(2)/2)*BR47+(1-EXP(-LN(2)/2))/(LN(2)/2)*BL48*BO48*VLOOKUP('Données projet'!$B$11,Paramètres!$A$1:$I$89,3,0)*0.475*44/12</f>
        <v>0.11906953818063827</v>
      </c>
      <c r="BS48" s="22">
        <f t="shared" si="9"/>
        <v>23.905104851839809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432.19999999999982</v>
      </c>
      <c r="O49" s="13">
        <f>N49*VLOOKUP('Données projet'!$B$9,Paramètres!$A$1:$I$89,3,0)*VLOOKUP('Données projet'!$B$9,Paramètres!$A$1:$I$89,5,0)</f>
        <v>241.5997999999999</v>
      </c>
      <c r="P49" s="13">
        <f t="shared" si="33"/>
        <v>58.783602040793284</v>
      </c>
      <c r="Q49" s="20">
        <f t="shared" si="53"/>
        <v>523.16775855438141</v>
      </c>
      <c r="R49" s="59">
        <f t="shared" si="0"/>
        <v>816.50109188771467</v>
      </c>
      <c r="S49" s="59">
        <f ca="1">AVERAGE(OFFSET($R$3,0,0,'Données projet'!$E$9+1,1))-AVERAGE(OFFSET($H$3,0,0,'Données projet'!$E$9+1,1))</f>
        <v>326.31232746914907</v>
      </c>
      <c r="T49" s="59">
        <f t="shared" si="34"/>
        <v>330.17137761430297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3.3274164871577181</v>
      </c>
      <c r="AA49" s="21">
        <f>EXP(-LN(2)/25)*AA48+(1-EXP(-LN(2)/25))/(LN(2)/25)*Calculateur!V49*Calculateur!X49*VLOOKUP('Données projet'!$B$9,Paramètres!$A$1:$I$89,3,0)*0.475*44/12</f>
        <v>19.362371606832259</v>
      </c>
      <c r="AB49" s="21">
        <f>EXP(-LN(2)/2)*AB48+(1-EXP(-LN(2)/2))/(LN(2)/2)*V49*Y49*VLOOKUP('Données projet'!$B$9,Paramètres!$A$1:$I$89,3,0)*0.475*44/12</f>
        <v>0.12703940769701266</v>
      </c>
      <c r="AC49" s="22">
        <f t="shared" si="3"/>
        <v>22.816827501686987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150.01584</v>
      </c>
      <c r="AK49" s="13">
        <f t="shared" si="35"/>
        <v>38.582185295570788</v>
      </c>
      <c r="AL49" s="20">
        <f t="shared" si="4"/>
        <v>328.47489405645246</v>
      </c>
      <c r="AM49" s="59">
        <f t="shared" si="5"/>
        <v>621.80822738978577</v>
      </c>
      <c r="AN49" s="59">
        <f ca="1">AVERAGE(OFFSET($AM$3,0,0,'Données projet'!$E$10+1,1))-AVERAGE(OFFSET($H$3,0,0,'Données projet'!$E$10+1,1))</f>
        <v>237.22177246688199</v>
      </c>
      <c r="AO49" s="59">
        <f t="shared" si="36"/>
        <v>149.27472147904302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1.993120743401374</v>
      </c>
      <c r="AW49" s="21">
        <f>EXP(-LN(2)/2)*AW48+(1-EXP(-LN(2)/2))/(LN(2)/2)*AQ49*AT49*VLOOKUP('Données projet'!$B$10,Paramètres!$A$1:$I$89,3,0)*0.475*44/12</f>
        <v>2.4177140056361044E-2</v>
      </c>
      <c r="AX49" s="21">
        <f t="shared" si="6"/>
        <v>2.0172978834577351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303.00000000000011</v>
      </c>
      <c r="BE49" s="13">
        <f>BD49*VLOOKUP('Données projet'!$B$11,Paramètres!$A$1:$I$89,3,0)*VLOOKUP('Données projet'!$B$11,Paramètres!$A$1:$I$89,5,0)</f>
        <v>165.43800000000007</v>
      </c>
      <c r="BF49" s="13">
        <f t="shared" si="37"/>
        <v>42.066675415215805</v>
      </c>
      <c r="BG49" s="20">
        <f t="shared" si="7"/>
        <v>361.40397634816759</v>
      </c>
      <c r="BH49" s="59">
        <f t="shared" si="8"/>
        <v>654.73730968150085</v>
      </c>
      <c r="BI49" s="59">
        <f ca="1">AVERAGE(OFFSET($BH$3,0,0,'Données projet'!$E$11+1,1))-AVERAGE(OFFSET($H$3,0,0,'Données projet'!$E$11+1,1))</f>
        <v>210.04871822652808</v>
      </c>
      <c r="BJ49" s="59">
        <f t="shared" si="38"/>
        <v>250.17540614049324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5.3182386137235387</v>
      </c>
      <c r="BQ49" s="21">
        <f>EXP(-LN(2)/25)*BQ48+(1-EXP(-LN(2)/25))/(LN(2)/25)*Calculateur!BL49*Calculateur!BN49*VLOOKUP('Données projet'!$B$11,Paramètres!$A$1:$I$89,3,0)*0.475*44/12</f>
        <v>17.859329280781683</v>
      </c>
      <c r="BR49" s="21">
        <f>EXP(-LN(2)/2)*BR48+(1-EXP(-LN(2)/2))/(LN(2)/2)*BL49*BO49*VLOOKUP('Données projet'!$B$11,Paramètres!$A$1:$I$89,3,0)*0.475*44/12</f>
        <v>8.4194877880279864E-2</v>
      </c>
      <c r="BS49" s="22">
        <f t="shared" si="9"/>
        <v>23.261762772385502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451.39999999999981</v>
      </c>
      <c r="O50" s="13">
        <f>N50*VLOOKUP('Données projet'!$B$9,Paramètres!$A$1:$I$89,3,0)*VLOOKUP('Données projet'!$B$9,Paramètres!$A$1:$I$89,5,0)</f>
        <v>252.3325999999999</v>
      </c>
      <c r="P50" s="13">
        <f t="shared" si="33"/>
        <v>61.08516173401626</v>
      </c>
      <c r="Q50" s="20">
        <f t="shared" si="53"/>
        <v>545.86926835341148</v>
      </c>
      <c r="R50" s="59">
        <f t="shared" si="0"/>
        <v>839.20260168674486</v>
      </c>
      <c r="S50" s="59">
        <f ca="1">AVERAGE(OFFSET($R$3,0,0,'Données projet'!$E$9+1,1))-AVERAGE(OFFSET($H$3,0,0,'Données projet'!$E$9+1,1))</f>
        <v>326.31232746914907</v>
      </c>
      <c r="T50" s="59">
        <f t="shared" si="34"/>
        <v>330.17137761430297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3.2621678793682136</v>
      </c>
      <c r="AA50" s="21">
        <f>EXP(-LN(2)/25)*AA49+(1-EXP(-LN(2)/25))/(LN(2)/25)*Calculateur!V50*Calculateur!X50*VLOOKUP('Données projet'!$B$9,Paramètres!$A$1:$I$89,3,0)*0.475*44/12</f>
        <v>18.832906537020563</v>
      </c>
      <c r="AB50" s="21">
        <f>EXP(-LN(2)/2)*AB49+(1-EXP(-LN(2)/2))/(LN(2)/2)*V50*Y50*VLOOKUP('Données projet'!$B$9,Paramètres!$A$1:$I$89,3,0)*0.475*44/12</f>
        <v>8.9830426660480134E-2</v>
      </c>
      <c r="AC50" s="22">
        <f t="shared" si="3"/>
        <v>22.184904843049257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157.52568000000002</v>
      </c>
      <c r="AK50" s="13">
        <f t="shared" si="35"/>
        <v>40.283920409774808</v>
      </c>
      <c r="AL50" s="20">
        <f t="shared" si="4"/>
        <v>344.51838738035781</v>
      </c>
      <c r="AM50" s="59">
        <f t="shared" si="5"/>
        <v>637.85172071369107</v>
      </c>
      <c r="AN50" s="59">
        <f ca="1">AVERAGE(OFFSET($AM$3,0,0,'Données projet'!$E$10+1,1))-AVERAGE(OFFSET($H$3,0,0,'Données projet'!$E$10+1,1))</f>
        <v>237.22177246688199</v>
      </c>
      <c r="AO50" s="59">
        <f t="shared" si="36"/>
        <v>149.27472147904302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1.9386187518593989</v>
      </c>
      <c r="AW50" s="21">
        <f>EXP(-LN(2)/2)*AW49+(1-EXP(-LN(2)/2))/(LN(2)/2)*AQ50*AT50*VLOOKUP('Données projet'!$B$10,Paramètres!$A$1:$I$89,3,0)*0.475*44/12</f>
        <v>1.7095819683549802E-2</v>
      </c>
      <c r="AX50" s="21">
        <f t="shared" si="6"/>
        <v>1.9557145715429487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314.50000000000011</v>
      </c>
      <c r="BE50" s="13">
        <f>BD50*VLOOKUP('Données projet'!$B$11,Paramètres!$A$1:$I$89,3,0)*VLOOKUP('Données projet'!$B$11,Paramètres!$A$1:$I$89,5,0)</f>
        <v>171.71700000000004</v>
      </c>
      <c r="BF50" s="13">
        <f t="shared" si="37"/>
        <v>43.474349266591211</v>
      </c>
      <c r="BG50" s="20">
        <f t="shared" si="7"/>
        <v>374.79159997264645</v>
      </c>
      <c r="BH50" s="59">
        <f t="shared" si="8"/>
        <v>668.12493330597977</v>
      </c>
      <c r="BI50" s="59">
        <f ca="1">AVERAGE(OFFSET($BH$3,0,0,'Données projet'!$E$11+1,1))-AVERAGE(OFFSET($H$3,0,0,'Données projet'!$E$11+1,1))</f>
        <v>210.04871822652808</v>
      </c>
      <c r="BJ50" s="59">
        <f t="shared" si="38"/>
        <v>250.17540614049324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5.2139511983136755</v>
      </c>
      <c r="BQ50" s="21">
        <f>EXP(-LN(2)/25)*BQ49+(1-EXP(-LN(2)/25))/(LN(2)/25)*Calculateur!BL50*Calculateur!BN50*VLOOKUP('Données projet'!$B$11,Paramètres!$A$1:$I$89,3,0)*0.475*44/12</f>
        <v>17.370964982417398</v>
      </c>
      <c r="BR50" s="21">
        <f>EXP(-LN(2)/2)*BR49+(1-EXP(-LN(2)/2))/(LN(2)/2)*BL50*BO50*VLOOKUP('Données projet'!$B$11,Paramètres!$A$1:$I$89,3,0)*0.475*44/12</f>
        <v>5.9534769090319149E-2</v>
      </c>
      <c r="BS50" s="22">
        <f t="shared" si="9"/>
        <v>22.644450949821394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470.5999999999998</v>
      </c>
      <c r="O51" s="13">
        <f>N51*VLOOKUP('Données projet'!$B$9,Paramètres!$A$1:$I$89,3,0)*VLOOKUP('Données projet'!$B$9,Paramètres!$A$1:$I$89,5,0)</f>
        <v>263.0653999999999</v>
      </c>
      <c r="P51" s="13">
        <f t="shared" si="33"/>
        <v>63.375350953508303</v>
      </c>
      <c r="Q51" s="20">
        <f t="shared" si="53"/>
        <v>568.55097457736008</v>
      </c>
      <c r="R51" s="59">
        <f t="shared" si="0"/>
        <v>861.88430791069345</v>
      </c>
      <c r="S51" s="59">
        <f ca="1">AVERAGE(OFFSET($R$3,0,0,'Données projet'!$E$9+1,1))-AVERAGE(OFFSET($H$3,0,0,'Données projet'!$E$9+1,1))</f>
        <v>326.31232746914907</v>
      </c>
      <c r="T51" s="59">
        <f t="shared" si="34"/>
        <v>330.17137761430297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3.1981987569797403</v>
      </c>
      <c r="AA51" s="21">
        <f>EXP(-LN(2)/25)*AA50+(1-EXP(-LN(2)/25))/(LN(2)/25)*Calculateur!V51*Calculateur!X51*VLOOKUP('Données projet'!$B$9,Paramètres!$A$1:$I$89,3,0)*0.475*44/12</f>
        <v>18.317919717386225</v>
      </c>
      <c r="AB51" s="21">
        <f>EXP(-LN(2)/2)*AB50+(1-EXP(-LN(2)/2))/(LN(2)/2)*V51*Y51*VLOOKUP('Données projet'!$B$9,Paramètres!$A$1:$I$89,3,0)*0.475*44/12</f>
        <v>6.3519703848506331E-2</v>
      </c>
      <c r="AC51" s="22">
        <f t="shared" si="3"/>
        <v>21.57963817821447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165.03552000000002</v>
      </c>
      <c r="AK51" s="13">
        <f t="shared" si="35"/>
        <v>41.976234598846517</v>
      </c>
      <c r="AL51" s="20">
        <f t="shared" si="4"/>
        <v>360.54547259299108</v>
      </c>
      <c r="AM51" s="59">
        <f t="shared" si="5"/>
        <v>653.87880592632439</v>
      </c>
      <c r="AN51" s="59">
        <f ca="1">AVERAGE(OFFSET($AM$3,0,0,'Données projet'!$E$10+1,1))-AVERAGE(OFFSET($H$3,0,0,'Données projet'!$E$10+1,1))</f>
        <v>237.22177246688199</v>
      </c>
      <c r="AO51" s="59">
        <f t="shared" si="36"/>
        <v>149.27472147904302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1.8856071201422742</v>
      </c>
      <c r="AW51" s="21">
        <f>EXP(-LN(2)/2)*AW50+(1-EXP(-LN(2)/2))/(LN(2)/2)*AQ51*AT51*VLOOKUP('Données projet'!$B$10,Paramètres!$A$1:$I$89,3,0)*0.475*44/12</f>
        <v>1.2088570028180522E-2</v>
      </c>
      <c r="AX51" s="21">
        <f t="shared" si="6"/>
        <v>1.8976956901704547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326.00000000000011</v>
      </c>
      <c r="BE51" s="13">
        <f>BD51*VLOOKUP('Données projet'!$B$11,Paramètres!$A$1:$I$89,3,0)*VLOOKUP('Données projet'!$B$11,Paramètres!$A$1:$I$89,5,0)</f>
        <v>177.99600000000007</v>
      </c>
      <c r="BF51" s="13">
        <f t="shared" si="37"/>
        <v>44.876042989096391</v>
      </c>
      <c r="BG51" s="20">
        <f t="shared" si="7"/>
        <v>388.1688082060096</v>
      </c>
      <c r="BH51" s="59">
        <f t="shared" si="8"/>
        <v>681.50214153934292</v>
      </c>
      <c r="BI51" s="59">
        <f ca="1">AVERAGE(OFFSET($BH$3,0,0,'Données projet'!$E$11+1,1))-AVERAGE(OFFSET($H$3,0,0,'Données projet'!$E$11+1,1))</f>
        <v>210.04871822652808</v>
      </c>
      <c r="BJ51" s="59">
        <f t="shared" si="38"/>
        <v>250.17540614049324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5.1117087955109568</v>
      </c>
      <c r="BQ51" s="21">
        <f>EXP(-LN(2)/25)*BQ50+(1-EXP(-LN(2)/25))/(LN(2)/25)*Calculateur!BL51*Calculateur!BN51*VLOOKUP('Données projet'!$B$11,Paramètres!$A$1:$I$89,3,0)*0.475*44/12</f>
        <v>16.895955031473846</v>
      </c>
      <c r="BR51" s="21">
        <f>EXP(-LN(2)/2)*BR50+(1-EXP(-LN(2)/2))/(LN(2)/2)*BL51*BO51*VLOOKUP('Données projet'!$B$11,Paramètres!$A$1:$I$89,3,0)*0.475*44/12</f>
        <v>4.2097438940139939E-2</v>
      </c>
      <c r="BS51" s="22">
        <f t="shared" si="9"/>
        <v>22.049761265924943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489.79999999999978</v>
      </c>
      <c r="O52" s="13">
        <f>N52*VLOOKUP('Données projet'!$B$9,Paramètres!$A$1:$I$89,3,0)*VLOOKUP('Données projet'!$B$9,Paramètres!$A$1:$I$89,5,0)</f>
        <v>273.79819999999989</v>
      </c>
      <c r="P52" s="13">
        <f t="shared" si="33"/>
        <v>65.654686665964775</v>
      </c>
      <c r="Q52" s="20">
        <f t="shared" si="53"/>
        <v>591.21377760988844</v>
      </c>
      <c r="R52" s="59">
        <f t="shared" si="0"/>
        <v>884.5471109432217</v>
      </c>
      <c r="S52" s="59">
        <f ca="1">AVERAGE(OFFSET($R$3,0,0,'Données projet'!$E$9+1,1))-AVERAGE(OFFSET($H$3,0,0,'Données projet'!$E$9+1,1))</f>
        <v>326.31232746914907</v>
      </c>
      <c r="T52" s="59">
        <f t="shared" si="34"/>
        <v>330.17137761430297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3.135484030063993</v>
      </c>
      <c r="AA52" s="21">
        <f>EXP(-LN(2)/25)*AA51+(1-EXP(-LN(2)/25))/(LN(2)/25)*Calculateur!V52*Calculateur!X52*VLOOKUP('Données projet'!$B$9,Paramètres!$A$1:$I$89,3,0)*0.475*44/12</f>
        <v>17.817015239416765</v>
      </c>
      <c r="AB52" s="21">
        <f>EXP(-LN(2)/2)*AB51+(1-EXP(-LN(2)/2))/(LN(2)/2)*V52*Y52*VLOOKUP('Données projet'!$B$9,Paramètres!$A$1:$I$89,3,0)*0.475*44/12</f>
        <v>4.4915213330240067E-2</v>
      </c>
      <c r="AC52" s="22">
        <f t="shared" si="3"/>
        <v>20.997414482810996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172.54536000000004</v>
      </c>
      <c r="AK52" s="13">
        <f t="shared" si="35"/>
        <v>43.65960552772448</v>
      </c>
      <c r="AL52" s="20">
        <f t="shared" si="4"/>
        <v>376.55698162745358</v>
      </c>
      <c r="AM52" s="59">
        <f t="shared" si="5"/>
        <v>669.8903149607869</v>
      </c>
      <c r="AN52" s="59">
        <f ca="1">AVERAGE(OFFSET($AM$3,0,0,'Données projet'!$E$10+1,1))-AVERAGE(OFFSET($H$3,0,0,'Données projet'!$E$10+1,1))</f>
        <v>237.22177246688199</v>
      </c>
      <c r="AO52" s="59">
        <f t="shared" si="36"/>
        <v>149.27472147904302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1.8340450942822148</v>
      </c>
      <c r="AW52" s="21">
        <f>EXP(-LN(2)/2)*AW51+(1-EXP(-LN(2)/2))/(LN(2)/2)*AQ52*AT52*VLOOKUP('Données projet'!$B$10,Paramètres!$A$1:$I$89,3,0)*0.475*44/12</f>
        <v>8.5479098417749009E-3</v>
      </c>
      <c r="AX52" s="21">
        <f t="shared" si="6"/>
        <v>1.8425930041239897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337.50000000000011</v>
      </c>
      <c r="BE52" s="13">
        <f>BD52*VLOOKUP('Données projet'!$B$11,Paramètres!$A$1:$I$89,3,0)*VLOOKUP('Données projet'!$B$11,Paramètres!$A$1:$I$89,5,0)</f>
        <v>184.27500000000003</v>
      </c>
      <c r="BF52" s="13">
        <f t="shared" si="37"/>
        <v>46.27199170970021</v>
      </c>
      <c r="BG52" s="20">
        <f t="shared" si="7"/>
        <v>401.53601056106123</v>
      </c>
      <c r="BH52" s="59">
        <f t="shared" si="8"/>
        <v>694.86934389439455</v>
      </c>
      <c r="BI52" s="59">
        <f ca="1">AVERAGE(OFFSET($BH$3,0,0,'Données projet'!$E$11+1,1))-AVERAGE(OFFSET($H$3,0,0,'Données projet'!$E$11+1,1))</f>
        <v>210.04871822652808</v>
      </c>
      <c r="BJ52" s="59">
        <f t="shared" si="38"/>
        <v>250.17540614049324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5.0114713038654912</v>
      </c>
      <c r="BQ52" s="21">
        <f>EXP(-LN(2)/25)*BQ51+(1-EXP(-LN(2)/25))/(LN(2)/25)*Calculateur!BL52*Calculateur!BN52*VLOOKUP('Données projet'!$B$11,Paramètres!$A$1:$I$89,3,0)*0.475*44/12</f>
        <v>16.433934252618535</v>
      </c>
      <c r="BR52" s="21">
        <f>EXP(-LN(2)/2)*BR51+(1-EXP(-LN(2)/2))/(LN(2)/2)*BL52*BO52*VLOOKUP('Données projet'!$B$11,Paramètres!$A$1:$I$89,3,0)*0.475*44/12</f>
        <v>2.9767384545159578E-2</v>
      </c>
      <c r="BS52" s="22">
        <f t="shared" si="9"/>
        <v>21.475172941029186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509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508.99999999999977</v>
      </c>
      <c r="O53" s="13">
        <f>N53*VLOOKUP('Données projet'!$B$9,Paramètres!$A$1:$I$89,3,0)*VLOOKUP('Données projet'!$B$9,Paramètres!$A$1:$I$89,5,0)</f>
        <v>284.53099999999989</v>
      </c>
      <c r="P53" s="13">
        <f t="shared" si="33"/>
        <v>67.92364301353318</v>
      </c>
      <c r="Q53" s="20">
        <f t="shared" si="53"/>
        <v>613.85850324857017</v>
      </c>
      <c r="R53" s="59">
        <f t="shared" si="0"/>
        <v>907.19183658190354</v>
      </c>
      <c r="S53" s="59">
        <f ca="1">AVERAGE(OFFSET($R$3,0,0,'Données projet'!$E$9+1,1))-AVERAGE(OFFSET($H$3,0,0,'Données projet'!$E$9+1,1))</f>
        <v>326.31232746914907</v>
      </c>
      <c r="T53" s="59">
        <f t="shared" si="34"/>
        <v>330.17137761430297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108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3.0739991006908571</v>
      </c>
      <c r="AA53" s="21">
        <f>EXP(-LN(2)/25)*AA52+(1-EXP(-LN(2)/25))/(LN(2)/25)*Calculateur!V53*Calculateur!X53*VLOOKUP('Données projet'!$B$9,Paramètres!$A$1:$I$89,3,0)*0.475*44/12</f>
        <v>17.329808020738803</v>
      </c>
      <c r="AB53" s="21">
        <f>EXP(-LN(2)/2)*AB52+(1-EXP(-LN(2)/2))/(LN(2)/2)*V53*Y53*VLOOKUP('Données projet'!$B$9,Paramètres!$A$1:$I$89,3,0)*0.475*44/12</f>
        <v>3.1759851924253166E-2</v>
      </c>
      <c r="AC53" s="22">
        <f t="shared" si="3"/>
        <v>20.435566973353911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180.05520000000004</v>
      </c>
      <c r="AK53" s="13">
        <f t="shared" si="35"/>
        <v>45.334466930398399</v>
      </c>
      <c r="AL53" s="20">
        <f t="shared" si="4"/>
        <v>392.55366990377729</v>
      </c>
      <c r="AM53" s="59">
        <f t="shared" si="5"/>
        <v>685.88700323711055</v>
      </c>
      <c r="AN53" s="59">
        <f ca="1">AVERAGE(OFFSET($AM$3,0,0,'Données projet'!$E$10+1,1))-AVERAGE(OFFSET($H$3,0,0,'Données projet'!$E$10+1,1))</f>
        <v>237.22177246688199</v>
      </c>
      <c r="AO53" s="59">
        <f t="shared" si="36"/>
        <v>149.27472147904302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1.7838930347308279</v>
      </c>
      <c r="AW53" s="21">
        <f>EXP(-LN(2)/2)*AW52+(1-EXP(-LN(2)/2))/(LN(2)/2)*AQ53*AT53*VLOOKUP('Données projet'!$B$10,Paramètres!$A$1:$I$89,3,0)*0.475*44/12</f>
        <v>6.044285014090261E-3</v>
      </c>
      <c r="AX53" s="21">
        <f t="shared" si="6"/>
        <v>1.7899373197449182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349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349.00000000000011</v>
      </c>
      <c r="BE53" s="13">
        <f>BD53*VLOOKUP('Données projet'!$B$11,Paramètres!$A$1:$I$89,3,0)*VLOOKUP('Données projet'!$B$11,Paramètres!$A$1:$I$89,5,0)</f>
        <v>190.55400000000006</v>
      </c>
      <c r="BF53" s="13">
        <f t="shared" si="37"/>
        <v>47.662413622948378</v>
      </c>
      <c r="BG53" s="20">
        <f t="shared" si="7"/>
        <v>414.89358705996847</v>
      </c>
      <c r="BH53" s="59">
        <f t="shared" si="8"/>
        <v>708.22692039330173</v>
      </c>
      <c r="BI53" s="59">
        <f ca="1">AVERAGE(OFFSET($BH$3,0,0,'Données projet'!$E$11+1,1))-AVERAGE(OFFSET($H$3,0,0,'Données projet'!$E$11+1,1))</f>
        <v>210.04871822652808</v>
      </c>
      <c r="BJ53" s="59">
        <f t="shared" si="38"/>
        <v>250.17540614049324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4.9131994082923605</v>
      </c>
      <c r="BQ53" s="21">
        <f>EXP(-LN(2)/25)*BQ52+(1-EXP(-LN(2)/25))/(LN(2)/25)*Calculateur!BL53*Calculateur!BN53*VLOOKUP('Données projet'!$B$11,Paramètres!$A$1:$I$89,3,0)*0.475*44/12</f>
        <v>15.984547456257639</v>
      </c>
      <c r="BR53" s="21">
        <f>EXP(-LN(2)/2)*BR52+(1-EXP(-LN(2)/2))/(LN(2)/2)*BL53*BO53*VLOOKUP('Données projet'!$B$11,Paramètres!$A$1:$I$89,3,0)*0.475*44/12</f>
        <v>2.1048719470069973E-2</v>
      </c>
      <c r="BS53" s="22">
        <f t="shared" si="9"/>
        <v>20.918795584020071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</v>
      </c>
      <c r="N54" s="13">
        <f>IF('Données projet'!$A$36&gt;35,N53+M54-V53,IF(A54&lt;'Données projet'!$A$36,$K$205^A54,IF(A54='Données projet'!$A$36,'Données projet'!$B$36,N53+M54-V53)))</f>
        <v>417.19999999999982</v>
      </c>
      <c r="O54" s="13">
        <f>N54*VLOOKUP('Données projet'!$B$9,Paramètres!$A$1:$I$89,3,0)*VLOOKUP('Données projet'!$B$9,Paramètres!$A$1:$I$89,5,0)</f>
        <v>233.21479999999991</v>
      </c>
      <c r="P54" s="13">
        <f t="shared" si="33"/>
        <v>56.977233907865298</v>
      </c>
      <c r="Q54" s="20">
        <f t="shared" si="53"/>
        <v>505.41779238953194</v>
      </c>
      <c r="R54" s="59">
        <f t="shared" si="0"/>
        <v>798.75112572286525</v>
      </c>
      <c r="S54" s="59">
        <f ca="1">AVERAGE(OFFSET($R$3,0,0,'Données projet'!$E$9+1,1))-AVERAGE(OFFSET($H$3,0,0,'Données projet'!$E$9+1,1))</f>
        <v>326.31232746914907</v>
      </c>
      <c r="T54" s="59">
        <f t="shared" si="34"/>
        <v>330.17137761430297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3.0137198532806244</v>
      </c>
      <c r="AA54" s="21">
        <f>EXP(-LN(2)/25)*AA53+(1-EXP(-LN(2)/25))/(LN(2)/25)*Calculateur!V54*Calculateur!X54*VLOOKUP('Données projet'!$B$9,Paramètres!$A$1:$I$89,3,0)*0.475*44/12</f>
        <v>16.855923509076703</v>
      </c>
      <c r="AB54" s="21">
        <f>EXP(-LN(2)/2)*AB53+(1-EXP(-LN(2)/2))/(LN(2)/2)*V54*Y54*VLOOKUP('Données projet'!$B$9,Paramètres!$A$1:$I$89,3,0)*0.475*44/12</f>
        <v>2.2457606665120033E-2</v>
      </c>
      <c r="AC54" s="22">
        <f t="shared" si="3"/>
        <v>19.892100969022447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149.11104000000006</v>
      </c>
      <c r="AK54" s="13">
        <f t="shared" si="35"/>
        <v>38.376496436982386</v>
      </c>
      <c r="AL54" s="20">
        <f t="shared" si="4"/>
        <v>326.54079262774445</v>
      </c>
      <c r="AM54" s="59">
        <f t="shared" si="5"/>
        <v>619.87412596107777</v>
      </c>
      <c r="AN54" s="59">
        <f ca="1">AVERAGE(OFFSET($AM$3,0,0,'Données projet'!$E$10+1,1))-AVERAGE(OFFSET($H$3,0,0,'Données projet'!$E$10+1,1))</f>
        <v>237.22177246688199</v>
      </c>
      <c r="AO54" s="59">
        <f t="shared" si="36"/>
        <v>149.27472147904302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1.735112385885256</v>
      </c>
      <c r="AW54" s="21">
        <f>EXP(-LN(2)/2)*AW53+(1-EXP(-LN(2)/2))/(LN(2)/2)*AQ54*AT54*VLOOKUP('Données projet'!$B$10,Paramètres!$A$1:$I$89,3,0)*0.475*44/12</f>
        <v>4.2739549208874504E-3</v>
      </c>
      <c r="AX54" s="21">
        <f t="shared" si="6"/>
        <v>1.7393863408061434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293.80000000000013</v>
      </c>
      <c r="BE54" s="13">
        <f>BD54*VLOOKUP('Données projet'!$B$11,Paramètres!$A$1:$I$89,3,0)*VLOOKUP('Données projet'!$B$11,Paramètres!$A$1:$I$89,5,0)</f>
        <v>160.41480000000007</v>
      </c>
      <c r="BF54" s="13">
        <f t="shared" si="37"/>
        <v>40.936060601587023</v>
      </c>
      <c r="BG54" s="20">
        <f t="shared" si="7"/>
        <v>350.68608221443083</v>
      </c>
      <c r="BH54" s="59">
        <f t="shared" si="8"/>
        <v>644.01941554776408</v>
      </c>
      <c r="BI54" s="59">
        <f ca="1">AVERAGE(OFFSET($BH$3,0,0,'Données projet'!$E$11+1,1))-AVERAGE(OFFSET($H$3,0,0,'Données projet'!$E$11+1,1))</f>
        <v>210.04871822652808</v>
      </c>
      <c r="BJ54" s="59">
        <f t="shared" si="38"/>
        <v>250.17540614049324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4.8168545646514813</v>
      </c>
      <c r="BQ54" s="21">
        <f>EXP(-LN(2)/25)*BQ53+(1-EXP(-LN(2)/25))/(LN(2)/25)*Calculateur!BL54*Calculateur!BN54*VLOOKUP('Données projet'!$B$11,Paramètres!$A$1:$I$89,3,0)*0.475*44/12</f>
        <v>15.547449165475456</v>
      </c>
      <c r="BR54" s="21">
        <f>EXP(-LN(2)/2)*BR53+(1-EXP(-LN(2)/2))/(LN(2)/2)*BL54*BO54*VLOOKUP('Données projet'!$B$11,Paramètres!$A$1:$I$89,3,0)*0.475*44/12</f>
        <v>1.4883692272579793E-2</v>
      </c>
      <c r="BS54" s="22">
        <f t="shared" si="9"/>
        <v>20.379187422399518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</v>
      </c>
      <c r="N55" s="13">
        <f>IF('Données projet'!$A$36&gt;35,N54+M55-V54,IF(A55&lt;'Données projet'!$A$36,$K$205^A55,IF(A55='Données projet'!$A$36,'Données projet'!$B$36,N54+M55-V54)))</f>
        <v>433.39999999999981</v>
      </c>
      <c r="O55" s="13">
        <f>N55*VLOOKUP('Données projet'!$B$9,Paramètres!$A$1:$I$89,3,0)*VLOOKUP('Données projet'!$B$9,Paramètres!$A$1:$I$89,5,0)</f>
        <v>242.27059999999989</v>
      </c>
      <c r="P55" s="13">
        <f t="shared" si="33"/>
        <v>58.927793080541385</v>
      </c>
      <c r="Q55" s="20">
        <f t="shared" si="53"/>
        <v>524.58720128194273</v>
      </c>
      <c r="R55" s="59">
        <f t="shared" si="0"/>
        <v>817.92053461527598</v>
      </c>
      <c r="S55" s="59">
        <f ca="1">AVERAGE(OFFSET($R$3,0,0,'Données projet'!$E$9+1,1))-AVERAGE(OFFSET($H$3,0,0,'Données projet'!$E$9+1,1))</f>
        <v>326.31232746914907</v>
      </c>
      <c r="T55" s="59">
        <f t="shared" si="34"/>
        <v>330.17137761430297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2.9546226451453959</v>
      </c>
      <c r="AA55" s="21">
        <f>EXP(-LN(2)/25)*AA54+(1-EXP(-LN(2)/25))/(LN(2)/25)*Calculateur!V55*Calculateur!X55*VLOOKUP('Données projet'!$B$9,Paramètres!$A$1:$I$89,3,0)*0.475*44/12</f>
        <v>16.394997394306507</v>
      </c>
      <c r="AB55" s="21">
        <f>EXP(-LN(2)/2)*AB54+(1-EXP(-LN(2)/2))/(LN(2)/2)*V55*Y55*VLOOKUP('Données projet'!$B$9,Paramètres!$A$1:$I$89,3,0)*0.475*44/12</f>
        <v>1.5879925962126583E-2</v>
      </c>
      <c r="AC55" s="22">
        <f t="shared" si="3"/>
        <v>19.365499965414031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156.16848000000005</v>
      </c>
      <c r="AK55" s="13">
        <f t="shared" si="35"/>
        <v>39.977090041212335</v>
      </c>
      <c r="AL55" s="20">
        <f t="shared" si="4"/>
        <v>341.62020115511154</v>
      </c>
      <c r="AM55" s="59">
        <f t="shared" si="5"/>
        <v>634.9535344884448</v>
      </c>
      <c r="AN55" s="59">
        <f ca="1">AVERAGE(OFFSET($AM$3,0,0,'Données projet'!$E$10+1,1))-AVERAGE(OFFSET($H$3,0,0,'Données projet'!$E$10+1,1))</f>
        <v>237.22177246688199</v>
      </c>
      <c r="AO55" s="59">
        <f t="shared" si="36"/>
        <v>149.27472147904302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1.687665646447629</v>
      </c>
      <c r="AW55" s="21">
        <f>EXP(-LN(2)/2)*AW54+(1-EXP(-LN(2)/2))/(LN(2)/2)*AQ55*AT55*VLOOKUP('Données projet'!$B$10,Paramètres!$A$1:$I$89,3,0)*0.475*44/12</f>
        <v>3.0221425070451305E-3</v>
      </c>
      <c r="AX55" s="21">
        <f t="shared" si="6"/>
        <v>1.6906877889546741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303.60000000000014</v>
      </c>
      <c r="BE55" s="13">
        <f>BD55*VLOOKUP('Données projet'!$B$11,Paramètres!$A$1:$I$89,3,0)*VLOOKUP('Données projet'!$B$11,Paramètres!$A$1:$I$89,5,0)</f>
        <v>165.76560000000009</v>
      </c>
      <c r="BF55" s="13">
        <f t="shared" si="37"/>
        <v>42.140271125684301</v>
      </c>
      <c r="BG55" s="20">
        <f t="shared" si="7"/>
        <v>362.10272554390031</v>
      </c>
      <c r="BH55" s="59">
        <f t="shared" si="8"/>
        <v>655.43605887723356</v>
      </c>
      <c r="BI55" s="59">
        <f ca="1">AVERAGE(OFFSET($BH$3,0,0,'Données projet'!$E$11+1,1))-AVERAGE(OFFSET($H$3,0,0,'Données projet'!$E$11+1,1))</f>
        <v>210.04871822652808</v>
      </c>
      <c r="BJ55" s="59">
        <f t="shared" si="38"/>
        <v>250.17540614049324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4.722398984629848</v>
      </c>
      <c r="BQ55" s="21">
        <f>EXP(-LN(2)/25)*BQ54+(1-EXP(-LN(2)/25))/(LN(2)/25)*Calculateur!BL55*Calculateur!BN55*VLOOKUP('Données projet'!$B$11,Paramètres!$A$1:$I$89,3,0)*0.475*44/12</f>
        <v>15.122303350440712</v>
      </c>
      <c r="BR55" s="21">
        <f>EXP(-LN(2)/2)*BR54+(1-EXP(-LN(2)/2))/(LN(2)/2)*BL55*BO55*VLOOKUP('Données projet'!$B$11,Paramètres!$A$1:$I$89,3,0)*0.475*44/12</f>
        <v>1.0524359735034988E-2</v>
      </c>
      <c r="BS55" s="22">
        <f t="shared" si="9"/>
        <v>19.855226694805594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</v>
      </c>
      <c r="N56" s="13">
        <f>IF('Données projet'!$A$36&gt;35,N55+M56-V55,IF(A56&lt;'Données projet'!$A$36,$K$205^A56,IF(A56='Données projet'!$A$36,'Données projet'!$B$36,N55+M56-V55)))</f>
        <v>449.5999999999998</v>
      </c>
      <c r="O56" s="13">
        <f>N56*VLOOKUP('Données projet'!$B$9,Paramètres!$A$1:$I$89,3,0)*VLOOKUP('Données projet'!$B$9,Paramètres!$A$1:$I$89,5,0)</f>
        <v>251.32639999999989</v>
      </c>
      <c r="P56" s="13">
        <f t="shared" si="33"/>
        <v>60.869881917806573</v>
      </c>
      <c r="Q56" s="20">
        <f t="shared" si="53"/>
        <v>543.74185767351298</v>
      </c>
      <c r="R56" s="59">
        <f t="shared" si="0"/>
        <v>837.07519100684635</v>
      </c>
      <c r="S56" s="59">
        <f ca="1">AVERAGE(OFFSET($R$3,0,0,'Données projet'!$E$9+1,1))-AVERAGE(OFFSET($H$3,0,0,'Données projet'!$E$9+1,1))</f>
        <v>326.31232746914907</v>
      </c>
      <c r="T56" s="59">
        <f t="shared" si="34"/>
        <v>330.17137761430297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2.8966842972159617</v>
      </c>
      <c r="AA56" s="21">
        <f>EXP(-LN(2)/25)*AA55+(1-EXP(-LN(2)/25))/(LN(2)/25)*Calculateur!V56*Calculateur!X56*VLOOKUP('Données projet'!$B$9,Paramètres!$A$1:$I$89,3,0)*0.475*44/12</f>
        <v>15.946675328383755</v>
      </c>
      <c r="AB56" s="21">
        <f>EXP(-LN(2)/2)*AB55+(1-EXP(-LN(2)/2))/(LN(2)/2)*V56*Y56*VLOOKUP('Données projet'!$B$9,Paramètres!$A$1:$I$89,3,0)*0.475*44/12</f>
        <v>1.1228803332560017E-2</v>
      </c>
      <c r="AC56" s="22">
        <f t="shared" si="3"/>
        <v>18.854588428932278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163.22592000000009</v>
      </c>
      <c r="AK56" s="13">
        <f t="shared" si="35"/>
        <v>41.569283201466128</v>
      </c>
      <c r="AL56" s="20">
        <f t="shared" si="4"/>
        <v>356.68497890922026</v>
      </c>
      <c r="AM56" s="59">
        <f t="shared" si="5"/>
        <v>650.01831224255352</v>
      </c>
      <c r="AN56" s="59">
        <f ca="1">AVERAGE(OFFSET($AM$3,0,0,'Données projet'!$E$10+1,1))-AVERAGE(OFFSET($H$3,0,0,'Données projet'!$E$10+1,1))</f>
        <v>237.22177246688199</v>
      </c>
      <c r="AO56" s="59">
        <f t="shared" si="36"/>
        <v>149.27472147904302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1.6415163405950395</v>
      </c>
      <c r="AW56" s="21">
        <f>EXP(-LN(2)/2)*AW55+(1-EXP(-LN(2)/2))/(LN(2)/2)*AQ56*AT56*VLOOKUP('Données projet'!$B$10,Paramètres!$A$1:$I$89,3,0)*0.475*44/12</f>
        <v>2.1369774604437252E-3</v>
      </c>
      <c r="AX56" s="21">
        <f t="shared" si="6"/>
        <v>1.6436533180554833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313.40000000000015</v>
      </c>
      <c r="BE56" s="13">
        <f>BD56*VLOOKUP('Données projet'!$B$11,Paramètres!$A$1:$I$89,3,0)*VLOOKUP('Données projet'!$B$11,Paramètres!$A$1:$I$89,5,0)</f>
        <v>171.11640000000011</v>
      </c>
      <c r="BF56" s="13">
        <f t="shared" si="37"/>
        <v>43.339964715636555</v>
      </c>
      <c r="BG56" s="20">
        <f t="shared" si="7"/>
        <v>373.51150187973388</v>
      </c>
      <c r="BH56" s="59">
        <f t="shared" si="8"/>
        <v>666.8448352130672</v>
      </c>
      <c r="BI56" s="59">
        <f ca="1">AVERAGE(OFFSET($BH$3,0,0,'Données projet'!$E$11+1,1))-AVERAGE(OFFSET($H$3,0,0,'Données projet'!$E$11+1,1))</f>
        <v>210.04871822652808</v>
      </c>
      <c r="BJ56" s="59">
        <f t="shared" si="38"/>
        <v>250.17540614049324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4.6297956209202233</v>
      </c>
      <c r="BQ56" s="21">
        <f>EXP(-LN(2)/25)*BQ55+(1-EXP(-LN(2)/25))/(LN(2)/25)*Calculateur!BL56*Calculateur!BN56*VLOOKUP('Données projet'!$B$11,Paramètres!$A$1:$I$89,3,0)*0.475*44/12</f>
        <v>14.70878317007554</v>
      </c>
      <c r="BR56" s="21">
        <f>EXP(-LN(2)/2)*BR55+(1-EXP(-LN(2)/2))/(LN(2)/2)*BL56*BO56*VLOOKUP('Données projet'!$B$11,Paramètres!$A$1:$I$89,3,0)*0.475*44/12</f>
        <v>7.4418461362898971E-3</v>
      </c>
      <c r="BS56" s="22">
        <f t="shared" si="9"/>
        <v>19.34602063713205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</v>
      </c>
      <c r="N57" s="13">
        <f>IF('Données projet'!$A$36&gt;35,N56+M57-V56,IF(A57&lt;'Données projet'!$A$36,$K$205^A57,IF(A57='Données projet'!$A$36,'Données projet'!$B$36,N56+M57-V56)))</f>
        <v>465.79999999999978</v>
      </c>
      <c r="O57" s="13">
        <f>N57*VLOOKUP('Données projet'!$B$9,Paramètres!$A$1:$I$89,3,0)*VLOOKUP('Données projet'!$B$9,Paramètres!$A$1:$I$89,5,0)</f>
        <v>260.3821999999999</v>
      </c>
      <c r="P57" s="13">
        <f t="shared" si="33"/>
        <v>62.803840584871082</v>
      </c>
      <c r="Q57" s="20">
        <f t="shared" si="53"/>
        <v>562.88235401865029</v>
      </c>
      <c r="R57" s="59">
        <f t="shared" si="0"/>
        <v>856.21568735198366</v>
      </c>
      <c r="S57" s="59">
        <f ca="1">AVERAGE(OFFSET($R$3,0,0,'Données projet'!$E$9+1,1))-AVERAGE(OFFSET($H$3,0,0,'Données projet'!$E$9+1,1))</f>
        <v>326.31232746914907</v>
      </c>
      <c r="T57" s="59">
        <f t="shared" si="34"/>
        <v>330.17137761430297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2.8398820849505206</v>
      </c>
      <c r="AA57" s="21">
        <f>EXP(-LN(2)/25)*AA56+(1-EXP(-LN(2)/25))/(LN(2)/25)*Calculateur!V57*Calculateur!X57*VLOOKUP('Données projet'!$B$9,Paramètres!$A$1:$I$89,3,0)*0.475*44/12</f>
        <v>15.510612652929892</v>
      </c>
      <c r="AB57" s="21">
        <f>EXP(-LN(2)/2)*AB56+(1-EXP(-LN(2)/2))/(LN(2)/2)*V57*Y57*VLOOKUP('Données projet'!$B$9,Paramètres!$A$1:$I$89,3,0)*0.475*44/12</f>
        <v>7.9399629810632914E-3</v>
      </c>
      <c r="AC57" s="22">
        <f t="shared" si="3"/>
        <v>18.358434700861473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170.28336000000007</v>
      </c>
      <c r="AK57" s="13">
        <f t="shared" si="35"/>
        <v>43.153480646462619</v>
      </c>
      <c r="AL57" s="20">
        <f t="shared" si="4"/>
        <v>371.73583079258918</v>
      </c>
      <c r="AM57" s="59">
        <f t="shared" si="5"/>
        <v>665.0691641259225</v>
      </c>
      <c r="AN57" s="59">
        <f ca="1">AVERAGE(OFFSET($AM$3,0,0,'Données projet'!$E$10+1,1))-AVERAGE(OFFSET($H$3,0,0,'Données projet'!$E$10+1,1))</f>
        <v>237.22177246688199</v>
      </c>
      <c r="AO57" s="59">
        <f t="shared" si="36"/>
        <v>149.27472147904302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1.5966289899378756</v>
      </c>
      <c r="AW57" s="21">
        <f>EXP(-LN(2)/2)*AW56+(1-EXP(-LN(2)/2))/(LN(2)/2)*AQ57*AT57*VLOOKUP('Données projet'!$B$10,Paramètres!$A$1:$I$89,3,0)*0.475*44/12</f>
        <v>1.5110712535225653E-3</v>
      </c>
      <c r="AX57" s="21">
        <f t="shared" si="6"/>
        <v>1.5981400611913981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323.20000000000016</v>
      </c>
      <c r="BE57" s="13">
        <f>BD57*VLOOKUP('Données projet'!$B$11,Paramètres!$A$1:$I$89,3,0)*VLOOKUP('Données projet'!$B$11,Paramètres!$A$1:$I$89,5,0)</f>
        <v>176.46720000000008</v>
      </c>
      <c r="BF57" s="13">
        <f t="shared" si="37"/>
        <v>44.535298821989436</v>
      </c>
      <c r="BG57" s="20">
        <f t="shared" si="7"/>
        <v>384.91268544829836</v>
      </c>
      <c r="BH57" s="59">
        <f t="shared" si="8"/>
        <v>678.24601878163162</v>
      </c>
      <c r="BI57" s="59">
        <f ca="1">AVERAGE(OFFSET($BH$3,0,0,'Données projet'!$E$11+1,1))-AVERAGE(OFFSET($H$3,0,0,'Données projet'!$E$11+1,1))</f>
        <v>210.04871822652808</v>
      </c>
      <c r="BJ57" s="59">
        <f t="shared" si="38"/>
        <v>250.17540614049324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4.53900815269047</v>
      </c>
      <c r="BQ57" s="21">
        <f>EXP(-LN(2)/25)*BQ56+(1-EXP(-LN(2)/25))/(LN(2)/25)*Calculateur!BL57*Calculateur!BN57*VLOOKUP('Données projet'!$B$11,Paramètres!$A$1:$I$89,3,0)*0.475*44/12</f>
        <v>14.306570720788535</v>
      </c>
      <c r="BR57" s="21">
        <f>EXP(-LN(2)/2)*BR56+(1-EXP(-LN(2)/2))/(LN(2)/2)*BL57*BO57*VLOOKUP('Données projet'!$B$11,Paramètres!$A$1:$I$89,3,0)*0.475*44/12</f>
        <v>5.262179867517495E-3</v>
      </c>
      <c r="BS57" s="22">
        <f t="shared" si="9"/>
        <v>18.850841053346524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</v>
      </c>
      <c r="N58" s="13">
        <f>IF('Données projet'!$A$36&gt;35,N57+M58-V57,IF(A58&lt;'Données projet'!$A$36,$K$205^A58,IF(A58='Données projet'!$A$36,'Données projet'!$B$36,N57+M58-V57)))</f>
        <v>481.99999999999977</v>
      </c>
      <c r="O58" s="13">
        <f>N58*VLOOKUP('Données projet'!$B$9,Paramètres!$A$1:$I$89,3,0)*VLOOKUP('Données projet'!$B$9,Paramètres!$A$1:$I$89,5,0)</f>
        <v>269.43799999999987</v>
      </c>
      <c r="P58" s="13">
        <f t="shared" si="33"/>
        <v>64.729984244002736</v>
      </c>
      <c r="Q58" s="20">
        <f t="shared" si="53"/>
        <v>582.00923922497111</v>
      </c>
      <c r="R58" s="59">
        <f t="shared" si="0"/>
        <v>875.34257255830448</v>
      </c>
      <c r="S58" s="59">
        <f ca="1">AVERAGE(OFFSET($R$3,0,0,'Données projet'!$E$9+1,1))-AVERAGE(OFFSET($H$3,0,0,'Données projet'!$E$9+1,1))</f>
        <v>326.31232746914907</v>
      </c>
      <c r="T58" s="59">
        <f t="shared" si="34"/>
        <v>330.17137761430297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2.7841937294216765</v>
      </c>
      <c r="AA58" s="21">
        <f>EXP(-LN(2)/25)*AA57+(1-EXP(-LN(2)/25))/(LN(2)/25)*Calculateur!V58*Calculateur!X58*VLOOKUP('Données projet'!$B$9,Paramètres!$A$1:$I$89,3,0)*0.475*44/12</f>
        <v>15.086474134267855</v>
      </c>
      <c r="AB58" s="21">
        <f>EXP(-LN(2)/2)*AB57+(1-EXP(-LN(2)/2))/(LN(2)/2)*V58*Y58*VLOOKUP('Données projet'!$B$9,Paramètres!$A$1:$I$89,3,0)*0.475*44/12</f>
        <v>5.6144016662800084E-3</v>
      </c>
      <c r="AC58" s="22">
        <f t="shared" si="3"/>
        <v>17.876282265355808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177.34080000000012</v>
      </c>
      <c r="AK58" s="13">
        <f t="shared" si="35"/>
        <v>44.730051658603102</v>
      </c>
      <c r="AL58" s="20">
        <f t="shared" si="4"/>
        <v>386.77339997206718</v>
      </c>
      <c r="AM58" s="59">
        <f t="shared" si="5"/>
        <v>680.10673330540044</v>
      </c>
      <c r="AN58" s="59">
        <f ca="1">AVERAGE(OFFSET($AM$3,0,0,'Données projet'!$E$10+1,1))-AVERAGE(OFFSET($H$3,0,0,'Données projet'!$E$10+1,1))</f>
        <v>237.22177246688199</v>
      </c>
      <c r="AO58" s="59">
        <f t="shared" si="36"/>
        <v>149.27472147904302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1.552969086244955</v>
      </c>
      <c r="AW58" s="21">
        <f>EXP(-LN(2)/2)*AW57+(1-EXP(-LN(2)/2))/(LN(2)/2)*AQ58*AT58*VLOOKUP('Données projet'!$B$10,Paramètres!$A$1:$I$89,3,0)*0.475*44/12</f>
        <v>1.0684887302218626E-3</v>
      </c>
      <c r="AX58" s="21">
        <f t="shared" si="6"/>
        <v>1.5540375749751769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333.00000000000017</v>
      </c>
      <c r="BE58" s="13">
        <f>BD58*VLOOKUP('Données projet'!$B$11,Paramètres!$A$1:$I$89,3,0)*VLOOKUP('Données projet'!$B$11,Paramètres!$A$1:$I$89,5,0)</f>
        <v>181.8180000000001</v>
      </c>
      <c r="BF58" s="13">
        <f t="shared" si="37"/>
        <v>45.726420804334332</v>
      </c>
      <c r="BG58" s="20">
        <f t="shared" si="7"/>
        <v>396.30653290088247</v>
      </c>
      <c r="BH58" s="59">
        <f t="shared" si="8"/>
        <v>689.63986623421579</v>
      </c>
      <c r="BI58" s="59">
        <f ca="1">AVERAGE(OFFSET($BH$3,0,0,'Données projet'!$E$11+1,1))-AVERAGE(OFFSET($H$3,0,0,'Données projet'!$E$11+1,1))</f>
        <v>210.04871822652808</v>
      </c>
      <c r="BJ58" s="59">
        <f t="shared" si="38"/>
        <v>250.17540614049324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4.4500009713378139</v>
      </c>
      <c r="BQ58" s="21">
        <f>EXP(-LN(2)/25)*BQ57+(1-EXP(-LN(2)/25))/(LN(2)/25)*Calculateur!BL58*Calculateur!BN58*VLOOKUP('Données projet'!$B$11,Paramètres!$A$1:$I$89,3,0)*0.475*44/12</f>
        <v>13.915356792078716</v>
      </c>
      <c r="BR58" s="21">
        <f>EXP(-LN(2)/2)*BR57+(1-EXP(-LN(2)/2))/(LN(2)/2)*BL58*BO58*VLOOKUP('Données projet'!$B$11,Paramètres!$A$1:$I$89,3,0)*0.475*44/12</f>
        <v>3.7209230681449494E-3</v>
      </c>
      <c r="BS58" s="22">
        <f t="shared" si="9"/>
        <v>18.369078686484674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16.2</v>
      </c>
      <c r="N59" s="13">
        <f>IF('Données projet'!$A$36&gt;35,N58+M59-V58,IF(A59&lt;'Données projet'!$A$36,$K$205^A59,IF(A59='Données projet'!$A$36,'Données projet'!$B$36,N58+M59-V58)))</f>
        <v>498.19999999999976</v>
      </c>
      <c r="O59" s="13">
        <f>N59*VLOOKUP('Données projet'!$B$9,Paramètres!$A$1:$I$89,3,0)*VLOOKUP('Données projet'!$B$9,Paramètres!$A$1:$I$89,5,0)</f>
        <v>278.49379999999985</v>
      </c>
      <c r="P59" s="13">
        <f t="shared" si="33"/>
        <v>66.648605670285122</v>
      </c>
      <c r="Q59" s="20">
        <f t="shared" si="53"/>
        <v>601.12302320907963</v>
      </c>
      <c r="R59" s="59">
        <f t="shared" si="0"/>
        <v>894.456356542413</v>
      </c>
      <c r="S59" s="59">
        <f ca="1">AVERAGE(OFFSET($R$3,0,0,'Données projet'!$E$9+1,1))-AVERAGE(OFFSET($H$3,0,0,'Données projet'!$E$9+1,1))</f>
        <v>326.31232746914907</v>
      </c>
      <c r="T59" s="59">
        <f t="shared" si="34"/>
        <v>330.17137761430297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2.7295973885782101</v>
      </c>
      <c r="AA59" s="21">
        <f>EXP(-LN(2)/25)*AA58+(1-EXP(-LN(2)/25))/(LN(2)/25)*Calculateur!V59*Calculateur!X59*VLOOKUP('Données projet'!$B$9,Paramètres!$A$1:$I$89,3,0)*0.475*44/12</f>
        <v>14.673933705703107</v>
      </c>
      <c r="AB59" s="21">
        <f>EXP(-LN(2)/2)*AB58+(1-EXP(-LN(2)/2))/(LN(2)/2)*V59*Y59*VLOOKUP('Données projet'!$B$9,Paramètres!$A$1:$I$89,3,0)*0.475*44/12</f>
        <v>3.9699814905316457E-3</v>
      </c>
      <c r="AC59" s="22">
        <f t="shared" si="3"/>
        <v>17.407501075771847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184.3982400000001</v>
      </c>
      <c r="AK59" s="13">
        <f t="shared" si="35"/>
        <v>46.299334464645959</v>
      </c>
      <c r="AL59" s="20">
        <f t="shared" si="4"/>
        <v>401.79827552592519</v>
      </c>
      <c r="AM59" s="59">
        <f t="shared" si="5"/>
        <v>695.13160885925845</v>
      </c>
      <c r="AN59" s="59">
        <f ca="1">AVERAGE(OFFSET($AM$3,0,0,'Données projet'!$E$10+1,1))-AVERAGE(OFFSET($H$3,0,0,'Données projet'!$E$10+1,1))</f>
        <v>237.22177246688199</v>
      </c>
      <c r="AO59" s="59">
        <f t="shared" si="36"/>
        <v>149.27472147904302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1.5105030649144917</v>
      </c>
      <c r="AW59" s="21">
        <f>EXP(-LN(2)/2)*AW58+(1-EXP(-LN(2)/2))/(LN(2)/2)*AQ59*AT59*VLOOKUP('Données projet'!$B$10,Paramètres!$A$1:$I$89,3,0)*0.475*44/12</f>
        <v>7.5553562676128263E-4</v>
      </c>
      <c r="AX59" s="21">
        <f t="shared" si="6"/>
        <v>1.5112586005412529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342.80000000000018</v>
      </c>
      <c r="BE59" s="13">
        <f>BD59*VLOOKUP('Données projet'!$B$11,Paramètres!$A$1:$I$89,3,0)*VLOOKUP('Données projet'!$B$11,Paramètres!$A$1:$I$89,5,0)</f>
        <v>187.16880000000012</v>
      </c>
      <c r="BF59" s="13">
        <f t="shared" si="37"/>
        <v>46.913468855747631</v>
      </c>
      <c r="BG59" s="20">
        <f t="shared" si="7"/>
        <v>407.6932849237607</v>
      </c>
      <c r="BH59" s="59">
        <f t="shared" si="8"/>
        <v>701.02661825709401</v>
      </c>
      <c r="BI59" s="59">
        <f ca="1">AVERAGE(OFFSET($BH$3,0,0,'Données projet'!$E$11+1,1))-AVERAGE(OFFSET($H$3,0,0,'Données projet'!$E$11+1,1))</f>
        <v>210.04871822652808</v>
      </c>
      <c r="BJ59" s="59">
        <f t="shared" si="38"/>
        <v>250.17540614049324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4.3627391665224637</v>
      </c>
      <c r="BQ59" s="21">
        <f>EXP(-LN(2)/25)*BQ58+(1-EXP(-LN(2)/25))/(LN(2)/25)*Calculateur!BL59*Calculateur!BN59*VLOOKUP('Données projet'!$B$11,Paramètres!$A$1:$I$89,3,0)*0.475*44/12</f>
        <v>13.534840628822515</v>
      </c>
      <c r="BR59" s="21">
        <f>EXP(-LN(2)/2)*BR58+(1-EXP(-LN(2)/2))/(LN(2)/2)*BL59*BO59*VLOOKUP('Données projet'!$B$11,Paramètres!$A$1:$I$89,3,0)*0.475*44/12</f>
        <v>2.6310899337587479E-3</v>
      </c>
      <c r="BS59" s="22">
        <f t="shared" si="9"/>
        <v>17.900210885278735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16.2</v>
      </c>
      <c r="N60" s="13">
        <f>IF('Données projet'!$A$36&gt;35,N59+M60-V59,IF(A60&lt;'Données projet'!$A$36,$K$205^A60,IF(A60='Données projet'!$A$36,'Données projet'!$B$36,N59+M60-V59)))</f>
        <v>514.39999999999975</v>
      </c>
      <c r="O60" s="13">
        <f>N60*VLOOKUP('Données projet'!$B$9,Paramètres!$A$1:$I$89,3,0)*VLOOKUP('Données projet'!$B$9,Paramètres!$A$1:$I$89,5,0)</f>
        <v>287.54959999999988</v>
      </c>
      <c r="P60" s="13">
        <f t="shared" si="33"/>
        <v>68.559977517591122</v>
      </c>
      <c r="Q60" s="20">
        <f t="shared" si="53"/>
        <v>620.22418084313767</v>
      </c>
      <c r="R60" s="59">
        <f t="shared" si="0"/>
        <v>913.55751417647093</v>
      </c>
      <c r="S60" s="59">
        <f ca="1">AVERAGE(OFFSET($R$3,0,0,'Données projet'!$E$9+1,1))-AVERAGE(OFFSET($H$3,0,0,'Données projet'!$E$9+1,1))</f>
        <v>326.31232746914907</v>
      </c>
      <c r="T60" s="59">
        <f t="shared" si="34"/>
        <v>330.17137761430297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2.6760716486782044</v>
      </c>
      <c r="AA60" s="21">
        <f>EXP(-LN(2)/25)*AA59+(1-EXP(-LN(2)/25))/(LN(2)/25)*Calculateur!V60*Calculateur!X60*VLOOKUP('Données projet'!$B$9,Paramètres!$A$1:$I$89,3,0)*0.475*44/12</f>
        <v>14.272674216852019</v>
      </c>
      <c r="AB60" s="21">
        <f>EXP(-LN(2)/2)*AB59+(1-EXP(-LN(2)/2))/(LN(2)/2)*V60*Y60*VLOOKUP('Données projet'!$B$9,Paramètres!$A$1:$I$89,3,0)*0.475*44/12</f>
        <v>2.8072008331400042E-3</v>
      </c>
      <c r="AC60" s="22">
        <f t="shared" si="3"/>
        <v>16.951553066363363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191.45568000000011</v>
      </c>
      <c r="AK60" s="13">
        <f t="shared" si="35"/>
        <v>47.861639935303188</v>
      </c>
      <c r="AL60" s="20">
        <f t="shared" si="4"/>
        <v>416.81099888731995</v>
      </c>
      <c r="AM60" s="59">
        <f t="shared" si="5"/>
        <v>710.14433222065327</v>
      </c>
      <c r="AN60" s="59">
        <f ca="1">AVERAGE(OFFSET($AM$3,0,0,'Données projet'!$E$10+1,1))-AVERAGE(OFFSET($H$3,0,0,'Données projet'!$E$10+1,1))</f>
        <v>237.22177246688199</v>
      </c>
      <c r="AO60" s="59">
        <f t="shared" si="36"/>
        <v>149.27472147904302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1.4691982791705009</v>
      </c>
      <c r="AW60" s="21">
        <f>EXP(-LN(2)/2)*AW59+(1-EXP(-LN(2)/2))/(LN(2)/2)*AQ60*AT60*VLOOKUP('Données projet'!$B$10,Paramètres!$A$1:$I$89,3,0)*0.475*44/12</f>
        <v>5.3424436511093131E-4</v>
      </c>
      <c r="AX60" s="21">
        <f t="shared" si="6"/>
        <v>1.4697325235356118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352.60000000000019</v>
      </c>
      <c r="BE60" s="13">
        <f>BD60*VLOOKUP('Données projet'!$B$11,Paramètres!$A$1:$I$89,3,0)*VLOOKUP('Données projet'!$B$11,Paramètres!$A$1:$I$89,5,0)</f>
        <v>192.51960000000011</v>
      </c>
      <c r="BF60" s="13">
        <f t="shared" si="37"/>
        <v>48.096572818546932</v>
      </c>
      <c r="BG60" s="20">
        <f t="shared" si="7"/>
        <v>419.0731676589694</v>
      </c>
      <c r="BH60" s="59">
        <f t="shared" si="8"/>
        <v>712.40650099230265</v>
      </c>
      <c r="BI60" s="59">
        <f ca="1">AVERAGE(OFFSET($BH$3,0,0,'Données projet'!$E$11+1,1))-AVERAGE(OFFSET($H$3,0,0,'Données projet'!$E$11+1,1))</f>
        <v>210.04871822652808</v>
      </c>
      <c r="BJ60" s="59">
        <f t="shared" si="38"/>
        <v>250.17540614049324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4.2771885124750968</v>
      </c>
      <c r="BQ60" s="21">
        <f>EXP(-LN(2)/25)*BQ59+(1-EXP(-LN(2)/25))/(LN(2)/25)*Calculateur!BL60*Calculateur!BN60*VLOOKUP('Données projet'!$B$11,Paramètres!$A$1:$I$89,3,0)*0.475*44/12</f>
        <v>13.164729700061029</v>
      </c>
      <c r="BR60" s="21">
        <f>EXP(-LN(2)/2)*BR59+(1-EXP(-LN(2)/2))/(LN(2)/2)*BL60*BO60*VLOOKUP('Données projet'!$B$11,Paramètres!$A$1:$I$89,3,0)*0.475*44/12</f>
        <v>1.8604615340724749E-3</v>
      </c>
      <c r="BS60" s="22">
        <f t="shared" si="9"/>
        <v>17.443778674070199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16.2</v>
      </c>
      <c r="N61" s="13">
        <f>IF('Données projet'!$A$36&gt;35,N60+M61-V60,IF(A61&lt;'Données projet'!$A$36,$K$205^A61,IF(A61='Données projet'!$A$36,'Données projet'!$B$36,N60+M61-V60)))</f>
        <v>530.5999999999998</v>
      </c>
      <c r="O61" s="13">
        <f>N61*VLOOKUP('Données projet'!$B$9,Paramètres!$A$1:$I$89,3,0)*VLOOKUP('Données projet'!$B$9,Paramètres!$A$1:$I$89,5,0)</f>
        <v>296.60539999999986</v>
      </c>
      <c r="P61" s="13">
        <f t="shared" si="33"/>
        <v>70.464354291088782</v>
      </c>
      <c r="Q61" s="20">
        <f t="shared" si="53"/>
        <v>639.31315539031277</v>
      </c>
      <c r="R61" s="59">
        <f t="shared" si="0"/>
        <v>932.64648872364614</v>
      </c>
      <c r="S61" s="59">
        <f ca="1">AVERAGE(OFFSET($R$3,0,0,'Données projet'!$E$9+1,1))-AVERAGE(OFFSET($H$3,0,0,'Données projet'!$E$9+1,1))</f>
        <v>326.31232746914907</v>
      </c>
      <c r="T61" s="59">
        <f t="shared" si="34"/>
        <v>330.17137761430297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2.6235955158901598</v>
      </c>
      <c r="AA61" s="21">
        <f>EXP(-LN(2)/25)*AA60+(1-EXP(-LN(2)/25))/(LN(2)/25)*Calculateur!V61*Calculateur!X61*VLOOKUP('Données projet'!$B$9,Paramètres!$A$1:$I$89,3,0)*0.475*44/12</f>
        <v>13.882387189824884</v>
      </c>
      <c r="AB61" s="21">
        <f>EXP(-LN(2)/2)*AB60+(1-EXP(-LN(2)/2))/(LN(2)/2)*V61*Y61*VLOOKUP('Données projet'!$B$9,Paramètres!$A$1:$I$89,3,0)*0.475*44/12</f>
        <v>1.9849907452658229E-3</v>
      </c>
      <c r="AC61" s="22">
        <f t="shared" si="3"/>
        <v>16.507967696460312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198.51312000000013</v>
      </c>
      <c r="AK61" s="13">
        <f t="shared" si="35"/>
        <v>49.417254724004458</v>
      </c>
      <c r="AL61" s="20">
        <f t="shared" si="4"/>
        <v>431.81206931097466</v>
      </c>
      <c r="AM61" s="59">
        <f t="shared" si="5"/>
        <v>725.14540264430798</v>
      </c>
      <c r="AN61" s="59">
        <f ca="1">AVERAGE(OFFSET($AM$3,0,0,'Données projet'!$E$10+1,1))-AVERAGE(OFFSET($H$3,0,0,'Données projet'!$E$10+1,1))</f>
        <v>237.22177246688199</v>
      </c>
      <c r="AO61" s="59">
        <f t="shared" si="36"/>
        <v>149.27472147904302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1.429022974964804</v>
      </c>
      <c r="AW61" s="21">
        <f>EXP(-LN(2)/2)*AW60+(1-EXP(-LN(2)/2))/(LN(2)/2)*AQ61*AT61*VLOOKUP('Données projet'!$B$10,Paramètres!$A$1:$I$89,3,0)*0.475*44/12</f>
        <v>3.7776781338064131E-4</v>
      </c>
      <c r="AX61" s="21">
        <f t="shared" si="6"/>
        <v>1.4294007427781847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362.4000000000002</v>
      </c>
      <c r="BE61" s="13">
        <f>BD61*VLOOKUP('Données projet'!$B$11,Paramètres!$A$1:$I$89,3,0)*VLOOKUP('Données projet'!$B$11,Paramètres!$A$1:$I$89,5,0)</f>
        <v>197.8704000000001</v>
      </c>
      <c r="BF61" s="13">
        <f t="shared" si="37"/>
        <v>49.275854906806309</v>
      </c>
      <c r="BG61" s="20">
        <f t="shared" si="7"/>
        <v>430.44639396268781</v>
      </c>
      <c r="BH61" s="59">
        <f t="shared" si="8"/>
        <v>723.77972729602106</v>
      </c>
      <c r="BI61" s="59">
        <f ca="1">AVERAGE(OFFSET($BH$3,0,0,'Données projet'!$E$11+1,1))-AVERAGE(OFFSET($H$3,0,0,'Données projet'!$E$11+1,1))</f>
        <v>210.04871822652808</v>
      </c>
      <c r="BJ61" s="59">
        <f t="shared" si="38"/>
        <v>250.17540614049324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4.1933154545728524</v>
      </c>
      <c r="BQ61" s="21">
        <f>EXP(-LN(2)/25)*BQ60+(1-EXP(-LN(2)/25))/(LN(2)/25)*Calculateur!BL61*Calculateur!BN61*VLOOKUP('Données projet'!$B$11,Paramètres!$A$1:$I$89,3,0)*0.475*44/12</f>
        <v>12.804739474109814</v>
      </c>
      <c r="BR61" s="21">
        <f>EXP(-LN(2)/2)*BR60+(1-EXP(-LN(2)/2))/(LN(2)/2)*BL61*BO61*VLOOKUP('Données projet'!$B$11,Paramètres!$A$1:$I$89,3,0)*0.475*44/12</f>
        <v>1.3155449668793742E-3</v>
      </c>
      <c r="BS61" s="22">
        <f t="shared" si="9"/>
        <v>16.999370473649545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16.2</v>
      </c>
      <c r="N62" s="13">
        <f>IF('Données projet'!$A$36&gt;35,N61+M62-V61,IF(A62&lt;'Données projet'!$A$36,$K$205^A62,IF(A62='Données projet'!$A$36,'Données projet'!$B$36,N61+M62-V61)))</f>
        <v>546.79999999999984</v>
      </c>
      <c r="O62" s="13">
        <f>N62*VLOOKUP('Données projet'!$B$9,Paramètres!$A$1:$I$89,3,0)*VLOOKUP('Données projet'!$B$9,Paramètres!$A$1:$I$89,5,0)</f>
        <v>305.66119999999995</v>
      </c>
      <c r="P62" s="13">
        <f t="shared" si="33"/>
        <v>72.361974072085076</v>
      </c>
      <c r="Q62" s="20">
        <f t="shared" si="53"/>
        <v>658.39036150888137</v>
      </c>
      <c r="R62" s="59">
        <f t="shared" si="0"/>
        <v>951.72369484221463</v>
      </c>
      <c r="S62" s="59">
        <f ca="1">AVERAGE(OFFSET($R$3,0,0,'Données projet'!$E$9+1,1))-AVERAGE(OFFSET($H$3,0,0,'Données projet'!$E$9+1,1))</f>
        <v>326.31232746914907</v>
      </c>
      <c r="T62" s="59">
        <f t="shared" si="34"/>
        <v>330.17137761430297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2.5721484080588084</v>
      </c>
      <c r="AA62" s="21">
        <f>EXP(-LN(2)/25)*AA61+(1-EXP(-LN(2)/25))/(LN(2)/25)*Calculateur!V62*Calculateur!X62*VLOOKUP('Données projet'!$B$9,Paramètres!$A$1:$I$89,3,0)*0.475*44/12</f>
        <v>13.502772582076108</v>
      </c>
      <c r="AB62" s="21">
        <f>EXP(-LN(2)/2)*AB61+(1-EXP(-LN(2)/2))/(LN(2)/2)*V62*Y62*VLOOKUP('Données projet'!$B$9,Paramètres!$A$1:$I$89,3,0)*0.475*44/12</f>
        <v>1.4036004165700021E-3</v>
      </c>
      <c r="AC62" s="22">
        <f t="shared" si="3"/>
        <v>16.076324590551486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205.57056000000014</v>
      </c>
      <c r="AK62" s="13">
        <f t="shared" si="35"/>
        <v>50.966443946767434</v>
      </c>
      <c r="AL62" s="20">
        <f t="shared" si="4"/>
        <v>446.80194854062023</v>
      </c>
      <c r="AM62" s="59">
        <f t="shared" si="5"/>
        <v>740.13528187395355</v>
      </c>
      <c r="AN62" s="59">
        <f ca="1">AVERAGE(OFFSET($AM$3,0,0,'Données projet'!$E$10+1,1))-AVERAGE(OFFSET($H$3,0,0,'Données projet'!$E$10+1,1))</f>
        <v>237.22177246688199</v>
      </c>
      <c r="AO62" s="59">
        <f t="shared" si="36"/>
        <v>149.27472147904302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1.3899462665653393</v>
      </c>
      <c r="AW62" s="21">
        <f>EXP(-LN(2)/2)*AW61+(1-EXP(-LN(2)/2))/(LN(2)/2)*AQ62*AT62*VLOOKUP('Données projet'!$B$10,Paramètres!$A$1:$I$89,3,0)*0.475*44/12</f>
        <v>2.6712218255546565E-4</v>
      </c>
      <c r="AX62" s="21">
        <f t="shared" si="6"/>
        <v>1.3902133887478947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372.20000000000022</v>
      </c>
      <c r="BE62" s="13">
        <f>BD62*VLOOKUP('Données projet'!$B$11,Paramètres!$A$1:$I$89,3,0)*VLOOKUP('Données projet'!$B$11,Paramètres!$A$1:$I$89,5,0)</f>
        <v>203.22120000000012</v>
      </c>
      <c r="BF62" s="13">
        <f t="shared" si="37"/>
        <v>50.451430348521406</v>
      </c>
      <c r="BG62" s="20">
        <f t="shared" si="7"/>
        <v>441.81316452367497</v>
      </c>
      <c r="BH62" s="59">
        <f t="shared" si="8"/>
        <v>735.14649785700828</v>
      </c>
      <c r="BI62" s="59">
        <f ca="1">AVERAGE(OFFSET($BH$3,0,0,'Données projet'!$E$11+1,1))-AVERAGE(OFFSET($H$3,0,0,'Données projet'!$E$11+1,1))</f>
        <v>210.04871822652808</v>
      </c>
      <c r="BJ62" s="59">
        <f t="shared" si="38"/>
        <v>250.17540614049324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4.1110870961785571</v>
      </c>
      <c r="BQ62" s="21">
        <f>EXP(-LN(2)/25)*BQ61+(1-EXP(-LN(2)/25))/(LN(2)/25)*Calculateur!BL62*Calculateur!BN62*VLOOKUP('Données projet'!$B$11,Paramètres!$A$1:$I$89,3,0)*0.475*44/12</f>
        <v>12.454593199818298</v>
      </c>
      <c r="BR62" s="21">
        <f>EXP(-LN(2)/2)*BR61+(1-EXP(-LN(2)/2))/(LN(2)/2)*BL62*BO62*VLOOKUP('Données projet'!$B$11,Paramètres!$A$1:$I$89,3,0)*0.475*44/12</f>
        <v>9.3023076703623757E-4</v>
      </c>
      <c r="BS62" s="22">
        <f t="shared" si="9"/>
        <v>16.566610526763892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563</v>
      </c>
      <c r="L63" s="12">
        <f>VLOOKUP(A63,'Données projet'!$A$35:$I$55,9,0)</f>
        <v>16.2</v>
      </c>
      <c r="M63" s="12">
        <f t="array" ref="M63">INDEX(L:L,MIN(IF(ISNUMBER(L63:L259),ROW(L63:L259),"")))</f>
        <v>16.2</v>
      </c>
      <c r="N63" s="13">
        <f>IF('Données projet'!$A$36&gt;35,N62+M63-V62,IF(A63&lt;'Données projet'!$A$36,$K$205^A63,IF(A63='Données projet'!$A$36,'Données projet'!$B$36,N62+M63-V62)))</f>
        <v>562.99999999999989</v>
      </c>
      <c r="O63" s="13">
        <f>N63*VLOOKUP('Données projet'!$B$9,Paramètres!$A$1:$I$89,3,0)*VLOOKUP('Données projet'!$B$9,Paramètres!$A$1:$I$89,5,0)</f>
        <v>314.71699999999993</v>
      </c>
      <c r="P63" s="13">
        <f t="shared" si="33"/>
        <v>74.253060032718466</v>
      </c>
      <c r="Q63" s="20">
        <f t="shared" si="53"/>
        <v>677.45618789031789</v>
      </c>
      <c r="R63" s="59">
        <f t="shared" si="0"/>
        <v>970.78952122365126</v>
      </c>
      <c r="S63" s="59">
        <f ca="1">AVERAGE(OFFSET($R$3,0,0,'Données projet'!$E$9+1,1))-AVERAGE(OFFSET($H$3,0,0,'Données projet'!$E$9+1,1))</f>
        <v>326.31232746914907</v>
      </c>
      <c r="T63" s="59">
        <f t="shared" si="34"/>
        <v>330.17137761430297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2.5217101466323926</v>
      </c>
      <c r="AA63" s="21">
        <f>EXP(-LN(2)/25)*AA62+(1-EXP(-LN(2)/25))/(LN(2)/25)*Calculateur!V63*Calculateur!X63*VLOOKUP('Données projet'!$B$9,Paramètres!$A$1:$I$89,3,0)*0.475*44/12</f>
        <v>13.133538555739289</v>
      </c>
      <c r="AB63" s="21">
        <f>EXP(-LN(2)/2)*AB62+(1-EXP(-LN(2)/2))/(LN(2)/2)*V63*Y63*VLOOKUP('Données projet'!$B$9,Paramètres!$A$1:$I$89,3,0)*0.475*44/12</f>
        <v>9.9249537263291143E-4</v>
      </c>
      <c r="AC63" s="22">
        <f t="shared" si="3"/>
        <v>15.656241197744315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212.62800000000016</v>
      </c>
      <c r="AK63" s="13">
        <f t="shared" si="35"/>
        <v>52.509453483719085</v>
      </c>
      <c r="AL63" s="20">
        <f t="shared" si="4"/>
        <v>461.78106481747767</v>
      </c>
      <c r="AM63" s="59">
        <f t="shared" si="5"/>
        <v>755.11439815081098</v>
      </c>
      <c r="AN63" s="59">
        <f ca="1">AVERAGE(OFFSET($AM$3,0,0,'Données projet'!$E$10+1,1))-AVERAGE(OFFSET($H$3,0,0,'Données projet'!$E$10+1,1))</f>
        <v>237.22177246688199</v>
      </c>
      <c r="AO63" s="59">
        <f t="shared" si="36"/>
        <v>149.27472147904302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1.3519381128120127</v>
      </c>
      <c r="AW63" s="21">
        <f>EXP(-LN(2)/2)*AW62+(1-EXP(-LN(2)/2))/(LN(2)/2)*AQ63*AT63*VLOOKUP('Données projet'!$B$10,Paramètres!$A$1:$I$89,3,0)*0.475*44/12</f>
        <v>1.8888390669032066E-4</v>
      </c>
      <c r="AX63" s="21">
        <f t="shared" si="6"/>
        <v>1.3521269967187031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382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382.00000000000023</v>
      </c>
      <c r="BE63" s="13">
        <f>BD63*VLOOKUP('Données projet'!$B$11,Paramètres!$A$1:$I$89,3,0)*VLOOKUP('Données projet'!$B$11,Paramètres!$A$1:$I$89,5,0)</f>
        <v>208.57200000000012</v>
      </c>
      <c r="BF63" s="13">
        <f t="shared" si="37"/>
        <v>51.623407958239042</v>
      </c>
      <c r="BG63" s="20">
        <f t="shared" si="7"/>
        <v>453.17366886059989</v>
      </c>
      <c r="BH63" s="59">
        <f t="shared" si="8"/>
        <v>746.5070021939332</v>
      </c>
      <c r="BI63" s="59">
        <f ca="1">AVERAGE(OFFSET($BH$3,0,0,'Données projet'!$E$11+1,1))-AVERAGE(OFFSET($H$3,0,0,'Données projet'!$E$11+1,1))</f>
        <v>210.04871822652808</v>
      </c>
      <c r="BJ63" s="59">
        <f t="shared" si="38"/>
        <v>250.17540614049324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4.030471185738028</v>
      </c>
      <c r="BQ63" s="21">
        <f>EXP(-LN(2)/25)*BQ62+(1-EXP(-LN(2)/25))/(LN(2)/25)*Calculateur!BL63*Calculateur!BN63*VLOOKUP('Données projet'!$B$11,Paramètres!$A$1:$I$89,3,0)*0.475*44/12</f>
        <v>12.114021693810676</v>
      </c>
      <c r="BR63" s="21">
        <f>EXP(-LN(2)/2)*BR62+(1-EXP(-LN(2)/2))/(LN(2)/2)*BL63*BO63*VLOOKUP('Données projet'!$B$11,Paramètres!$A$1:$I$89,3,0)*0.475*44/12</f>
        <v>6.577724834396872E-4</v>
      </c>
      <c r="BS63" s="22">
        <f t="shared" si="9"/>
        <v>16.145150652032143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13.4</v>
      </c>
      <c r="N64" s="13">
        <f>IF('Données projet'!$A$36&gt;35,N63+M64-V63,IF(A64&lt;'Données projet'!$A$36,$K$205^A64,IF(A64='Données projet'!$A$36,'Données projet'!$B$36,N63+M64-V63)))</f>
        <v>493.39999999999986</v>
      </c>
      <c r="O64" s="13">
        <f>N64*VLOOKUP('Données projet'!$B$9,Paramètres!$A$1:$I$89,3,0)*VLOOKUP('Données projet'!$B$9,Paramètres!$A$1:$I$89,5,0)</f>
        <v>275.81059999999997</v>
      </c>
      <c r="P64" s="13">
        <f t="shared" si="33"/>
        <v>66.080892951487996</v>
      </c>
      <c r="Q64" s="20">
        <f t="shared" si="53"/>
        <v>595.46101689050818</v>
      </c>
      <c r="R64" s="59">
        <f t="shared" si="0"/>
        <v>888.79435022384155</v>
      </c>
      <c r="S64" s="59">
        <f ca="1">AVERAGE(OFFSET($R$3,0,0,'Données projet'!$E$9+1,1))-AVERAGE(OFFSET($H$3,0,0,'Données projet'!$E$9+1,1))</f>
        <v>326.31232746914907</v>
      </c>
      <c r="T64" s="59">
        <f t="shared" si="34"/>
        <v>330.17137761430297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2.472260948748247</v>
      </c>
      <c r="AA64" s="21">
        <f>EXP(-LN(2)/25)*AA63+(1-EXP(-LN(2)/25))/(LN(2)/25)*Calculateur!V64*Calculateur!X64*VLOOKUP('Données projet'!$B$9,Paramètres!$A$1:$I$89,3,0)*0.475*44/12</f>
        <v>12.774401253269822</v>
      </c>
      <c r="AB64" s="21">
        <f>EXP(-LN(2)/2)*AB63+(1-EXP(-LN(2)/2))/(LN(2)/2)*V64*Y64*VLOOKUP('Données projet'!$B$9,Paramètres!$A$1:$I$89,3,0)*0.475*44/12</f>
        <v>7.0180020828500105E-4</v>
      </c>
      <c r="AC64" s="22">
        <f t="shared" si="3"/>
        <v>15.247364002226353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180.96000000000015</v>
      </c>
      <c r="AK64" s="13">
        <f t="shared" si="35"/>
        <v>45.535702314871806</v>
      </c>
      <c r="AL64" s="20">
        <f t="shared" si="4"/>
        <v>394.48001486506865</v>
      </c>
      <c r="AM64" s="59">
        <f t="shared" si="5"/>
        <v>687.81334819840197</v>
      </c>
      <c r="AN64" s="59">
        <f ca="1">AVERAGE(OFFSET($AM$3,0,0,'Données projet'!$E$10+1,1))-AVERAGE(OFFSET($H$3,0,0,'Données projet'!$E$10+1,1))</f>
        <v>237.22177246688199</v>
      </c>
      <c r="AO64" s="59">
        <f t="shared" si="36"/>
        <v>149.27472147904302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1.3149692940218327</v>
      </c>
      <c r="AW64" s="21">
        <f>EXP(-LN(2)/2)*AW63+(1-EXP(-LN(2)/2))/(LN(2)/2)*AQ64*AT64*VLOOKUP('Données projet'!$B$10,Paramètres!$A$1:$I$89,3,0)*0.475*44/12</f>
        <v>1.3356109127773283E-4</v>
      </c>
      <c r="AX64" s="21">
        <f t="shared" si="6"/>
        <v>1.3151028551131105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334.50000000000023</v>
      </c>
      <c r="BE64" s="13">
        <f>BD64*VLOOKUP('Données projet'!$B$11,Paramètres!$A$1:$I$89,3,0)*VLOOKUP('Données projet'!$B$11,Paramètres!$A$1:$I$89,5,0)</f>
        <v>182.63700000000014</v>
      </c>
      <c r="BF64" s="13">
        <f t="shared" si="37"/>
        <v>45.908372564566413</v>
      </c>
      <c r="BG64" s="20">
        <f t="shared" si="7"/>
        <v>398.04985721662001</v>
      </c>
      <c r="BH64" s="59">
        <f t="shared" si="8"/>
        <v>691.38319054995327</v>
      </c>
      <c r="BI64" s="59">
        <f ca="1">AVERAGE(OFFSET($BH$3,0,0,'Données projet'!$E$11+1,1))-AVERAGE(OFFSET($H$3,0,0,'Données projet'!$E$11+1,1))</f>
        <v>210.04871822652808</v>
      </c>
      <c r="BJ64" s="59">
        <f t="shared" si="38"/>
        <v>250.17540614049324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3.9514361041303872</v>
      </c>
      <c r="BQ64" s="21">
        <f>EXP(-LN(2)/25)*BQ63+(1-EXP(-LN(2)/25))/(LN(2)/25)*Calculateur!BL64*Calculateur!BN64*VLOOKUP('Données projet'!$B$11,Paramètres!$A$1:$I$89,3,0)*0.475*44/12</f>
        <v>11.782763133544709</v>
      </c>
      <c r="BR64" s="21">
        <f>EXP(-LN(2)/2)*BR63+(1-EXP(-LN(2)/2))/(LN(2)/2)*BL64*BO64*VLOOKUP('Données projet'!$B$11,Paramètres!$A$1:$I$89,3,0)*0.475*44/12</f>
        <v>4.651153835181189E-4</v>
      </c>
      <c r="BS64" s="22">
        <f t="shared" si="9"/>
        <v>15.734664353058614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13.4</v>
      </c>
      <c r="N65" s="13">
        <f>IF('Données projet'!$A$36&gt;35,N64+M65-V64,IF(A65&lt;'Données projet'!$A$36,$K$205^A65,IF(A65='Données projet'!$A$36,'Données projet'!$B$36,N64+M65-V64)))</f>
        <v>506.79999999999984</v>
      </c>
      <c r="O65" s="13">
        <f>N65*VLOOKUP('Données projet'!$B$9,Paramètres!$A$1:$I$89,3,0)*VLOOKUP('Données projet'!$B$9,Paramètres!$A$1:$I$89,5,0)</f>
        <v>283.30119999999988</v>
      </c>
      <c r="P65" s="13">
        <f t="shared" si="33"/>
        <v>67.664170722499449</v>
      </c>
      <c r="Q65" s="20">
        <f t="shared" si="53"/>
        <v>611.26468734168623</v>
      </c>
      <c r="R65" s="59">
        <f t="shared" si="0"/>
        <v>904.5980206750196</v>
      </c>
      <c r="S65" s="59">
        <f ca="1">AVERAGE(OFFSET($R$3,0,0,'Données projet'!$E$9+1,1))-AVERAGE(OFFSET($H$3,0,0,'Données projet'!$E$9+1,1))</f>
        <v>326.31232746914907</v>
      </c>
      <c r="T65" s="59">
        <f t="shared" si="34"/>
        <v>330.17137761430297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2.4237814194735767</v>
      </c>
      <c r="AA65" s="21">
        <f>EXP(-LN(2)/25)*AA64+(1-EXP(-LN(2)/25))/(LN(2)/25)*Calculateur!V65*Calculateur!X65*VLOOKUP('Données projet'!$B$9,Paramètres!$A$1:$I$89,3,0)*0.475*44/12</f>
        <v>12.425084579222593</v>
      </c>
      <c r="AB65" s="21">
        <f>EXP(-LN(2)/2)*AB64+(1-EXP(-LN(2)/2))/(LN(2)/2)*V65*Y65*VLOOKUP('Données projet'!$B$9,Paramètres!$A$1:$I$89,3,0)*0.475*44/12</f>
        <v>4.9624768631645571E-4</v>
      </c>
      <c r="AC65" s="22">
        <f t="shared" si="3"/>
        <v>14.849362246382485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187.29360000000014</v>
      </c>
      <c r="AK65" s="13">
        <f t="shared" si="35"/>
        <v>46.941107550760456</v>
      </c>
      <c r="AL65" s="20">
        <f t="shared" si="4"/>
        <v>407.95878231757462</v>
      </c>
      <c r="AM65" s="59">
        <f t="shared" si="5"/>
        <v>701.29211565090793</v>
      </c>
      <c r="AN65" s="59">
        <f ca="1">AVERAGE(OFFSET($AM$3,0,0,'Données projet'!$E$10+1,1))-AVERAGE(OFFSET($H$3,0,0,'Données projet'!$E$10+1,1))</f>
        <v>237.22177246688199</v>
      </c>
      <c r="AO65" s="59">
        <f t="shared" si="36"/>
        <v>149.27472147904302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1.2790113895255759</v>
      </c>
      <c r="AW65" s="21">
        <f>EXP(-LN(2)/2)*AW64+(1-EXP(-LN(2)/2))/(LN(2)/2)*AQ65*AT65*VLOOKUP('Données projet'!$B$10,Paramètres!$A$1:$I$89,3,0)*0.475*44/12</f>
        <v>9.4441953345160328E-5</v>
      </c>
      <c r="AX65" s="21">
        <f t="shared" si="6"/>
        <v>1.279105831478921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343.00000000000023</v>
      </c>
      <c r="BE65" s="13">
        <f>BD65*VLOOKUP('Données projet'!$B$11,Paramètres!$A$1:$I$89,3,0)*VLOOKUP('Données projet'!$B$11,Paramètres!$A$1:$I$89,5,0)</f>
        <v>187.27800000000013</v>
      </c>
      <c r="BF65" s="13">
        <f t="shared" si="37"/>
        <v>46.937652831145158</v>
      </c>
      <c r="BG65" s="20">
        <f t="shared" si="7"/>
        <v>407.92559534757805</v>
      </c>
      <c r="BH65" s="59">
        <f t="shared" si="8"/>
        <v>701.25892868091137</v>
      </c>
      <c r="BI65" s="59">
        <f ca="1">AVERAGE(OFFSET($BH$3,0,0,'Données projet'!$E$11+1,1))-AVERAGE(OFFSET($H$3,0,0,'Données projet'!$E$11+1,1))</f>
        <v>210.04871822652808</v>
      </c>
      <c r="BJ65" s="59">
        <f t="shared" si="38"/>
        <v>250.17540614049324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3.8739508522664323</v>
      </c>
      <c r="BQ65" s="21">
        <f>EXP(-LN(2)/25)*BQ64+(1-EXP(-LN(2)/25))/(LN(2)/25)*Calculateur!BL65*Calculateur!BN65*VLOOKUP('Données projet'!$B$11,Paramètres!$A$1:$I$89,3,0)*0.475*44/12</f>
        <v>11.460562856029345</v>
      </c>
      <c r="BR65" s="21">
        <f>EXP(-LN(2)/2)*BR64+(1-EXP(-LN(2)/2))/(LN(2)/2)*BL65*BO65*VLOOKUP('Données projet'!$B$11,Paramètres!$A$1:$I$89,3,0)*0.475*44/12</f>
        <v>3.2888624171984365E-4</v>
      </c>
      <c r="BS65" s="22">
        <f t="shared" si="9"/>
        <v>15.334842594537497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13.4</v>
      </c>
      <c r="N66" s="13">
        <f>IF('Données projet'!$A$36&gt;35,N65+M66-V65,IF(A66&lt;'Données projet'!$A$36,$K$205^A66,IF(A66='Données projet'!$A$36,'Données projet'!$B$36,N65+M66-V65)))</f>
        <v>520.19999999999982</v>
      </c>
      <c r="O66" s="13">
        <f>N66*VLOOKUP('Données projet'!$B$9,Paramètres!$A$1:$I$89,3,0)*VLOOKUP('Données projet'!$B$9,Paramètres!$A$1:$I$89,5,0)</f>
        <v>290.79179999999991</v>
      </c>
      <c r="P66" s="13">
        <f t="shared" si="33"/>
        <v>69.242582588470327</v>
      </c>
      <c r="Q66" s="20">
        <f t="shared" si="53"/>
        <v>627.05988300825231</v>
      </c>
      <c r="R66" s="59">
        <f t="shared" si="0"/>
        <v>920.39321634158568</v>
      </c>
      <c r="S66" s="59">
        <f ca="1">AVERAGE(OFFSET($R$3,0,0,'Données projet'!$E$9+1,1))-AVERAGE(OFFSET($H$3,0,0,'Données projet'!$E$9+1,1))</f>
        <v>326.31232746914907</v>
      </c>
      <c r="T66" s="59">
        <f t="shared" si="34"/>
        <v>330.17137761430297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2.3762525441983899</v>
      </c>
      <c r="AA66" s="21">
        <f>EXP(-LN(2)/25)*AA65+(1-EXP(-LN(2)/25))/(LN(2)/25)*Calculateur!V66*Calculateur!X66*VLOOKUP('Données projet'!$B$9,Paramètres!$A$1:$I$89,3,0)*0.475*44/12</f>
        <v>12.085319987996952</v>
      </c>
      <c r="AB66" s="21">
        <f>EXP(-LN(2)/2)*AB65+(1-EXP(-LN(2)/2))/(LN(2)/2)*V66*Y66*VLOOKUP('Données projet'!$B$9,Paramètres!$A$1:$I$89,3,0)*0.475*44/12</f>
        <v>3.5090010414250052E-4</v>
      </c>
      <c r="AC66" s="22">
        <f t="shared" si="3"/>
        <v>14.461923432299486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193.62720000000016</v>
      </c>
      <c r="AK66" s="13">
        <f t="shared" si="35"/>
        <v>48.340990547231236</v>
      </c>
      <c r="AL66" s="20">
        <f t="shared" si="4"/>
        <v>421.42793186976132</v>
      </c>
      <c r="AM66" s="59">
        <f t="shared" si="5"/>
        <v>714.76126520309458</v>
      </c>
      <c r="AN66" s="59">
        <f ca="1">AVERAGE(OFFSET($AM$3,0,0,'Données projet'!$E$10+1,1))-AVERAGE(OFFSET($H$3,0,0,'Données projet'!$E$10+1,1))</f>
        <v>237.22177246688199</v>
      </c>
      <c r="AO66" s="59">
        <f t="shared" si="36"/>
        <v>149.27472147904302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1.2440367558187133</v>
      </c>
      <c r="AW66" s="21">
        <f>EXP(-LN(2)/2)*AW65+(1-EXP(-LN(2)/2))/(LN(2)/2)*AQ66*AT66*VLOOKUP('Données projet'!$B$10,Paramètres!$A$1:$I$89,3,0)*0.475*44/12</f>
        <v>6.6780545638866413E-5</v>
      </c>
      <c r="AX66" s="21">
        <f t="shared" si="6"/>
        <v>1.2441035363643522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351.50000000000023</v>
      </c>
      <c r="BE66" s="13">
        <f>BD66*VLOOKUP('Données projet'!$B$11,Paramètres!$A$1:$I$89,3,0)*VLOOKUP('Données projet'!$B$11,Paramètres!$A$1:$I$89,5,0)</f>
        <v>191.91900000000012</v>
      </c>
      <c r="BF66" s="13">
        <f t="shared" si="37"/>
        <v>47.963968046563231</v>
      </c>
      <c r="BG66" s="20">
        <f t="shared" si="7"/>
        <v>417.79616934776453</v>
      </c>
      <c r="BH66" s="59">
        <f t="shared" si="8"/>
        <v>711.12950268109785</v>
      </c>
      <c r="BI66" s="59">
        <f ca="1">AVERAGE(OFFSET($BH$3,0,0,'Données projet'!$E$11+1,1))-AVERAGE(OFFSET($H$3,0,0,'Données projet'!$E$11+1,1))</f>
        <v>210.04871822652808</v>
      </c>
      <c r="BJ66" s="59">
        <f t="shared" si="38"/>
        <v>250.17540614049324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3.7979850389301926</v>
      </c>
      <c r="BQ66" s="21">
        <f>EXP(-LN(2)/25)*BQ65+(1-EXP(-LN(2)/25))/(LN(2)/25)*Calculateur!BL66*Calculateur!BN66*VLOOKUP('Données projet'!$B$11,Paramètres!$A$1:$I$89,3,0)*0.475*44/12</f>
        <v>11.147173162046416</v>
      </c>
      <c r="BR66" s="21">
        <f>EXP(-LN(2)/2)*BR65+(1-EXP(-LN(2)/2))/(LN(2)/2)*BL66*BO66*VLOOKUP('Données projet'!$B$11,Paramètres!$A$1:$I$89,3,0)*0.475*44/12</f>
        <v>2.3255769175905947E-4</v>
      </c>
      <c r="BS66" s="22">
        <f t="shared" si="9"/>
        <v>14.945390758668369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13.4</v>
      </c>
      <c r="N67" s="13">
        <f>IF('Données projet'!$A$36&gt;35,N66+M67-V66,IF(A67&lt;'Données projet'!$A$36,$K$205^A67,IF(A67='Données projet'!$A$36,'Données projet'!$B$36,N66+M67-V66)))</f>
        <v>533.5999999999998</v>
      </c>
      <c r="O67" s="13">
        <f>N67*VLOOKUP('Données projet'!$B$9,Paramètres!$A$1:$I$89,3,0)*VLOOKUP('Données projet'!$B$9,Paramètres!$A$1:$I$89,5,0)</f>
        <v>298.28239999999988</v>
      </c>
      <c r="P67" s="13">
        <f t="shared" si="33"/>
        <v>70.816268303381889</v>
      </c>
      <c r="Q67" s="20">
        <f t="shared" ref="Q67:Q98" si="54">(O67+P67)*0.475*44/12</f>
        <v>642.84684729505659</v>
      </c>
      <c r="R67" s="59">
        <f t="shared" ref="R67:R130" si="55">Q67+(I67+J67)*44/12</f>
        <v>936.18018062838996</v>
      </c>
      <c r="S67" s="59">
        <f ca="1">AVERAGE(OFFSET($R$3,0,0,'Données projet'!$E$9+1,1))-AVERAGE(OFFSET($H$3,0,0,'Données projet'!$E$9+1,1))</f>
        <v>326.31232746914907</v>
      </c>
      <c r="T67" s="59">
        <f t="shared" si="34"/>
        <v>330.17137761430297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2.3296556811775981</v>
      </c>
      <c r="AA67" s="21">
        <f>EXP(-LN(2)/25)*AA66+(1-EXP(-LN(2)/25))/(LN(2)/25)*Calculateur!V67*Calculateur!X67*VLOOKUP('Données projet'!$B$9,Paramètres!$A$1:$I$89,3,0)*0.475*44/12</f>
        <v>11.754846277385818</v>
      </c>
      <c r="AB67" s="21">
        <f>EXP(-LN(2)/2)*AB66+(1-EXP(-LN(2)/2))/(LN(2)/2)*V67*Y67*VLOOKUP('Données projet'!$B$9,Paramètres!$A$1:$I$89,3,0)*0.475*44/12</f>
        <v>2.4812384315822786E-4</v>
      </c>
      <c r="AC67" s="22">
        <f t="shared" si="3"/>
        <v>14.084750082406575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199.96080000000015</v>
      </c>
      <c r="AK67" s="13">
        <f t="shared" si="35"/>
        <v>49.735552653569265</v>
      </c>
      <c r="AL67" s="20">
        <f t="shared" si="4"/>
        <v>434.88781420496679</v>
      </c>
      <c r="AM67" s="59">
        <f t="shared" si="5"/>
        <v>728.2211475383001</v>
      </c>
      <c r="AN67" s="59">
        <f ca="1">AVERAGE(OFFSET($AM$3,0,0,'Données projet'!$E$10+1,1))-AVERAGE(OFFSET($H$3,0,0,'Données projet'!$E$10+1,1))</f>
        <v>237.22177246688199</v>
      </c>
      <c r="AO67" s="59">
        <f t="shared" si="36"/>
        <v>149.27472147904302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1.2100185053098009</v>
      </c>
      <c r="AW67" s="21">
        <f>EXP(-LN(2)/2)*AW66+(1-EXP(-LN(2)/2))/(LN(2)/2)*AQ67*AT67*VLOOKUP('Données projet'!$B$10,Paramètres!$A$1:$I$89,3,0)*0.475*44/12</f>
        <v>4.7220976672580164E-5</v>
      </c>
      <c r="AX67" s="21">
        <f t="shared" si="6"/>
        <v>1.2100657262864736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360.00000000000023</v>
      </c>
      <c r="BE67" s="13">
        <f>BD67*VLOOKUP('Données projet'!$B$11,Paramètres!$A$1:$I$89,3,0)*VLOOKUP('Données projet'!$B$11,Paramètres!$A$1:$I$89,5,0)</f>
        <v>196.56000000000014</v>
      </c>
      <c r="BF67" s="13">
        <f t="shared" si="37"/>
        <v>48.987398161128134</v>
      </c>
      <c r="BG67" s="20">
        <f t="shared" si="7"/>
        <v>427.66171846396509</v>
      </c>
      <c r="BH67" s="59">
        <f t="shared" si="8"/>
        <v>720.9950517972984</v>
      </c>
      <c r="BI67" s="59">
        <f ca="1">AVERAGE(OFFSET($BH$3,0,0,'Données projet'!$E$11+1,1))-AVERAGE(OFFSET($H$3,0,0,'Données projet'!$E$11+1,1))</f>
        <v>210.04871822652808</v>
      </c>
      <c r="BJ67" s="59">
        <f t="shared" si="38"/>
        <v>250.17540614049324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3.7235088688589055</v>
      </c>
      <c r="BQ67" s="21">
        <f>EXP(-LN(2)/25)*BQ66+(1-EXP(-LN(2)/25))/(LN(2)/25)*Calculateur!BL67*Calculateur!BN67*VLOOKUP('Données projet'!$B$11,Paramètres!$A$1:$I$89,3,0)*0.475*44/12</f>
        <v>10.842353125725896</v>
      </c>
      <c r="BR67" s="21">
        <f>EXP(-LN(2)/2)*BR66+(1-EXP(-LN(2)/2))/(LN(2)/2)*BL67*BO67*VLOOKUP('Données projet'!$B$11,Paramètres!$A$1:$I$89,3,0)*0.475*44/12</f>
        <v>1.6444312085992185E-4</v>
      </c>
      <c r="BS67" s="22">
        <f t="shared" si="9"/>
        <v>14.566026437705663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13.4</v>
      </c>
      <c r="N68" s="13">
        <f>IF('Données projet'!$A$36&gt;35,N67+M68-V67,IF(A68&lt;'Données projet'!$A$36,$K$205^A68,IF(A68='Données projet'!$A$36,'Données projet'!$B$36,N67+M68-V67)))</f>
        <v>546.99999999999977</v>
      </c>
      <c r="O68" s="13">
        <f>N68*VLOOKUP('Données projet'!$B$9,Paramètres!$A$1:$I$89,3,0)*VLOOKUP('Données projet'!$B$9,Paramètres!$A$1:$I$89,5,0)</f>
        <v>305.77299999999985</v>
      </c>
      <c r="P68" s="13">
        <f t="shared" si="33"/>
        <v>72.385360202068057</v>
      </c>
      <c r="Q68" s="20">
        <f t="shared" si="54"/>
        <v>658.62581068526822</v>
      </c>
      <c r="R68" s="59">
        <f t="shared" si="55"/>
        <v>951.95914401860159</v>
      </c>
      <c r="S68" s="59">
        <f ca="1">AVERAGE(OFFSET($R$3,0,0,'Données projet'!$E$9+1,1))-AVERAGE(OFFSET($H$3,0,0,'Données projet'!$E$9+1,1))</f>
        <v>326.31232746914907</v>
      </c>
      <c r="T68" s="59">
        <f t="shared" si="34"/>
        <v>330.17137761430297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2.2839725542193636</v>
      </c>
      <c r="AA68" s="21">
        <f>EXP(-LN(2)/25)*AA67+(1-EXP(-LN(2)/25))/(LN(2)/25)*Calculateur!V68*Calculateur!X68*VLOOKUP('Données projet'!$B$9,Paramètres!$A$1:$I$89,3,0)*0.475*44/12</f>
        <v>11.433409387770203</v>
      </c>
      <c r="AB68" s="21">
        <f>EXP(-LN(2)/2)*AB67+(1-EXP(-LN(2)/2))/(LN(2)/2)*V68*Y68*VLOOKUP('Données projet'!$B$9,Paramètres!$A$1:$I$89,3,0)*0.475*44/12</f>
        <v>1.7545005207125026E-4</v>
      </c>
      <c r="AC68" s="22">
        <f t="shared" ref="AC68:AC131" si="57">SUM(Z68:AB68)</f>
        <v>13.717557392041638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206.29440000000017</v>
      </c>
      <c r="AK68" s="13">
        <f t="shared" si="35"/>
        <v>51.124981739560774</v>
      </c>
      <c r="AL68" s="20">
        <f t="shared" ref="AL68:AL131" si="58">(AJ68+AK68)*0.475*44/12</f>
        <v>448.33875652973529</v>
      </c>
      <c r="AM68" s="59">
        <f t="shared" ref="AM68:AM131" si="59">AL68+(AD68+AE68)*44/12</f>
        <v>741.67208986306855</v>
      </c>
      <c r="AN68" s="59">
        <f ca="1">AVERAGE(OFFSET($AM$3,0,0,'Données projet'!$E$10+1,1))-AVERAGE(OFFSET($H$3,0,0,'Données projet'!$E$10+1,1))</f>
        <v>237.22177246688199</v>
      </c>
      <c r="AO68" s="59">
        <f t="shared" si="36"/>
        <v>149.27472147904302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1.1769304856499967</v>
      </c>
      <c r="AW68" s="21">
        <f>EXP(-LN(2)/2)*AW67+(1-EXP(-LN(2)/2))/(LN(2)/2)*AQ68*AT68*VLOOKUP('Données projet'!$B$10,Paramètres!$A$1:$I$89,3,0)*0.475*44/12</f>
        <v>3.3390272819433207E-5</v>
      </c>
      <c r="AX68" s="21">
        <f t="shared" ref="AX68:AX131" si="60">SUM(AU68:AW68)</f>
        <v>1.176963875922816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368.50000000000023</v>
      </c>
      <c r="BE68" s="13">
        <f>BD68*VLOOKUP('Données projet'!$B$11,Paramètres!$A$1:$I$89,3,0)*VLOOKUP('Données projet'!$B$11,Paramètres!$A$1:$I$89,5,0)</f>
        <v>201.20100000000014</v>
      </c>
      <c r="BF68" s="13">
        <f t="shared" si="37"/>
        <v>50.008019134354747</v>
      </c>
      <c r="BG68" s="20">
        <f t="shared" ref="BG68:BG131" si="61">(BE68+BF68)*0.475*44/12</f>
        <v>437.52237499233479</v>
      </c>
      <c r="BH68" s="59">
        <f t="shared" ref="BH68:BH131" si="62">BG68+(AY68+AZ68)*44/12</f>
        <v>730.85570832566805</v>
      </c>
      <c r="BI68" s="59">
        <f ca="1">AVERAGE(OFFSET($BH$3,0,0,'Données projet'!$E$11+1,1))-AVERAGE(OFFSET($H$3,0,0,'Données projet'!$E$11+1,1))</f>
        <v>210.04871822652808</v>
      </c>
      <c r="BJ68" s="59">
        <f t="shared" si="38"/>
        <v>250.17540614049324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3.6504931310567383</v>
      </c>
      <c r="BQ68" s="21">
        <f>EXP(-LN(2)/25)*BQ67+(1-EXP(-LN(2)/25))/(LN(2)/25)*Calculateur!BL68*Calculateur!BN68*VLOOKUP('Données projet'!$B$11,Paramètres!$A$1:$I$89,3,0)*0.475*44/12</f>
        <v>10.545868409328351</v>
      </c>
      <c r="BR68" s="21">
        <f>EXP(-LN(2)/2)*BR67+(1-EXP(-LN(2)/2))/(LN(2)/2)*BL68*BO68*VLOOKUP('Données projet'!$B$11,Paramètres!$A$1:$I$89,3,0)*0.475*44/12</f>
        <v>1.1627884587952976E-4</v>
      </c>
      <c r="BS68" s="22">
        <f t="shared" ref="BS68:BS131" si="63">SUM(BP68:BR68)</f>
        <v>14.196477819230969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13.4</v>
      </c>
      <c r="N69" s="13">
        <f>IF('Données projet'!$A$36&gt;35,N68+M69-V68,IF(A69&lt;'Données projet'!$A$36,$K$205^A69,IF(A69='Données projet'!$A$36,'Données projet'!$B$36,N68+M69-V68)))</f>
        <v>560.39999999999975</v>
      </c>
      <c r="O69" s="13">
        <f>N69*VLOOKUP('Données projet'!$B$9,Paramètres!$A$1:$I$89,3,0)*VLOOKUP('Données projet'!$B$9,Paramètres!$A$1:$I$89,5,0)</f>
        <v>313.26359999999988</v>
      </c>
      <c r="P69" s="13">
        <f t="shared" ref="P69:P132" si="87">EXP(-1.0587+0.8836*LN(O69)+0.284)</f>
        <v>73.949983766039026</v>
      </c>
      <c r="Q69" s="20">
        <f t="shared" si="54"/>
        <v>674.39699172585108</v>
      </c>
      <c r="R69" s="59">
        <f t="shared" si="55"/>
        <v>967.73032505918445</v>
      </c>
      <c r="S69" s="59">
        <f ca="1">AVERAGE(OFFSET($R$3,0,0,'Données projet'!$E$9+1,1))-AVERAGE(OFFSET($H$3,0,0,'Données projet'!$E$9+1,1))</f>
        <v>326.31232746914907</v>
      </c>
      <c r="T69" s="59">
        <f t="shared" ref="T69:T132" si="88">$T$3</f>
        <v>330.17137761430297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2.2391852455168242</v>
      </c>
      <c r="AA69" s="21">
        <f>EXP(-LN(2)/25)*AA68+(1-EXP(-LN(2)/25))/(LN(2)/25)*Calculateur!V69*Calculateur!X69*VLOOKUP('Données projet'!$B$9,Paramètres!$A$1:$I$89,3,0)*0.475*44/12</f>
        <v>11.120762206804759</v>
      </c>
      <c r="AB69" s="21">
        <f>EXP(-LN(2)/2)*AB68+(1-EXP(-LN(2)/2))/(LN(2)/2)*V69*Y69*VLOOKUP('Données projet'!$B$9,Paramètres!$A$1:$I$89,3,0)*0.475*44/12</f>
        <v>1.2406192157911393E-4</v>
      </c>
      <c r="AC69" s="22">
        <f t="shared" si="57"/>
        <v>13.360071514243161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212.62800000000016</v>
      </c>
      <c r="AK69" s="13">
        <f t="shared" ref="AK69:AK132" si="89">EXP(-1.0587+0.8836*LN(AJ69)+0.284)</f>
        <v>52.509453483719085</v>
      </c>
      <c r="AL69" s="20">
        <f t="shared" si="58"/>
        <v>461.78106481747767</v>
      </c>
      <c r="AM69" s="59">
        <f t="shared" si="59"/>
        <v>755.11439815081098</v>
      </c>
      <c r="AN69" s="59">
        <f ca="1">AVERAGE(OFFSET($AM$3,0,0,'Données projet'!$E$10+1,1))-AVERAGE(OFFSET($H$3,0,0,'Données projet'!$E$10+1,1))</f>
        <v>237.22177246688199</v>
      </c>
      <c r="AO69" s="59">
        <f t="shared" ref="AO69:AO132" si="90">$AO$3</f>
        <v>149.27472147904302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1.1447472596278132</v>
      </c>
      <c r="AW69" s="21">
        <f>EXP(-LN(2)/2)*AW68+(1-EXP(-LN(2)/2))/(LN(2)/2)*AQ69*AT69*VLOOKUP('Données projet'!$B$10,Paramètres!$A$1:$I$89,3,0)*0.475*44/12</f>
        <v>2.3610488336290082E-5</v>
      </c>
      <c r="AX69" s="21">
        <f t="shared" si="60"/>
        <v>1.1447708701161494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377.00000000000023</v>
      </c>
      <c r="BE69" s="13">
        <f>BD69*VLOOKUP('Données projet'!$B$11,Paramètres!$A$1:$I$89,3,0)*VLOOKUP('Données projet'!$B$11,Paramètres!$A$1:$I$89,5,0)</f>
        <v>205.84200000000013</v>
      </c>
      <c r="BF69" s="13">
        <f t="shared" ref="BF69:BF132" si="91">EXP(-1.0587+0.8836*LN(BE69)+0.284)</f>
        <v>51.02590322155848</v>
      </c>
      <c r="BG69" s="20">
        <f t="shared" si="61"/>
        <v>447.37826477754788</v>
      </c>
      <c r="BH69" s="59">
        <f t="shared" si="62"/>
        <v>740.71159811088114</v>
      </c>
      <c r="BI69" s="59">
        <f ca="1">AVERAGE(OFFSET($BH$3,0,0,'Données projet'!$E$11+1,1))-AVERAGE(OFFSET($H$3,0,0,'Données projet'!$E$11+1,1))</f>
        <v>210.04871822652808</v>
      </c>
      <c r="BJ69" s="59">
        <f t="shared" ref="BJ69:BJ132" si="92">$BJ$3</f>
        <v>250.17540614049324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3.5789091873376688</v>
      </c>
      <c r="BQ69" s="21">
        <f>EXP(-LN(2)/25)*BQ68+(1-EXP(-LN(2)/25))/(LN(2)/25)*Calculateur!BL69*Calculateur!BN69*VLOOKUP('Données projet'!$B$11,Paramètres!$A$1:$I$89,3,0)*0.475*44/12</f>
        <v>10.25749108309215</v>
      </c>
      <c r="BR69" s="21">
        <f>EXP(-LN(2)/2)*BR68+(1-EXP(-LN(2)/2))/(LN(2)/2)*BL69*BO69*VLOOKUP('Données projet'!$B$11,Paramètres!$A$1:$I$89,3,0)*0.475*44/12</f>
        <v>8.222156042996094E-5</v>
      </c>
      <c r="BS69" s="22">
        <f t="shared" si="63"/>
        <v>13.836482491990248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13.4</v>
      </c>
      <c r="N70" s="13">
        <f>IF('Données projet'!$A$36&gt;35,N69+M70-V69,IF(A70&lt;'Données projet'!$A$36,$K$205^A70,IF(A70='Données projet'!$A$36,'Données projet'!$B$36,N69+M70-V69)))</f>
        <v>573.79999999999973</v>
      </c>
      <c r="O70" s="13">
        <f>N70*VLOOKUP('Données projet'!$B$9,Paramètres!$A$1:$I$89,3,0)*VLOOKUP('Données projet'!$B$9,Paramètres!$A$1:$I$89,5,0)</f>
        <v>320.75419999999986</v>
      </c>
      <c r="P70" s="13">
        <f t="shared" si="87"/>
        <v>75.510258133660997</v>
      </c>
      <c r="Q70" s="20">
        <f t="shared" si="54"/>
        <v>690.16059791612599</v>
      </c>
      <c r="R70" s="59">
        <f t="shared" si="55"/>
        <v>983.49393124945937</v>
      </c>
      <c r="S70" s="59">
        <f ca="1">AVERAGE(OFFSET($R$3,0,0,'Données projet'!$E$9+1,1))-AVERAGE(OFFSET($H$3,0,0,'Données projet'!$E$9+1,1))</f>
        <v>326.31232746914907</v>
      </c>
      <c r="T70" s="59">
        <f t="shared" si="88"/>
        <v>330.17137761430297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2.1952761886203804</v>
      </c>
      <c r="AA70" s="21">
        <f>EXP(-LN(2)/25)*AA69+(1-EXP(-LN(2)/25))/(LN(2)/25)*Calculateur!V70*Calculateur!X70*VLOOKUP('Données projet'!$B$9,Paramètres!$A$1:$I$89,3,0)*0.475*44/12</f>
        <v>10.816664379444216</v>
      </c>
      <c r="AB70" s="21">
        <f>EXP(-LN(2)/2)*AB69+(1-EXP(-LN(2)/2))/(LN(2)/2)*V70*Y70*VLOOKUP('Données projet'!$B$9,Paramètres!$A$1:$I$89,3,0)*0.475*44/12</f>
        <v>8.7725026035625131E-5</v>
      </c>
      <c r="AC70" s="22">
        <f t="shared" si="57"/>
        <v>13.012028293090632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218.96160000000017</v>
      </c>
      <c r="AK70" s="13">
        <f t="shared" si="89"/>
        <v>53.889132503707479</v>
      </c>
      <c r="AL70" s="20">
        <f t="shared" si="58"/>
        <v>475.2150257772908</v>
      </c>
      <c r="AM70" s="59">
        <f t="shared" si="59"/>
        <v>768.54835911062412</v>
      </c>
      <c r="AN70" s="59">
        <f ca="1">AVERAGE(OFFSET($AM$3,0,0,'Données projet'!$E$10+1,1))-AVERAGE(OFFSET($H$3,0,0,'Données projet'!$E$10+1,1))</f>
        <v>237.22177246688199</v>
      </c>
      <c r="AO70" s="59">
        <f t="shared" si="90"/>
        <v>149.27472147904302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1.1134440856136487</v>
      </c>
      <c r="AW70" s="21">
        <f>EXP(-LN(2)/2)*AW69+(1-EXP(-LN(2)/2))/(LN(2)/2)*AQ70*AT70*VLOOKUP('Données projet'!$B$10,Paramètres!$A$1:$I$89,3,0)*0.475*44/12</f>
        <v>1.6695136409716603E-5</v>
      </c>
      <c r="AX70" s="21">
        <f t="shared" si="60"/>
        <v>1.1134607807500585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385.50000000000023</v>
      </c>
      <c r="BE70" s="13">
        <f>BD70*VLOOKUP('Données projet'!$B$11,Paramètres!$A$1:$I$89,3,0)*VLOOKUP('Données projet'!$B$11,Paramètres!$A$1:$I$89,5,0)</f>
        <v>210.48300000000012</v>
      </c>
      <c r="BF70" s="13">
        <f t="shared" si="91"/>
        <v>52.041119233873296</v>
      </c>
      <c r="BG70" s="20">
        <f t="shared" si="61"/>
        <v>457.22950766566288</v>
      </c>
      <c r="BH70" s="59">
        <f t="shared" si="62"/>
        <v>750.56284099899619</v>
      </c>
      <c r="BI70" s="59">
        <f ca="1">AVERAGE(OFFSET($BH$3,0,0,'Données projet'!$E$11+1,1))-AVERAGE(OFFSET($H$3,0,0,'Données projet'!$E$11+1,1))</f>
        <v>210.04871822652808</v>
      </c>
      <c r="BJ70" s="59">
        <f t="shared" si="92"/>
        <v>250.17540614049324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3.5087289610930359</v>
      </c>
      <c r="BQ70" s="21">
        <f>EXP(-LN(2)/25)*BQ69+(1-EXP(-LN(2)/25))/(LN(2)/25)*Calculateur!BL70*Calculateur!BN70*VLOOKUP('Données projet'!$B$11,Paramètres!$A$1:$I$89,3,0)*0.475*44/12</f>
        <v>9.9769994500069821</v>
      </c>
      <c r="BR70" s="21">
        <f>EXP(-LN(2)/2)*BR69+(1-EXP(-LN(2)/2))/(LN(2)/2)*BL70*BO70*VLOOKUP('Données projet'!$B$11,Paramètres!$A$1:$I$89,3,0)*0.475*44/12</f>
        <v>5.8139422939764889E-5</v>
      </c>
      <c r="BS70" s="22">
        <f t="shared" si="63"/>
        <v>13.485786550522958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13.4</v>
      </c>
      <c r="N71" s="13">
        <f>IF('Données projet'!$A$36&gt;35,N70+M71-V70,IF(A71&lt;'Données projet'!$A$36,$K$205^A71,IF(A71='Données projet'!$A$36,'Données projet'!$B$36,N70+M71-V70)))</f>
        <v>587.1999999999997</v>
      </c>
      <c r="O71" s="13">
        <f>N71*VLOOKUP('Données projet'!$B$9,Paramètres!$A$1:$I$89,3,0)*VLOOKUP('Données projet'!$B$9,Paramètres!$A$1:$I$89,5,0)</f>
        <v>328.24479999999983</v>
      </c>
      <c r="P71" s="13">
        <f t="shared" si="87"/>
        <v>77.066296561336628</v>
      </c>
      <c r="Q71" s="20">
        <f t="shared" si="54"/>
        <v>705.91682651099427</v>
      </c>
      <c r="R71" s="59">
        <f t="shared" si="55"/>
        <v>999.25015984432753</v>
      </c>
      <c r="S71" s="59">
        <f ca="1">AVERAGE(OFFSET($R$3,0,0,'Données projet'!$E$9+1,1))-AVERAGE(OFFSET($H$3,0,0,'Données projet'!$E$9+1,1))</f>
        <v>326.31232746914907</v>
      </c>
      <c r="T71" s="59">
        <f t="shared" si="88"/>
        <v>330.17137761430297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2.1522281615477961</v>
      </c>
      <c r="AA71" s="21">
        <f>EXP(-LN(2)/25)*AA70+(1-EXP(-LN(2)/25))/(LN(2)/25)*Calculateur!V71*Calculateur!X71*VLOOKUP('Données projet'!$B$9,Paramètres!$A$1:$I$89,3,0)*0.475*44/12</f>
        <v>10.520882123164656</v>
      </c>
      <c r="AB71" s="21">
        <f>EXP(-LN(2)/2)*AB70+(1-EXP(-LN(2)/2))/(LN(2)/2)*V71*Y71*VLOOKUP('Données projet'!$B$9,Paramètres!$A$1:$I$89,3,0)*0.475*44/12</f>
        <v>6.2030960789556964E-5</v>
      </c>
      <c r="AC71" s="22">
        <f t="shared" si="57"/>
        <v>12.673172315673241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225.29520000000016</v>
      </c>
      <c r="AK71" s="13">
        <f t="shared" si="89"/>
        <v>55.264173352293128</v>
      </c>
      <c r="AL71" s="20">
        <f t="shared" si="58"/>
        <v>488.64090858857736</v>
      </c>
      <c r="AM71" s="59">
        <f t="shared" si="59"/>
        <v>781.97424192191068</v>
      </c>
      <c r="AN71" s="59">
        <f ca="1">AVERAGE(OFFSET($AM$3,0,0,'Données projet'!$E$10+1,1))-AVERAGE(OFFSET($H$3,0,0,'Données projet'!$E$10+1,1))</f>
        <v>237.22177246688199</v>
      </c>
      <c r="AO71" s="59">
        <f t="shared" si="90"/>
        <v>149.27472147904302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1.0829968985390639</v>
      </c>
      <c r="AW71" s="21">
        <f>EXP(-LN(2)/2)*AW70+(1-EXP(-LN(2)/2))/(LN(2)/2)*AQ71*AT71*VLOOKUP('Données projet'!$B$10,Paramètres!$A$1:$I$89,3,0)*0.475*44/12</f>
        <v>1.1805244168145041E-5</v>
      </c>
      <c r="AX71" s="21">
        <f t="shared" si="60"/>
        <v>1.0830087037832321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394.00000000000023</v>
      </c>
      <c r="BE71" s="13">
        <f>BD71*VLOOKUP('Données projet'!$B$11,Paramètres!$A$1:$I$89,3,0)*VLOOKUP('Données projet'!$B$11,Paramètres!$A$1:$I$89,5,0)</f>
        <v>215.12400000000014</v>
      </c>
      <c r="BF71" s="13">
        <f t="shared" si="91"/>
        <v>53.053732774689799</v>
      </c>
      <c r="BG71" s="20">
        <f t="shared" si="61"/>
        <v>467.07621791591828</v>
      </c>
      <c r="BH71" s="59">
        <f t="shared" si="62"/>
        <v>760.40955124925154</v>
      </c>
      <c r="BI71" s="59">
        <f ca="1">AVERAGE(OFFSET($BH$3,0,0,'Données projet'!$E$11+1,1))-AVERAGE(OFFSET($H$3,0,0,'Données projet'!$E$11+1,1))</f>
        <v>210.04871822652808</v>
      </c>
      <c r="BJ71" s="59">
        <f t="shared" si="92"/>
        <v>250.17540614049324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3.4399249262793492</v>
      </c>
      <c r="BQ71" s="21">
        <f>EXP(-LN(2)/25)*BQ70+(1-EXP(-LN(2)/25))/(LN(2)/25)*Calculateur!BL71*Calculateur!BN71*VLOOKUP('Données projet'!$B$11,Paramètres!$A$1:$I$89,3,0)*0.475*44/12</f>
        <v>9.7041778753789423</v>
      </c>
      <c r="BR71" s="21">
        <f>EXP(-LN(2)/2)*BR70+(1-EXP(-LN(2)/2))/(LN(2)/2)*BL71*BO71*VLOOKUP('Données projet'!$B$11,Paramètres!$A$1:$I$89,3,0)*0.475*44/12</f>
        <v>4.1110780214980477E-5</v>
      </c>
      <c r="BS71" s="22">
        <f t="shared" si="63"/>
        <v>13.144143912438507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13.4</v>
      </c>
      <c r="N72" s="13">
        <f>IF('Données projet'!$A$36&gt;35,N71+M72-V71,IF(A72&lt;'Données projet'!$A$36,$K$205^A72,IF(A72='Données projet'!$A$36,'Données projet'!$B$36,N71+M72-V71)))</f>
        <v>600.59999999999968</v>
      </c>
      <c r="O72" s="13">
        <f>N72*VLOOKUP('Données projet'!$B$9,Paramètres!$A$1:$I$89,3,0)*VLOOKUP('Données projet'!$B$9,Paramètres!$A$1:$I$89,5,0)</f>
        <v>335.73539999999986</v>
      </c>
      <c r="P72" s="13">
        <f t="shared" si="87"/>
        <v>78.618206841401843</v>
      </c>
      <c r="Q72" s="20">
        <f t="shared" si="54"/>
        <v>721.66586524877459</v>
      </c>
      <c r="R72" s="59">
        <f t="shared" si="55"/>
        <v>1014.999198582108</v>
      </c>
      <c r="S72" s="59">
        <f ca="1">AVERAGE(OFFSET($R$3,0,0,'Données projet'!$E$9+1,1))-AVERAGE(OFFSET($H$3,0,0,'Données projet'!$E$9+1,1))</f>
        <v>326.31232746914907</v>
      </c>
      <c r="T72" s="59">
        <f t="shared" si="88"/>
        <v>330.17137761430297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2.1100242800294011</v>
      </c>
      <c r="AA72" s="21">
        <f>EXP(-LN(2)/25)*AA71+(1-EXP(-LN(2)/25))/(LN(2)/25)*Calculateur!V72*Calculateur!X72*VLOOKUP('Données projet'!$B$9,Paramètres!$A$1:$I$89,3,0)*0.475*44/12</f>
        <v>10.233188048237572</v>
      </c>
      <c r="AB72" s="21">
        <f>EXP(-LN(2)/2)*AB71+(1-EXP(-LN(2)/2))/(LN(2)/2)*V72*Y72*VLOOKUP('Données projet'!$B$9,Paramètres!$A$1:$I$89,3,0)*0.475*44/12</f>
        <v>4.3862513017812565E-5</v>
      </c>
      <c r="AC72" s="22">
        <f t="shared" si="57"/>
        <v>12.343256190779991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231.62880000000013</v>
      </c>
      <c r="AK72" s="13">
        <f t="shared" si="89"/>
        <v>56.63472139815827</v>
      </c>
      <c r="AL72" s="20">
        <f t="shared" si="58"/>
        <v>502.0589664351258</v>
      </c>
      <c r="AM72" s="59">
        <f t="shared" si="59"/>
        <v>795.39229976845911</v>
      </c>
      <c r="AN72" s="59">
        <f ca="1">AVERAGE(OFFSET($AM$3,0,0,'Données projet'!$E$10+1,1))-AVERAGE(OFFSET($H$3,0,0,'Données projet'!$E$10+1,1))</f>
        <v>237.22177246688199</v>
      </c>
      <c r="AO72" s="59">
        <f t="shared" si="90"/>
        <v>149.27472147904302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1.0533822913961814</v>
      </c>
      <c r="AW72" s="21">
        <f>EXP(-LN(2)/2)*AW71+(1-EXP(-LN(2)/2))/(LN(2)/2)*AQ72*AT72*VLOOKUP('Données projet'!$B$10,Paramètres!$A$1:$I$89,3,0)*0.475*44/12</f>
        <v>8.3475682048583016E-6</v>
      </c>
      <c r="AX72" s="21">
        <f t="shared" si="60"/>
        <v>1.0533906389643863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402.50000000000023</v>
      </c>
      <c r="BE72" s="13">
        <f>BD72*VLOOKUP('Données projet'!$B$11,Paramètres!$A$1:$I$89,3,0)*VLOOKUP('Données projet'!$B$11,Paramètres!$A$1:$I$89,5,0)</f>
        <v>219.76500000000013</v>
      </c>
      <c r="BF72" s="13">
        <f t="shared" si="91"/>
        <v>54.063806455114872</v>
      </c>
      <c r="BG72" s="20">
        <f t="shared" si="61"/>
        <v>476.91850457599202</v>
      </c>
      <c r="BH72" s="59">
        <f t="shared" si="62"/>
        <v>770.25183790932533</v>
      </c>
      <c r="BI72" s="59">
        <f ca="1">AVERAGE(OFFSET($BH$3,0,0,'Données projet'!$E$11+1,1))-AVERAGE(OFFSET($H$3,0,0,'Données projet'!$E$11+1,1))</f>
        <v>210.04871822652808</v>
      </c>
      <c r="BJ72" s="59">
        <f t="shared" si="92"/>
        <v>250.17540614049324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3.3724700966220413</v>
      </c>
      <c r="BQ72" s="21">
        <f>EXP(-LN(2)/25)*BQ71+(1-EXP(-LN(2)/25))/(LN(2)/25)*Calculateur!BL72*Calculateur!BN72*VLOOKUP('Données projet'!$B$11,Paramètres!$A$1:$I$89,3,0)*0.475*44/12</f>
        <v>9.4388166210561693</v>
      </c>
      <c r="BR72" s="21">
        <f>EXP(-LN(2)/2)*BR71+(1-EXP(-LN(2)/2))/(LN(2)/2)*BL72*BO72*VLOOKUP('Données projet'!$B$11,Paramètres!$A$1:$I$89,3,0)*0.475*44/12</f>
        <v>2.9069711469882448E-5</v>
      </c>
      <c r="BS72" s="22">
        <f t="shared" si="63"/>
        <v>12.811315787389681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614</v>
      </c>
      <c r="L73" s="12">
        <f>VLOOKUP(A73,'Données projet'!$A$35:$I$55,9,0)</f>
        <v>13.4</v>
      </c>
      <c r="M73" s="12">
        <f t="array" ref="M73">INDEX(L:L,MIN(IF(ISNUMBER(L73:L269),ROW(L73:L269),"")))</f>
        <v>13.4</v>
      </c>
      <c r="N73" s="13">
        <f>IF('Données projet'!$A$36&gt;35,N72+M73-V72,IF(A73&lt;'Données projet'!$A$36,$K$205^A73,IF(A73='Données projet'!$A$36,'Données projet'!$B$36,N72+M73-V72)))</f>
        <v>613.99999999999966</v>
      </c>
      <c r="O73" s="13">
        <f>N73*VLOOKUP('Données projet'!$B$9,Paramètres!$A$1:$I$89,3,0)*VLOOKUP('Données projet'!$B$9,Paramètres!$A$1:$I$89,5,0)</f>
        <v>343.22599999999983</v>
      </c>
      <c r="P73" s="13">
        <f t="shared" si="87"/>
        <v>80.166091681676377</v>
      </c>
      <c r="Q73" s="20">
        <f t="shared" si="54"/>
        <v>737.40789301225266</v>
      </c>
      <c r="R73" s="59">
        <f t="shared" si="55"/>
        <v>1030.741226345586</v>
      </c>
      <c r="S73" s="59">
        <f ca="1">AVERAGE(OFFSET($R$3,0,0,'Données projet'!$E$9+1,1))-AVERAGE(OFFSET($H$3,0,0,'Données projet'!$E$9+1,1))</f>
        <v>326.31232746914907</v>
      </c>
      <c r="T73" s="59">
        <f t="shared" si="88"/>
        <v>330.17137761430297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67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2.068647990885756</v>
      </c>
      <c r="AA73" s="21">
        <f>EXP(-LN(2)/25)*AA72+(1-EXP(-LN(2)/25))/(LN(2)/25)*Calculateur!V73*Calculateur!X73*VLOOKUP('Données projet'!$B$9,Paramètres!$A$1:$I$89,3,0)*0.475*44/12</f>
        <v>9.9533609829185448</v>
      </c>
      <c r="AB73" s="21">
        <f>EXP(-LN(2)/2)*AB72+(1-EXP(-LN(2)/2))/(LN(2)/2)*V73*Y73*VLOOKUP('Données projet'!$B$9,Paramètres!$A$1:$I$89,3,0)*0.475*44/12</f>
        <v>3.1015480394778482E-5</v>
      </c>
      <c r="AC73" s="22">
        <f t="shared" si="57"/>
        <v>12.022039989284696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237.96240000000012</v>
      </c>
      <c r="AK73" s="13">
        <f t="shared" si="89"/>
        <v>58.000913607663399</v>
      </c>
      <c r="AL73" s="20">
        <f t="shared" si="58"/>
        <v>515.46943786668055</v>
      </c>
      <c r="AM73" s="59">
        <f t="shared" si="59"/>
        <v>808.80277120001392</v>
      </c>
      <c r="AN73" s="59">
        <f ca="1">AVERAGE(OFFSET($AM$3,0,0,'Données projet'!$E$10+1,1))-AVERAGE(OFFSET($H$3,0,0,'Données projet'!$E$10+1,1))</f>
        <v>237.22177246688199</v>
      </c>
      <c r="AO73" s="59">
        <f t="shared" si="90"/>
        <v>149.27472147904302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1.0245774972429857</v>
      </c>
      <c r="AW73" s="21">
        <f>EXP(-LN(2)/2)*AW72+(1-EXP(-LN(2)/2))/(LN(2)/2)*AQ73*AT73*VLOOKUP('Données projet'!$B$10,Paramètres!$A$1:$I$89,3,0)*0.475*44/12</f>
        <v>5.9026220840725205E-6</v>
      </c>
      <c r="AX73" s="21">
        <f t="shared" si="60"/>
        <v>1.0245833998650697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411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411.00000000000023</v>
      </c>
      <c r="BE73" s="13">
        <f>BD73*VLOOKUP('Données projet'!$B$11,Paramètres!$A$1:$I$89,3,0)*VLOOKUP('Données projet'!$B$11,Paramètres!$A$1:$I$89,5,0)</f>
        <v>224.40600000000012</v>
      </c>
      <c r="BF73" s="13">
        <f t="shared" si="91"/>
        <v>55.071400090717127</v>
      </c>
      <c r="BG73" s="20">
        <f t="shared" si="61"/>
        <v>486.75647182466588</v>
      </c>
      <c r="BH73" s="59">
        <f t="shared" si="62"/>
        <v>780.08980515799919</v>
      </c>
      <c r="BI73" s="59">
        <f ca="1">AVERAGE(OFFSET($BH$3,0,0,'Données projet'!$E$11+1,1))-AVERAGE(OFFSET($H$3,0,0,'Données projet'!$E$11+1,1))</f>
        <v>210.04871822652808</v>
      </c>
      <c r="BJ73" s="59">
        <f t="shared" si="92"/>
        <v>250.17540614049324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3.3063380150309296</v>
      </c>
      <c r="BQ73" s="21">
        <f>EXP(-LN(2)/25)*BQ72+(1-EXP(-LN(2)/25))/(LN(2)/25)*Calculateur!BL73*Calculateur!BN73*VLOOKUP('Données projet'!$B$11,Paramètres!$A$1:$I$89,3,0)*0.475*44/12</f>
        <v>9.1807116841875942</v>
      </c>
      <c r="BR73" s="21">
        <f>EXP(-LN(2)/2)*BR72+(1-EXP(-LN(2)/2))/(LN(2)/2)*BL73*BO73*VLOOKUP('Données projet'!$B$11,Paramètres!$A$1:$I$89,3,0)*0.475*44/12</f>
        <v>2.0555390107490242E-5</v>
      </c>
      <c r="BS73" s="22">
        <f t="shared" si="63"/>
        <v>12.487070254608632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10.4</v>
      </c>
      <c r="N74" s="13">
        <f>IF('Données projet'!$A$36&gt;35,N73+M74-V73,IF(A74&lt;'Données projet'!$A$36,$K$205^A74,IF(A74='Données projet'!$A$36,'Données projet'!$B$36,N73+M74-V73)))</f>
        <v>557.39999999999964</v>
      </c>
      <c r="O74" s="13">
        <f>N74*VLOOKUP('Données projet'!$B$9,Paramètres!$A$1:$I$89,3,0)*VLOOKUP('Données projet'!$B$9,Paramètres!$A$1:$I$89,5,0)</f>
        <v>311.58659999999981</v>
      </c>
      <c r="P74" s="13">
        <f t="shared" si="87"/>
        <v>73.60007688942116</v>
      </c>
      <c r="Q74" s="20">
        <f t="shared" si="54"/>
        <v>670.86679558240803</v>
      </c>
      <c r="R74" s="59">
        <f t="shared" si="55"/>
        <v>964.20012891574129</v>
      </c>
      <c r="S74" s="59">
        <f ca="1">AVERAGE(OFFSET($R$3,0,0,'Données projet'!$E$9+1,1))-AVERAGE(OFFSET($H$3,0,0,'Données projet'!$E$9+1,1))</f>
        <v>326.31232746914907</v>
      </c>
      <c r="T74" s="59">
        <f t="shared" si="88"/>
        <v>330.17137761430297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2.0280830655351734</v>
      </c>
      <c r="AA74" s="21">
        <f>EXP(-LN(2)/25)*AA73+(1-EXP(-LN(2)/25))/(LN(2)/25)*Calculateur!V74*Calculateur!X74*VLOOKUP('Données projet'!$B$9,Paramètres!$A$1:$I$89,3,0)*0.475*44/12</f>
        <v>9.6811858034161311</v>
      </c>
      <c r="AB74" s="21">
        <f>EXP(-LN(2)/2)*AB73+(1-EXP(-LN(2)/2))/(LN(2)/2)*V74*Y74*VLOOKUP('Données projet'!$B$9,Paramètres!$A$1:$I$89,3,0)*0.475*44/12</f>
        <v>2.1931256508906283E-5</v>
      </c>
      <c r="AC74" s="22">
        <f t="shared" si="57"/>
        <v>11.709290800207814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205.48008000000016</v>
      </c>
      <c r="AK74" s="13">
        <f t="shared" si="89"/>
        <v>50.94662215818515</v>
      </c>
      <c r="AL74" s="20">
        <f t="shared" si="58"/>
        <v>446.6098395921727</v>
      </c>
      <c r="AM74" s="59">
        <f t="shared" si="59"/>
        <v>739.94317292550602</v>
      </c>
      <c r="AN74" s="59">
        <f ca="1">AVERAGE(OFFSET($AM$3,0,0,'Données projet'!$E$10+1,1))-AVERAGE(OFFSET($H$3,0,0,'Données projet'!$E$10+1,1))</f>
        <v>237.22177246688199</v>
      </c>
      <c r="AO74" s="59">
        <f t="shared" si="90"/>
        <v>149.27472147904302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0.99656037170068745</v>
      </c>
      <c r="AW74" s="21">
        <f>EXP(-LN(2)/2)*AW73+(1-EXP(-LN(2)/2))/(LN(2)/2)*AQ74*AT74*VLOOKUP('Données projet'!$B$10,Paramètres!$A$1:$I$89,3,0)*0.475*44/12</f>
        <v>4.1737841024291508E-6</v>
      </c>
      <c r="AX74" s="21">
        <f t="shared" si="60"/>
        <v>0.9965645454847899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366.4000000000002</v>
      </c>
      <c r="BE74" s="13">
        <f>BD74*VLOOKUP('Données projet'!$B$11,Paramètres!$A$1:$I$89,3,0)*VLOOKUP('Données projet'!$B$11,Paramètres!$A$1:$I$89,5,0)</f>
        <v>200.05440000000013</v>
      </c>
      <c r="BF74" s="13">
        <f t="shared" si="91"/>
        <v>49.756123009618236</v>
      </c>
      <c r="BG74" s="20">
        <f t="shared" si="61"/>
        <v>435.08666090841865</v>
      </c>
      <c r="BH74" s="59">
        <f t="shared" si="62"/>
        <v>728.41999424175197</v>
      </c>
      <c r="BI74" s="59">
        <f ca="1">AVERAGE(OFFSET($BH$3,0,0,'Données projet'!$E$11+1,1))-AVERAGE(OFFSET($H$3,0,0,'Données projet'!$E$11+1,1))</f>
        <v>210.04871822652808</v>
      </c>
      <c r="BJ74" s="59">
        <f t="shared" si="92"/>
        <v>250.17540614049324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3.2415027432232328</v>
      </c>
      <c r="BQ74" s="21">
        <f>EXP(-LN(2)/25)*BQ73+(1-EXP(-LN(2)/25))/(LN(2)/25)*Calculateur!BL74*Calculateur!BN74*VLOOKUP('Données projet'!$B$11,Paramètres!$A$1:$I$89,3,0)*0.475*44/12</f>
        <v>8.9296646403908397</v>
      </c>
      <c r="BR74" s="21">
        <f>EXP(-LN(2)/2)*BR73+(1-EXP(-LN(2)/2))/(LN(2)/2)*BL74*BO74*VLOOKUP('Données projet'!$B$11,Paramètres!$A$1:$I$89,3,0)*0.475*44/12</f>
        <v>1.4534855734941227E-5</v>
      </c>
      <c r="BS74" s="22">
        <f t="shared" si="63"/>
        <v>12.171181918469808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10.4</v>
      </c>
      <c r="N75" s="13">
        <f>IF('Données projet'!$A$36&gt;35,N74+M75-V74,IF(A75&lt;'Données projet'!$A$36,$K$205^A75,IF(A75='Données projet'!$A$36,'Données projet'!$B$36,N74+M75-V74)))</f>
        <v>567.79999999999961</v>
      </c>
      <c r="O75" s="13">
        <f>N75*VLOOKUP('Données projet'!$B$9,Paramètres!$A$1:$I$89,3,0)*VLOOKUP('Données projet'!$B$9,Paramètres!$A$1:$I$89,5,0)</f>
        <v>317.40019999999976</v>
      </c>
      <c r="P75" s="13">
        <f t="shared" si="87"/>
        <v>74.812158158961168</v>
      </c>
      <c r="Q75" s="20">
        <f t="shared" si="54"/>
        <v>683.10319046019015</v>
      </c>
      <c r="R75" s="59">
        <f t="shared" si="55"/>
        <v>976.43652379352352</v>
      </c>
      <c r="S75" s="59">
        <f ca="1">AVERAGE(OFFSET($R$3,0,0,'Données projet'!$E$9+1,1))-AVERAGE(OFFSET($H$3,0,0,'Données projet'!$E$9+1,1))</f>
        <v>326.31232746914907</v>
      </c>
      <c r="T75" s="59">
        <f t="shared" si="88"/>
        <v>330.17137761430297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1.9883135936285541</v>
      </c>
      <c r="AA75" s="21">
        <f>EXP(-LN(2)/25)*AA74+(1-EXP(-LN(2)/25))/(LN(2)/25)*Calculateur!V75*Calculateur!X75*VLOOKUP('Données projet'!$B$9,Paramètres!$A$1:$I$89,3,0)*0.475*44/12</f>
        <v>9.4164532685102831</v>
      </c>
      <c r="AB75" s="21">
        <f>EXP(-LN(2)/2)*AB74+(1-EXP(-LN(2)/2))/(LN(2)/2)*V75*Y75*VLOOKUP('Données projet'!$B$9,Paramètres!$A$1:$I$89,3,0)*0.475*44/12</f>
        <v>1.5507740197389241E-5</v>
      </c>
      <c r="AC75" s="22">
        <f t="shared" si="57"/>
        <v>11.404782369879035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210.99936000000014</v>
      </c>
      <c r="AK75" s="13">
        <f t="shared" si="89"/>
        <v>52.153910623486667</v>
      </c>
      <c r="AL75" s="20">
        <f t="shared" si="58"/>
        <v>458.32527966923953</v>
      </c>
      <c r="AM75" s="59">
        <f t="shared" si="59"/>
        <v>751.65861300257279</v>
      </c>
      <c r="AN75" s="59">
        <f ca="1">AVERAGE(OFFSET($AM$3,0,0,'Données projet'!$E$10+1,1))-AVERAGE(OFFSET($H$3,0,0,'Données projet'!$E$10+1,1))</f>
        <v>237.22177246688199</v>
      </c>
      <c r="AO75" s="59">
        <f t="shared" si="90"/>
        <v>149.27472147904302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0.9693093759296999</v>
      </c>
      <c r="AW75" s="21">
        <f>EXP(-LN(2)/2)*AW74+(1-EXP(-LN(2)/2))/(LN(2)/2)*AQ75*AT75*VLOOKUP('Données projet'!$B$10,Paramètres!$A$1:$I$89,3,0)*0.475*44/12</f>
        <v>2.9513110420362603E-6</v>
      </c>
      <c r="AX75" s="21">
        <f t="shared" si="60"/>
        <v>0.9693123272407419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373.80000000000018</v>
      </c>
      <c r="BE75" s="13">
        <f>BD75*VLOOKUP('Données projet'!$B$11,Paramètres!$A$1:$I$89,3,0)*VLOOKUP('Données projet'!$B$11,Paramètres!$A$1:$I$89,5,0)</f>
        <v>204.09480000000011</v>
      </c>
      <c r="BF75" s="13">
        <f t="shared" si="91"/>
        <v>50.643016586252969</v>
      </c>
      <c r="BG75" s="20">
        <f t="shared" si="61"/>
        <v>443.66836388772407</v>
      </c>
      <c r="BH75" s="59">
        <f t="shared" si="62"/>
        <v>737.00169722105738</v>
      </c>
      <c r="BI75" s="59">
        <f ca="1">AVERAGE(OFFSET($BH$3,0,0,'Données projet'!$E$11+1,1))-AVERAGE(OFFSET($H$3,0,0,'Données projet'!$E$11+1,1))</f>
        <v>210.04871822652808</v>
      </c>
      <c r="BJ75" s="59">
        <f t="shared" si="92"/>
        <v>250.17540614049324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3.1779388515500742</v>
      </c>
      <c r="BQ75" s="21">
        <f>EXP(-LN(2)/25)*BQ74+(1-EXP(-LN(2)/25))/(LN(2)/25)*Calculateur!BL75*Calculateur!BN75*VLOOKUP('Données projet'!$B$11,Paramètres!$A$1:$I$89,3,0)*0.475*44/12</f>
        <v>8.6854824912086972</v>
      </c>
      <c r="BR75" s="21">
        <f>EXP(-LN(2)/2)*BR74+(1-EXP(-LN(2)/2))/(LN(2)/2)*BL75*BO75*VLOOKUP('Données projet'!$B$11,Paramètres!$A$1:$I$89,3,0)*0.475*44/12</f>
        <v>1.0277695053745123E-5</v>
      </c>
      <c r="BS75" s="22">
        <f t="shared" si="63"/>
        <v>11.863431620453825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10.4</v>
      </c>
      <c r="N76" s="13">
        <f>IF('Données projet'!$A$36&gt;35,N75+M76-V75,IF(A76&lt;'Données projet'!$A$36,$K$205^A76,IF(A76='Données projet'!$A$36,'Données projet'!$B$36,N75+M76-V75)))</f>
        <v>578.19999999999959</v>
      </c>
      <c r="O76" s="13">
        <f>N76*VLOOKUP('Données projet'!$B$9,Paramètres!$A$1:$I$89,3,0)*VLOOKUP('Données projet'!$B$9,Paramètres!$A$1:$I$89,5,0)</f>
        <v>323.21379999999982</v>
      </c>
      <c r="P76" s="13">
        <f t="shared" si="87"/>
        <v>76.021657849237485</v>
      </c>
      <c r="Q76" s="20">
        <f t="shared" si="54"/>
        <v>695.33508908742158</v>
      </c>
      <c r="R76" s="59">
        <f t="shared" si="55"/>
        <v>988.66842242075495</v>
      </c>
      <c r="S76" s="59">
        <f ca="1">AVERAGE(OFFSET($R$3,0,0,'Données projet'!$E$9+1,1))-AVERAGE(OFFSET($H$3,0,0,'Données projet'!$E$9+1,1))</f>
        <v>326.31232746914907</v>
      </c>
      <c r="T76" s="59">
        <f t="shared" si="88"/>
        <v>330.17137761430297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1.9493239768090409</v>
      </c>
      <c r="AA76" s="21">
        <f>EXP(-LN(2)/25)*AA75+(1-EXP(-LN(2)/25))/(LN(2)/25)*Calculateur!V76*Calculateur!X76*VLOOKUP('Données projet'!$B$9,Paramètres!$A$1:$I$89,3,0)*0.475*44/12</f>
        <v>9.1589598586931142</v>
      </c>
      <c r="AB76" s="21">
        <f>EXP(-LN(2)/2)*AB75+(1-EXP(-LN(2)/2))/(LN(2)/2)*V76*Y76*VLOOKUP('Données projet'!$B$9,Paramètres!$A$1:$I$89,3,0)*0.475*44/12</f>
        <v>1.0965628254453141E-5</v>
      </c>
      <c r="AC76" s="22">
        <f t="shared" si="57"/>
        <v>11.108294801130409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216.51864000000015</v>
      </c>
      <c r="AK76" s="13">
        <f t="shared" si="89"/>
        <v>53.357528323079173</v>
      </c>
      <c r="AL76" s="20">
        <f t="shared" si="58"/>
        <v>470.03432649602973</v>
      </c>
      <c r="AM76" s="59">
        <f t="shared" si="59"/>
        <v>763.36765982936299</v>
      </c>
      <c r="AN76" s="59">
        <f ca="1">AVERAGE(OFFSET($AM$3,0,0,'Données projet'!$E$10+1,1))-AVERAGE(OFFSET($H$3,0,0,'Données projet'!$E$10+1,1))</f>
        <v>237.22177246688199</v>
      </c>
      <c r="AO76" s="59">
        <f t="shared" si="90"/>
        <v>149.27472147904302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0.94280356007113753</v>
      </c>
      <c r="AW76" s="21">
        <f>EXP(-LN(2)/2)*AW75+(1-EXP(-LN(2)/2))/(LN(2)/2)*AQ76*AT76*VLOOKUP('Données projet'!$B$10,Paramètres!$A$1:$I$89,3,0)*0.475*44/12</f>
        <v>2.0868920512145754E-6</v>
      </c>
      <c r="AX76" s="21">
        <f t="shared" si="60"/>
        <v>0.94280564696318869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381.20000000000016</v>
      </c>
      <c r="BE76" s="13">
        <f>BD76*VLOOKUP('Données projet'!$B$11,Paramètres!$A$1:$I$89,3,0)*VLOOKUP('Données projet'!$B$11,Paramètres!$A$1:$I$89,5,0)</f>
        <v>208.13520000000011</v>
      </c>
      <c r="BF76" s="13">
        <f t="shared" si="91"/>
        <v>51.527868675898425</v>
      </c>
      <c r="BG76" s="20">
        <f t="shared" si="61"/>
        <v>452.24651127718994</v>
      </c>
      <c r="BH76" s="59">
        <f t="shared" si="62"/>
        <v>745.5798446105232</v>
      </c>
      <c r="BI76" s="59">
        <f ca="1">AVERAGE(OFFSET($BH$3,0,0,'Données projet'!$E$11+1,1))-AVERAGE(OFFSET($H$3,0,0,'Données projet'!$E$11+1,1))</f>
        <v>210.04871822652808</v>
      </c>
      <c r="BJ76" s="59">
        <f t="shared" si="92"/>
        <v>250.17540614049324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3.1156214090224803</v>
      </c>
      <c r="BQ76" s="21">
        <f>EXP(-LN(2)/25)*BQ75+(1-EXP(-LN(2)/25))/(LN(2)/25)*Calculateur!BL76*Calculateur!BN76*VLOOKUP('Données projet'!$B$11,Paramètres!$A$1:$I$89,3,0)*0.475*44/12</f>
        <v>8.4479775157369215</v>
      </c>
      <c r="BR76" s="21">
        <f>EXP(-LN(2)/2)*BR75+(1-EXP(-LN(2)/2))/(LN(2)/2)*BL76*BO76*VLOOKUP('Données projet'!$B$11,Paramètres!$A$1:$I$89,3,0)*0.475*44/12</f>
        <v>7.2674278674706145E-6</v>
      </c>
      <c r="BS76" s="22">
        <f t="shared" si="63"/>
        <v>11.563606192187269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10.4</v>
      </c>
      <c r="N77" s="13">
        <f>IF('Données projet'!$A$36&gt;35,N76+M77-V76,IF(A77&lt;'Données projet'!$A$36,$K$205^A77,IF(A77='Données projet'!$A$36,'Données projet'!$B$36,N76+M77-V76)))</f>
        <v>588.59999999999957</v>
      </c>
      <c r="O77" s="13">
        <f>N77*VLOOKUP('Données projet'!$B$9,Paramètres!$A$1:$I$89,3,0)*VLOOKUP('Données projet'!$B$9,Paramètres!$A$1:$I$89,5,0)</f>
        <v>329.02739999999977</v>
      </c>
      <c r="P77" s="13">
        <f t="shared" si="87"/>
        <v>77.228627751120342</v>
      </c>
      <c r="Q77" s="20">
        <f t="shared" si="54"/>
        <v>707.56258166653413</v>
      </c>
      <c r="R77" s="59">
        <f t="shared" si="55"/>
        <v>1000.8959149998675</v>
      </c>
      <c r="S77" s="59">
        <f ca="1">AVERAGE(OFFSET($R$3,0,0,'Données projet'!$E$9+1,1))-AVERAGE(OFFSET($H$3,0,0,'Données projet'!$E$9+1,1))</f>
        <v>326.31232746914907</v>
      </c>
      <c r="T77" s="59">
        <f t="shared" si="88"/>
        <v>330.17137761430297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1.9110989225940405</v>
      </c>
      <c r="AA77" s="21">
        <f>EXP(-LN(2)/25)*AA76+(1-EXP(-LN(2)/25))/(LN(2)/25)*Calculateur!V77*Calculateur!X77*VLOOKUP('Données projet'!$B$9,Paramètres!$A$1:$I$89,3,0)*0.475*44/12</f>
        <v>8.9085076197083843</v>
      </c>
      <c r="AB77" s="21">
        <f>EXP(-LN(2)/2)*AB76+(1-EXP(-LN(2)/2))/(LN(2)/2)*V77*Y77*VLOOKUP('Données projet'!$B$9,Paramètres!$A$1:$I$89,3,0)*0.475*44/12</f>
        <v>7.7538700986946205E-6</v>
      </c>
      <c r="AC77" s="22">
        <f t="shared" si="57"/>
        <v>10.819614296172524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222.03792000000013</v>
      </c>
      <c r="AK77" s="13">
        <f t="shared" si="89"/>
        <v>54.5575795882731</v>
      </c>
      <c r="AL77" s="20">
        <f t="shared" si="58"/>
        <v>481.7371617829092</v>
      </c>
      <c r="AM77" s="59">
        <f t="shared" si="59"/>
        <v>775.07049511624245</v>
      </c>
      <c r="AN77" s="59">
        <f ca="1">AVERAGE(OFFSET($AM$3,0,0,'Données projet'!$E$10+1,1))-AVERAGE(OFFSET($H$3,0,0,'Données projet'!$E$10+1,1))</f>
        <v>237.22177246688199</v>
      </c>
      <c r="AO77" s="59">
        <f t="shared" si="90"/>
        <v>149.27472147904302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0.91702254714110787</v>
      </c>
      <c r="AW77" s="21">
        <f>EXP(-LN(2)/2)*AW76+(1-EXP(-LN(2)/2))/(LN(2)/2)*AQ77*AT77*VLOOKUP('Données projet'!$B$10,Paramètres!$A$1:$I$89,3,0)*0.475*44/12</f>
        <v>1.4756555210181301E-6</v>
      </c>
      <c r="AX77" s="21">
        <f t="shared" si="60"/>
        <v>0.91702402279662887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388.60000000000014</v>
      </c>
      <c r="BE77" s="13">
        <f>BD77*VLOOKUP('Données projet'!$B$11,Paramètres!$A$1:$I$89,3,0)*VLOOKUP('Données projet'!$B$11,Paramètres!$A$1:$I$89,5,0)</f>
        <v>212.17560000000006</v>
      </c>
      <c r="BF77" s="13">
        <f t="shared" si="91"/>
        <v>52.410723477279205</v>
      </c>
      <c r="BG77" s="20">
        <f t="shared" si="61"/>
        <v>460.82118005626143</v>
      </c>
      <c r="BH77" s="59">
        <f t="shared" si="62"/>
        <v>754.15451338959474</v>
      </c>
      <c r="BI77" s="59">
        <f ca="1">AVERAGE(OFFSET($BH$3,0,0,'Données projet'!$E$11+1,1))-AVERAGE(OFFSET($H$3,0,0,'Données projet'!$E$11+1,1))</f>
        <v>210.04871822652808</v>
      </c>
      <c r="BJ77" s="59">
        <f t="shared" si="92"/>
        <v>250.17540614049324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3.0545259735329657</v>
      </c>
      <c r="BQ77" s="21">
        <f>EXP(-LN(2)/25)*BQ76+(1-EXP(-LN(2)/25))/(LN(2)/25)*Calculateur!BL77*Calculateur!BN77*VLOOKUP('Données projet'!$B$11,Paramètres!$A$1:$I$89,3,0)*0.475*44/12</f>
        <v>8.2169671263092656</v>
      </c>
      <c r="BR77" s="21">
        <f>EXP(-LN(2)/2)*BR76+(1-EXP(-LN(2)/2))/(LN(2)/2)*BL77*BO77*VLOOKUP('Données projet'!$B$11,Paramètres!$A$1:$I$89,3,0)*0.475*44/12</f>
        <v>5.1388475268725622E-6</v>
      </c>
      <c r="BS77" s="22">
        <f t="shared" si="63"/>
        <v>11.271498238689759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10.4</v>
      </c>
      <c r="N78" s="13">
        <f>IF('Données projet'!$A$36&gt;35,N77+M78-V77,IF(A78&lt;'Données projet'!$A$36,$K$205^A78,IF(A78='Données projet'!$A$36,'Données projet'!$B$36,N77+M78-V77)))</f>
        <v>598.99999999999955</v>
      </c>
      <c r="O78" s="13">
        <f>N78*VLOOKUP('Données projet'!$B$9,Paramètres!$A$1:$I$89,3,0)*VLOOKUP('Données projet'!$B$9,Paramètres!$A$1:$I$89,5,0)</f>
        <v>334.84099999999978</v>
      </c>
      <c r="P78" s="13">
        <f t="shared" si="87"/>
        <v>78.433117720461652</v>
      </c>
      <c r="Q78" s="20">
        <f t="shared" si="54"/>
        <v>719.78575502980368</v>
      </c>
      <c r="R78" s="59">
        <f t="shared" si="55"/>
        <v>1013.1190883631371</v>
      </c>
      <c r="S78" s="59">
        <f ca="1">AVERAGE(OFFSET($R$3,0,0,'Données projet'!$E$9+1,1))-AVERAGE(OFFSET($H$3,0,0,'Données projet'!$E$9+1,1))</f>
        <v>326.31232746914907</v>
      </c>
      <c r="T78" s="59">
        <f t="shared" si="88"/>
        <v>330.17137761430297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1.8736234383772152</v>
      </c>
      <c r="AA78" s="21">
        <f>EXP(-LN(2)/25)*AA77+(1-EXP(-LN(2)/25))/(LN(2)/25)*Calculateur!V78*Calculateur!X78*VLOOKUP('Données projet'!$B$9,Paramètres!$A$1:$I$89,3,0)*0.475*44/12</f>
        <v>8.6649040103694031</v>
      </c>
      <c r="AB78" s="21">
        <f>EXP(-LN(2)/2)*AB77+(1-EXP(-LN(2)/2))/(LN(2)/2)*V78*Y78*VLOOKUP('Données projet'!$B$9,Paramètres!$A$1:$I$89,3,0)*0.475*44/12</f>
        <v>5.4828141272265707E-6</v>
      </c>
      <c r="AC78" s="22">
        <f t="shared" si="57"/>
        <v>10.538532931560747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227.55720000000014</v>
      </c>
      <c r="AK78" s="13">
        <f t="shared" si="89"/>
        <v>55.754163267932753</v>
      </c>
      <c r="AL78" s="20">
        <f t="shared" si="58"/>
        <v>493.43395769164982</v>
      </c>
      <c r="AM78" s="59">
        <f t="shared" si="59"/>
        <v>786.76729102498314</v>
      </c>
      <c r="AN78" s="59">
        <f ca="1">AVERAGE(OFFSET($AM$3,0,0,'Données projet'!$E$10+1,1))-AVERAGE(OFFSET($H$3,0,0,'Données projet'!$E$10+1,1))</f>
        <v>237.22177246688199</v>
      </c>
      <c r="AO78" s="59">
        <f t="shared" si="90"/>
        <v>149.27472147904302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0.89194651736541442</v>
      </c>
      <c r="AW78" s="21">
        <f>EXP(-LN(2)/2)*AW77+(1-EXP(-LN(2)/2))/(LN(2)/2)*AQ78*AT78*VLOOKUP('Données projet'!$B$10,Paramètres!$A$1:$I$89,3,0)*0.475*44/12</f>
        <v>1.0434460256072877E-6</v>
      </c>
      <c r="AX78" s="21">
        <f t="shared" si="60"/>
        <v>0.89194756081144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396.00000000000011</v>
      </c>
      <c r="BE78" s="13">
        <f>BD78*VLOOKUP('Données projet'!$B$11,Paramètres!$A$1:$I$89,3,0)*VLOOKUP('Données projet'!$B$11,Paramètres!$A$1:$I$89,5,0)</f>
        <v>216.21600000000007</v>
      </c>
      <c r="BF78" s="13">
        <f t="shared" si="91"/>
        <v>53.291623409473033</v>
      </c>
      <c r="BG78" s="20">
        <f t="shared" si="61"/>
        <v>469.39244410483235</v>
      </c>
      <c r="BH78" s="59">
        <f t="shared" si="62"/>
        <v>762.72577743816566</v>
      </c>
      <c r="BI78" s="59">
        <f ca="1">AVERAGE(OFFSET($BH$3,0,0,'Données projet'!$E$11+1,1))-AVERAGE(OFFSET($H$3,0,0,'Données projet'!$E$11+1,1))</f>
        <v>210.04871822652808</v>
      </c>
      <c r="BJ78" s="59">
        <f t="shared" si="92"/>
        <v>250.17540614049324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2.9946285822688647</v>
      </c>
      <c r="BQ78" s="21">
        <f>EXP(-LN(2)/25)*BQ77+(1-EXP(-LN(2)/25))/(LN(2)/25)*Calculateur!BL78*Calculateur!BN78*VLOOKUP('Données projet'!$B$11,Paramètres!$A$1:$I$89,3,0)*0.475*44/12</f>
        <v>7.9922737281288176</v>
      </c>
      <c r="BR78" s="21">
        <f>EXP(-LN(2)/2)*BR77+(1-EXP(-LN(2)/2))/(LN(2)/2)*BL78*BO78*VLOOKUP('Données projet'!$B$11,Paramètres!$A$1:$I$89,3,0)*0.475*44/12</f>
        <v>3.6337139337353081E-6</v>
      </c>
      <c r="BS78" s="22">
        <f t="shared" si="63"/>
        <v>10.986905944111616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10.4</v>
      </c>
      <c r="N79" s="13">
        <f>IF('Données projet'!$A$36&gt;35,N78+M79-V78,IF(A79&lt;'Données projet'!$A$36,$K$205^A79,IF(A79='Données projet'!$A$36,'Données projet'!$B$36,N78+M79-V78)))</f>
        <v>609.39999999999952</v>
      </c>
      <c r="O79" s="13">
        <f>N79*VLOOKUP('Données projet'!$B$9,Paramètres!$A$1:$I$89,3,0)*VLOOKUP('Données projet'!$B$9,Paramètres!$A$1:$I$89,5,0)</f>
        <v>340.65459999999973</v>
      </c>
      <c r="P79" s="13">
        <f t="shared" si="87"/>
        <v>79.635175782709197</v>
      </c>
      <c r="Q79" s="20">
        <f t="shared" si="54"/>
        <v>732.00469282155143</v>
      </c>
      <c r="R79" s="59">
        <f t="shared" si="55"/>
        <v>1025.3380261548848</v>
      </c>
      <c r="S79" s="59">
        <f ca="1">AVERAGE(OFFSET($R$3,0,0,'Données projet'!$E$9+1,1))-AVERAGE(OFFSET($H$3,0,0,'Données projet'!$E$9+1,1))</f>
        <v>326.31232746914907</v>
      </c>
      <c r="T79" s="59">
        <f t="shared" si="88"/>
        <v>330.17137761430297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1.8368828255480936</v>
      </c>
      <c r="AA79" s="21">
        <f>EXP(-LN(2)/25)*AA78+(1-EXP(-LN(2)/25))/(LN(2)/25)*Calculateur!V79*Calculateur!X79*VLOOKUP('Données projet'!$B$9,Paramètres!$A$1:$I$89,3,0)*0.475*44/12</f>
        <v>8.4279617545383534</v>
      </c>
      <c r="AB79" s="21">
        <f>EXP(-LN(2)/2)*AB78+(1-EXP(-LN(2)/2))/(LN(2)/2)*V79*Y79*VLOOKUP('Données projet'!$B$9,Paramètres!$A$1:$I$89,3,0)*0.475*44/12</f>
        <v>3.8769350493473103E-6</v>
      </c>
      <c r="AC79" s="22">
        <f t="shared" si="57"/>
        <v>10.264848457021495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233.07648000000017</v>
      </c>
      <c r="AK79" s="13">
        <f t="shared" si="89"/>
        <v>56.947373142454929</v>
      </c>
      <c r="AL79" s="20">
        <f t="shared" si="58"/>
        <v>505.12487755644264</v>
      </c>
      <c r="AM79" s="59">
        <f t="shared" si="59"/>
        <v>798.45821088977596</v>
      </c>
      <c r="AN79" s="59">
        <f ca="1">AVERAGE(OFFSET($AM$3,0,0,'Données projet'!$E$10+1,1))-AVERAGE(OFFSET($H$3,0,0,'Données projet'!$E$10+1,1))</f>
        <v>237.22177246688199</v>
      </c>
      <c r="AO79" s="59">
        <f t="shared" si="90"/>
        <v>149.27472147904302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0.86755619294262842</v>
      </c>
      <c r="AW79" s="21">
        <f>EXP(-LN(2)/2)*AW78+(1-EXP(-LN(2)/2))/(LN(2)/2)*AQ79*AT79*VLOOKUP('Données projet'!$B$10,Paramètres!$A$1:$I$89,3,0)*0.475*44/12</f>
        <v>7.3782776050906506E-7</v>
      </c>
      <c r="AX79" s="21">
        <f t="shared" si="60"/>
        <v>0.86755693077038898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403.40000000000009</v>
      </c>
      <c r="BE79" s="13">
        <f>BD79*VLOOKUP('Données projet'!$B$11,Paramètres!$A$1:$I$89,3,0)*VLOOKUP('Données projet'!$B$11,Paramètres!$A$1:$I$89,5,0)</f>
        <v>220.25640000000004</v>
      </c>
      <c r="BF79" s="13">
        <f t="shared" si="91"/>
        <v>54.170609215461226</v>
      </c>
      <c r="BG79" s="20">
        <f t="shared" si="61"/>
        <v>477.96037438359508</v>
      </c>
      <c r="BH79" s="59">
        <f t="shared" si="62"/>
        <v>771.29370771692834</v>
      </c>
      <c r="BI79" s="59">
        <f ca="1">AVERAGE(OFFSET($BH$3,0,0,'Données projet'!$E$11+1,1))-AVERAGE(OFFSET($H$3,0,0,'Données projet'!$E$11+1,1))</f>
        <v>210.04871822652808</v>
      </c>
      <c r="BJ79" s="59">
        <f t="shared" si="92"/>
        <v>250.17540614049324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2.9359057423136514</v>
      </c>
      <c r="BQ79" s="21">
        <f>EXP(-LN(2)/25)*BQ78+(1-EXP(-LN(2)/25))/(LN(2)/25)*Calculateur!BL79*Calculateur!BN79*VLOOKUP('Données projet'!$B$11,Paramètres!$A$1:$I$89,3,0)*0.475*44/12</f>
        <v>7.7737245827377262</v>
      </c>
      <c r="BR79" s="21">
        <f>EXP(-LN(2)/2)*BR78+(1-EXP(-LN(2)/2))/(LN(2)/2)*BL79*BO79*VLOOKUP('Données projet'!$B$11,Paramètres!$A$1:$I$89,3,0)*0.475*44/12</f>
        <v>2.5694237634362815E-6</v>
      </c>
      <c r="BS79" s="22">
        <f t="shared" si="63"/>
        <v>10.709632894475142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10.4</v>
      </c>
      <c r="N80" s="13">
        <f>IF('Données projet'!$A$36&gt;35,N79+M80-V79,IF(A80&lt;'Données projet'!$A$36,$K$205^A80,IF(A80='Données projet'!$A$36,'Données projet'!$B$36,N79+M80-V79)))</f>
        <v>619.7999999999995</v>
      </c>
      <c r="O80" s="13">
        <f>N80*VLOOKUP('Données projet'!$B$9,Paramètres!$A$1:$I$89,3,0)*VLOOKUP('Données projet'!$B$9,Paramètres!$A$1:$I$89,5,0)</f>
        <v>346.46819999999974</v>
      </c>
      <c r="P80" s="13">
        <f t="shared" si="87"/>
        <v>80.834848230178139</v>
      </c>
      <c r="Q80" s="20">
        <f t="shared" si="54"/>
        <v>744.21947566755978</v>
      </c>
      <c r="R80" s="59">
        <f t="shared" si="55"/>
        <v>1037.5528090008931</v>
      </c>
      <c r="S80" s="59">
        <f ca="1">AVERAGE(OFFSET($R$3,0,0,'Données projet'!$E$9+1,1))-AVERAGE(OFFSET($H$3,0,0,'Données projet'!$E$9+1,1))</f>
        <v>326.31232746914907</v>
      </c>
      <c r="T80" s="59">
        <f t="shared" si="88"/>
        <v>330.17137761430297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1.8008626737269899</v>
      </c>
      <c r="AA80" s="21">
        <f>EXP(-LN(2)/25)*AA79+(1-EXP(-LN(2)/25))/(LN(2)/25)*Calculateur!V80*Calculateur!X80*VLOOKUP('Données projet'!$B$9,Paramètres!$A$1:$I$89,3,0)*0.475*44/12</f>
        <v>8.1974986971532555</v>
      </c>
      <c r="AB80" s="21">
        <f>EXP(-LN(2)/2)*AB79+(1-EXP(-LN(2)/2))/(LN(2)/2)*V80*Y80*VLOOKUP('Données projet'!$B$9,Paramètres!$A$1:$I$89,3,0)*0.475*44/12</f>
        <v>2.7414070636132853E-6</v>
      </c>
      <c r="AC80" s="22">
        <f t="shared" si="57"/>
        <v>9.9983641122873088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238.59576000000018</v>
      </c>
      <c r="AK80" s="13">
        <f t="shared" si="89"/>
        <v>58.137298297430824</v>
      </c>
      <c r="AL80" s="20">
        <f t="shared" si="58"/>
        <v>516.81007653469237</v>
      </c>
      <c r="AM80" s="59">
        <f t="shared" si="59"/>
        <v>810.14340986802563</v>
      </c>
      <c r="AN80" s="59">
        <f ca="1">AVERAGE(OFFSET($AM$3,0,0,'Données projet'!$E$10+1,1))-AVERAGE(OFFSET($H$3,0,0,'Données projet'!$E$10+1,1))</f>
        <v>237.22177246688199</v>
      </c>
      <c r="AO80" s="59">
        <f t="shared" si="90"/>
        <v>149.27472147904302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0.84383282322381492</v>
      </c>
      <c r="AW80" s="21">
        <f>EXP(-LN(2)/2)*AW79+(1-EXP(-LN(2)/2))/(LN(2)/2)*AQ80*AT80*VLOOKUP('Données projet'!$B$10,Paramètres!$A$1:$I$89,3,0)*0.475*44/12</f>
        <v>5.2172301280364385E-7</v>
      </c>
      <c r="AX80" s="21">
        <f t="shared" si="60"/>
        <v>0.84383334494682771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410.80000000000007</v>
      </c>
      <c r="BE80" s="13">
        <f>BD80*VLOOKUP('Données projet'!$B$11,Paramètres!$A$1:$I$89,3,0)*VLOOKUP('Données projet'!$B$11,Paramètres!$A$1:$I$89,5,0)</f>
        <v>224.29680000000005</v>
      </c>
      <c r="BF80" s="13">
        <f t="shared" si="91"/>
        <v>55.047720057866165</v>
      </c>
      <c r="BG80" s="20">
        <f t="shared" si="61"/>
        <v>486.52503910078366</v>
      </c>
      <c r="BH80" s="59">
        <f t="shared" si="62"/>
        <v>779.85837243411697</v>
      </c>
      <c r="BI80" s="59">
        <f ca="1">AVERAGE(OFFSET($BH$3,0,0,'Données projet'!$E$11+1,1))-AVERAGE(OFFSET($H$3,0,0,'Données projet'!$E$11+1,1))</f>
        <v>210.04871822652808</v>
      </c>
      <c r="BJ80" s="59">
        <f t="shared" si="92"/>
        <v>250.17540614049324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2.8783344214325641</v>
      </c>
      <c r="BQ80" s="21">
        <f>EXP(-LN(2)/25)*BQ79+(1-EXP(-LN(2)/25))/(LN(2)/25)*Calculateur!BL80*Calculateur!BN80*VLOOKUP('Données projet'!$B$11,Paramètres!$A$1:$I$89,3,0)*0.475*44/12</f>
        <v>7.561151675220354</v>
      </c>
      <c r="BR80" s="21">
        <f>EXP(-LN(2)/2)*BR79+(1-EXP(-LN(2)/2))/(LN(2)/2)*BL80*BO80*VLOOKUP('Données projet'!$B$11,Paramètres!$A$1:$I$89,3,0)*0.475*44/12</f>
        <v>1.8168569668676543E-6</v>
      </c>
      <c r="BS80" s="22">
        <f t="shared" si="63"/>
        <v>10.439487913509884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10.4</v>
      </c>
      <c r="N81" s="13">
        <f>IF('Données projet'!$A$36&gt;35,N80+M81-V80,IF(A81&lt;'Données projet'!$A$36,$K$205^A81,IF(A81='Données projet'!$A$36,'Données projet'!$B$36,N80+M81-V80)))</f>
        <v>630.19999999999948</v>
      </c>
      <c r="O81" s="13">
        <f>N81*VLOOKUP('Données projet'!$B$9,Paramètres!$A$1:$I$89,3,0)*VLOOKUP('Données projet'!$B$9,Paramètres!$A$1:$I$89,5,0)</f>
        <v>352.28179999999969</v>
      </c>
      <c r="P81" s="13">
        <f t="shared" si="87"/>
        <v>82.032179712608126</v>
      </c>
      <c r="Q81" s="20">
        <f t="shared" si="54"/>
        <v>756.4301813327919</v>
      </c>
      <c r="R81" s="59">
        <f t="shared" si="55"/>
        <v>1049.7635146661253</v>
      </c>
      <c r="S81" s="59">
        <f ca="1">AVERAGE(OFFSET($R$3,0,0,'Données projet'!$E$9+1,1))-AVERAGE(OFFSET($H$3,0,0,'Données projet'!$E$9+1,1))</f>
        <v>326.31232746914907</v>
      </c>
      <c r="T81" s="59">
        <f t="shared" si="88"/>
        <v>330.17137761430297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1.765548855112975</v>
      </c>
      <c r="AA81" s="21">
        <f>EXP(-LN(2)/25)*AA80+(1-EXP(-LN(2)/25))/(LN(2)/25)*Calculateur!V81*Calculateur!X81*VLOOKUP('Données projet'!$B$9,Paramètres!$A$1:$I$89,3,0)*0.475*44/12</f>
        <v>7.9733376641918792</v>
      </c>
      <c r="AB81" s="21">
        <f>EXP(-LN(2)/2)*AB80+(1-EXP(-LN(2)/2))/(LN(2)/2)*V81*Y81*VLOOKUP('Données projet'!$B$9,Paramètres!$A$1:$I$89,3,0)*0.475*44/12</f>
        <v>1.9384675246736551E-6</v>
      </c>
      <c r="AC81" s="22">
        <f t="shared" si="57"/>
        <v>9.7388884577723793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244.11504000000019</v>
      </c>
      <c r="AK81" s="13">
        <f t="shared" si="89"/>
        <v>59.324023461759062</v>
      </c>
      <c r="AL81" s="20">
        <f t="shared" si="58"/>
        <v>528.48970219589739</v>
      </c>
      <c r="AM81" s="59">
        <f t="shared" si="59"/>
        <v>821.82303552923076</v>
      </c>
      <c r="AN81" s="59">
        <f ca="1">AVERAGE(OFFSET($AM$3,0,0,'Données projet'!$E$10+1,1))-AVERAGE(OFFSET($H$3,0,0,'Données projet'!$E$10+1,1))</f>
        <v>237.22177246688199</v>
      </c>
      <c r="AO81" s="59">
        <f t="shared" si="90"/>
        <v>149.27472147904302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0.82075817029752018</v>
      </c>
      <c r="AW81" s="21">
        <f>EXP(-LN(2)/2)*AW80+(1-EXP(-LN(2)/2))/(LN(2)/2)*AQ81*AT81*VLOOKUP('Données projet'!$B$10,Paramètres!$A$1:$I$89,3,0)*0.475*44/12</f>
        <v>3.6891388025453253E-7</v>
      </c>
      <c r="AX81" s="21">
        <f t="shared" si="60"/>
        <v>0.82075853921140041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418.20000000000005</v>
      </c>
      <c r="BE81" s="13">
        <f>BD81*VLOOKUP('Données projet'!$B$11,Paramètres!$A$1:$I$89,3,0)*VLOOKUP('Données projet'!$B$11,Paramètres!$A$1:$I$89,5,0)</f>
        <v>228.33720000000002</v>
      </c>
      <c r="BF81" s="13">
        <f t="shared" si="91"/>
        <v>55.922993607595103</v>
      </c>
      <c r="BG81" s="20">
        <f t="shared" si="61"/>
        <v>495.08650386656154</v>
      </c>
      <c r="BH81" s="59">
        <f t="shared" si="62"/>
        <v>788.4198371998948</v>
      </c>
      <c r="BI81" s="59">
        <f ca="1">AVERAGE(OFFSET($BH$3,0,0,'Données projet'!$E$11+1,1))-AVERAGE(OFFSET($H$3,0,0,'Données projet'!$E$11+1,1))</f>
        <v>210.04871822652808</v>
      </c>
      <c r="BJ81" s="59">
        <f t="shared" si="92"/>
        <v>250.17540614049324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2.8218920390389166</v>
      </c>
      <c r="BQ81" s="21">
        <f>EXP(-LN(2)/25)*BQ80+(1-EXP(-LN(2)/25))/(LN(2)/25)*Calculateur!BL81*Calculateur!BN81*VLOOKUP('Données projet'!$B$11,Paramètres!$A$1:$I$89,3,0)*0.475*44/12</f>
        <v>7.3543915850377681</v>
      </c>
      <c r="BR81" s="21">
        <f>EXP(-LN(2)/2)*BR80+(1-EXP(-LN(2)/2))/(LN(2)/2)*BL81*BO81*VLOOKUP('Données projet'!$B$11,Paramètres!$A$1:$I$89,3,0)*0.475*44/12</f>
        <v>1.284711881718141E-6</v>
      </c>
      <c r="BS81" s="22">
        <f t="shared" si="63"/>
        <v>10.176284908788567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10.4</v>
      </c>
      <c r="N82" s="13">
        <f>IF('Données projet'!$A$36&gt;35,N81+M82-V81,IF(A82&lt;'Données projet'!$A$36,$K$205^A82,IF(A82='Données projet'!$A$36,'Données projet'!$B$36,N81+M82-V81)))</f>
        <v>640.59999999999945</v>
      </c>
      <c r="O82" s="13">
        <f>N82*VLOOKUP('Données projet'!$B$9,Paramètres!$A$1:$I$89,3,0)*VLOOKUP('Données projet'!$B$9,Paramètres!$A$1:$I$89,5,0)</f>
        <v>358.0953999999997</v>
      </c>
      <c r="P82" s="13">
        <f t="shared" si="87"/>
        <v>83.227213321573814</v>
      </c>
      <c r="Q82" s="20">
        <f t="shared" si="54"/>
        <v>768.63688486840704</v>
      </c>
      <c r="R82" s="59">
        <f t="shared" si="55"/>
        <v>1061.9702182017404</v>
      </c>
      <c r="S82" s="59">
        <f ca="1">AVERAGE(OFFSET($R$3,0,0,'Données projet'!$E$9+1,1))-AVERAGE(OFFSET($H$3,0,0,'Données projet'!$E$9+1,1))</f>
        <v>326.31232746914907</v>
      </c>
      <c r="T82" s="59">
        <f t="shared" si="88"/>
        <v>330.17137761430297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1.7309275189426783</v>
      </c>
      <c r="AA82" s="21">
        <f>EXP(-LN(2)/25)*AA81+(1-EXP(-LN(2)/25))/(LN(2)/25)*Calculateur!V82*Calculateur!X82*VLOOKUP('Données projet'!$B$9,Paramètres!$A$1:$I$89,3,0)*0.475*44/12</f>
        <v>7.7553063264649476</v>
      </c>
      <c r="AB82" s="21">
        <f>EXP(-LN(2)/2)*AB81+(1-EXP(-LN(2)/2))/(LN(2)/2)*V82*Y82*VLOOKUP('Données projet'!$B$9,Paramètres!$A$1:$I$89,3,0)*0.475*44/12</f>
        <v>1.3707035318066427E-6</v>
      </c>
      <c r="AC82" s="22">
        <f t="shared" si="57"/>
        <v>9.4862352161111563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249.63432000000023</v>
      </c>
      <c r="AK82" s="13">
        <f t="shared" si="89"/>
        <v>60.507629314318471</v>
      </c>
      <c r="AL82" s="20">
        <f t="shared" si="58"/>
        <v>540.16389505577172</v>
      </c>
      <c r="AM82" s="59">
        <f t="shared" si="59"/>
        <v>833.49722838910498</v>
      </c>
      <c r="AN82" s="59">
        <f ca="1">AVERAGE(OFFSET($AM$3,0,0,'Données projet'!$E$10+1,1))-AVERAGE(OFFSET($H$3,0,0,'Données projet'!$E$10+1,1))</f>
        <v>237.22177246688199</v>
      </c>
      <c r="AO82" s="59">
        <f t="shared" si="90"/>
        <v>149.27472147904302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0.79831449496893814</v>
      </c>
      <c r="AW82" s="21">
        <f>EXP(-LN(2)/2)*AW81+(1-EXP(-LN(2)/2))/(LN(2)/2)*AQ82*AT82*VLOOKUP('Données projet'!$B$10,Paramètres!$A$1:$I$89,3,0)*0.475*44/12</f>
        <v>2.6086150640182193E-7</v>
      </c>
      <c r="AX82" s="21">
        <f t="shared" si="60"/>
        <v>0.79831475583044453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425.6</v>
      </c>
      <c r="BE82" s="13">
        <f>BD82*VLOOKUP('Données projet'!$B$11,Paramètres!$A$1:$I$89,3,0)*VLOOKUP('Données projet'!$B$11,Paramètres!$A$1:$I$89,5,0)</f>
        <v>232.37760000000003</v>
      </c>
      <c r="BF82" s="13">
        <f t="shared" si="91"/>
        <v>56.7964661260323</v>
      </c>
      <c r="BG82" s="20">
        <f t="shared" si="61"/>
        <v>503.64483183617295</v>
      </c>
      <c r="BH82" s="59">
        <f t="shared" si="62"/>
        <v>796.97816516950627</v>
      </c>
      <c r="BI82" s="59">
        <f ca="1">AVERAGE(OFFSET($BH$3,0,0,'Données projet'!$E$11+1,1))-AVERAGE(OFFSET($H$3,0,0,'Données projet'!$E$11+1,1))</f>
        <v>210.04871822652808</v>
      </c>
      <c r="BJ82" s="59">
        <f t="shared" si="92"/>
        <v>250.17540614049324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2.7665564573375545</v>
      </c>
      <c r="BQ82" s="21">
        <f>EXP(-LN(2)/25)*BQ81+(1-EXP(-LN(2)/25))/(LN(2)/25)*Calculateur!BL82*Calculateur!BN82*VLOOKUP('Données projet'!$B$11,Paramètres!$A$1:$I$89,3,0)*0.475*44/12</f>
        <v>7.1532853603942659</v>
      </c>
      <c r="BR82" s="21">
        <f>EXP(-LN(2)/2)*BR81+(1-EXP(-LN(2)/2))/(LN(2)/2)*BL82*BO82*VLOOKUP('Données projet'!$B$11,Paramètres!$A$1:$I$89,3,0)*0.475*44/12</f>
        <v>9.0842848343382724E-7</v>
      </c>
      <c r="BS82" s="22">
        <f t="shared" si="63"/>
        <v>9.9198427261603026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651</v>
      </c>
      <c r="L83" s="12">
        <f>VLOOKUP(A83,'Données projet'!$A$35:$I$55,9,0)</f>
        <v>10.4</v>
      </c>
      <c r="M83" s="12">
        <f t="array" ref="M83">INDEX(L:L,MIN(IF(ISNUMBER(L83:L279),ROW(L83:L279),"")))</f>
        <v>10.4</v>
      </c>
      <c r="N83" s="13">
        <f>IF('Données projet'!$A$36&gt;35,N82+M83-V82,IF(A83&lt;'Données projet'!$A$36,$K$205^A83,IF(A83='Données projet'!$A$36,'Données projet'!$B$36,N82+M83-V82)))</f>
        <v>650.99999999999943</v>
      </c>
      <c r="O83" s="13">
        <f>N83*VLOOKUP('Données projet'!$B$9,Paramètres!$A$1:$I$89,3,0)*VLOOKUP('Données projet'!$B$9,Paramètres!$A$1:$I$89,5,0)</f>
        <v>363.90899999999971</v>
      </c>
      <c r="P83" s="13">
        <f t="shared" si="87"/>
        <v>84.4199906692578</v>
      </c>
      <c r="Q83" s="20">
        <f t="shared" si="54"/>
        <v>780.83965874895682</v>
      </c>
      <c r="R83" s="59">
        <f t="shared" si="55"/>
        <v>1074.1729920822902</v>
      </c>
      <c r="S83" s="59">
        <f ca="1">AVERAGE(OFFSET($R$3,0,0,'Données projet'!$E$9+1,1))-AVERAGE(OFFSET($H$3,0,0,'Données projet'!$E$9+1,1))</f>
        <v>326.31232746914907</v>
      </c>
      <c r="T83" s="59">
        <f t="shared" si="88"/>
        <v>330.17137761430297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651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1.6969850860577511</v>
      </c>
      <c r="AA83" s="21">
        <f>EXP(-LN(2)/25)*AA82+(1-EXP(-LN(2)/25))/(LN(2)/25)*Calculateur!V83*Calculateur!X83*VLOOKUP('Données projet'!$B$9,Paramètres!$A$1:$I$89,3,0)*0.475*44/12</f>
        <v>7.5432370671339291</v>
      </c>
      <c r="AB83" s="21">
        <f>EXP(-LN(2)/2)*AB82+(1-EXP(-LN(2)/2))/(LN(2)/2)*V83*Y83*VLOOKUP('Données projet'!$B$9,Paramètres!$A$1:$I$89,3,0)*0.475*44/12</f>
        <v>9.6923376233682757E-7</v>
      </c>
      <c r="AC83" s="22">
        <f t="shared" si="57"/>
        <v>9.2402231224254425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255.15360000000024</v>
      </c>
      <c r="AK83" s="13">
        <f t="shared" si="89"/>
        <v>61.688192762754483</v>
      </c>
      <c r="AL83" s="20">
        <f t="shared" si="58"/>
        <v>551.83278906179783</v>
      </c>
      <c r="AM83" s="59">
        <f t="shared" si="59"/>
        <v>845.1661223951312</v>
      </c>
      <c r="AN83" s="59">
        <f ca="1">AVERAGE(OFFSET($AM$3,0,0,'Données projet'!$E$10+1,1))-AVERAGE(OFFSET($H$3,0,0,'Données projet'!$E$10+1,1))</f>
        <v>237.22177246688199</v>
      </c>
      <c r="AO83" s="59">
        <f t="shared" si="90"/>
        <v>149.27472147904302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0.77648454312247783</v>
      </c>
      <c r="AW83" s="21">
        <f>EXP(-LN(2)/2)*AW82+(1-EXP(-LN(2)/2))/(LN(2)/2)*AQ83*AT83*VLOOKUP('Données projet'!$B$10,Paramètres!$A$1:$I$89,3,0)*0.475*44/12</f>
        <v>1.8445694012726627E-7</v>
      </c>
      <c r="AX83" s="21">
        <f t="shared" si="60"/>
        <v>0.776484727579418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433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433</v>
      </c>
      <c r="BE83" s="13">
        <f>BD83*VLOOKUP('Données projet'!$B$11,Paramètres!$A$1:$I$89,3,0)*VLOOKUP('Données projet'!$B$11,Paramètres!$A$1:$I$89,5,0)</f>
        <v>236.41799999999998</v>
      </c>
      <c r="BF83" s="13">
        <f t="shared" si="91"/>
        <v>57.668172541352746</v>
      </c>
      <c r="BG83" s="20">
        <f t="shared" si="61"/>
        <v>512.20008384285597</v>
      </c>
      <c r="BH83" s="59">
        <f t="shared" si="62"/>
        <v>805.53341717618923</v>
      </c>
      <c r="BI83" s="59">
        <f ca="1">AVERAGE(OFFSET($BH$3,0,0,'Données projet'!$E$11+1,1))-AVERAGE(OFFSET($H$3,0,0,'Données projet'!$E$11+1,1))</f>
        <v>210.04871822652808</v>
      </c>
      <c r="BJ83" s="59">
        <f t="shared" si="92"/>
        <v>250.17540614049324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433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2.712305972641984</v>
      </c>
      <c r="BQ83" s="21">
        <f>EXP(-LN(2)/25)*BQ82+(1-EXP(-LN(2)/25))/(LN(2)/25)*Calculateur!BL83*Calculateur!BN83*VLOOKUP('Données projet'!$B$11,Paramètres!$A$1:$I$89,3,0)*0.475*44/12</f>
        <v>6.9576783960393564</v>
      </c>
      <c r="BR83" s="21">
        <f>EXP(-LN(2)/2)*BR82+(1-EXP(-LN(2)/2))/(LN(2)/2)*BL83*BO83*VLOOKUP('Données projet'!$B$11,Paramètres!$A$1:$I$89,3,0)*0.475*44/12</f>
        <v>6.4235594085907048E-7</v>
      </c>
      <c r="BS83" s="22">
        <f t="shared" si="63"/>
        <v>9.6699850110372818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-5.6843418860808015E-13</v>
      </c>
      <c r="O84" s="13">
        <f>N84*VLOOKUP('Données projet'!$B$9,Paramètres!$A$1:$I$89,3,0)*VLOOKUP('Données projet'!$B$9,Paramètres!$A$1:$I$89,5,0)</f>
        <v>-3.177547114319168E-13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326.31232746914907</v>
      </c>
      <c r="T84" s="59">
        <f t="shared" si="88"/>
        <v>330.17137761430297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1.6637082435788575</v>
      </c>
      <c r="AA84" s="21">
        <f>EXP(-LN(2)/25)*AA83+(1-EXP(-LN(2)/25))/(LN(2)/25)*Calculateur!V84*Calculateur!X84*VLOOKUP('Données projet'!$B$9,Paramètres!$A$1:$I$89,3,0)*0.475*44/12</f>
        <v>7.336966852851555</v>
      </c>
      <c r="AB84" s="21">
        <f>EXP(-LN(2)/2)*AB83+(1-EXP(-LN(2)/2))/(LN(2)/2)*V84*Y84*VLOOKUP('Données projet'!$B$9,Paramètres!$A$1:$I$89,3,0)*0.475*44/12</f>
        <v>6.8535176590332133E-7</v>
      </c>
      <c r="AC84" s="22">
        <f t="shared" si="57"/>
        <v>9.0006757817821796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222.2188800000003</v>
      </c>
      <c r="AK84" s="13">
        <f t="shared" si="89"/>
        <v>54.596866296848951</v>
      </c>
      <c r="AL84" s="20">
        <f t="shared" si="58"/>
        <v>482.12075813367898</v>
      </c>
      <c r="AM84" s="59">
        <f t="shared" si="59"/>
        <v>775.45409146701229</v>
      </c>
      <c r="AN84" s="59">
        <f ca="1">AVERAGE(OFFSET($AM$3,0,0,'Données projet'!$E$10+1,1))-AVERAGE(OFFSET($H$3,0,0,'Données projet'!$E$10+1,1))</f>
        <v>237.22177246688199</v>
      </c>
      <c r="AO84" s="59">
        <f t="shared" si="90"/>
        <v>149.27472147904302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0.75525153245724619</v>
      </c>
      <c r="AW84" s="21">
        <f>EXP(-LN(2)/2)*AW83+(1-EXP(-LN(2)/2))/(LN(2)/2)*AQ84*AT84*VLOOKUP('Données projet'!$B$10,Paramètres!$A$1:$I$89,3,0)*0.475*44/12</f>
        <v>1.3043075320091096E-7</v>
      </c>
      <c r="AX84" s="21">
        <f t="shared" si="60"/>
        <v>0.75525166288799939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210.04871822652808</v>
      </c>
      <c r="BJ84" s="59">
        <f t="shared" si="92"/>
        <v>250.17540614049324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2.6591193068617653</v>
      </c>
      <c r="BQ84" s="21">
        <f>EXP(-LN(2)/25)*BQ83+(1-EXP(-LN(2)/25))/(LN(2)/25)*Calculateur!BL84*Calculateur!BN84*VLOOKUP('Données projet'!$B$11,Paramètres!$A$1:$I$89,3,0)*0.475*44/12</f>
        <v>6.7674203144112557</v>
      </c>
      <c r="BR84" s="21">
        <f>EXP(-LN(2)/2)*BR83+(1-EXP(-LN(2)/2))/(LN(2)/2)*BL84*BO84*VLOOKUP('Données projet'!$B$11,Paramètres!$A$1:$I$89,3,0)*0.475*44/12</f>
        <v>4.5421424171691362E-7</v>
      </c>
      <c r="BS84" s="22">
        <f t="shared" si="63"/>
        <v>9.4265400754872619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-5.6843418860808015E-13</v>
      </c>
      <c r="O85" s="13">
        <f>N85*VLOOKUP('Données projet'!$B$9,Paramètres!$A$1:$I$89,3,0)*VLOOKUP('Données projet'!$B$9,Paramètres!$A$1:$I$89,5,0)</f>
        <v>-3.177547114319168E-13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326.31232746914907</v>
      </c>
      <c r="T85" s="59">
        <f t="shared" si="88"/>
        <v>330.17137761430297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1.6310839396841053</v>
      </c>
      <c r="AA85" s="21">
        <f>EXP(-LN(2)/25)*AA84+(1-EXP(-LN(2)/25))/(LN(2)/25)*Calculateur!V85*Calculateur!X85*VLOOKUP('Données projet'!$B$9,Paramètres!$A$1:$I$89,3,0)*0.475*44/12</f>
        <v>7.1363371084260114</v>
      </c>
      <c r="AB85" s="21">
        <f>EXP(-LN(2)/2)*AB84+(1-EXP(-LN(2)/2))/(LN(2)/2)*V85*Y85*VLOOKUP('Données projet'!$B$9,Paramètres!$A$1:$I$89,3,0)*0.475*44/12</f>
        <v>4.8461688116841378E-7</v>
      </c>
      <c r="AC85" s="22">
        <f t="shared" si="57"/>
        <v>8.7674215327269991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227.28576000000027</v>
      </c>
      <c r="AK85" s="13">
        <f t="shared" si="89"/>
        <v>55.695394520076427</v>
      </c>
      <c r="AL85" s="20">
        <f t="shared" si="58"/>
        <v>492.85884412246696</v>
      </c>
      <c r="AM85" s="59">
        <f t="shared" si="59"/>
        <v>786.19217745580022</v>
      </c>
      <c r="AN85" s="59">
        <f ca="1">AVERAGE(OFFSET($AM$3,0,0,'Données projet'!$E$10+1,1))-AVERAGE(OFFSET($H$3,0,0,'Données projet'!$E$10+1,1))</f>
        <v>237.22177246688199</v>
      </c>
      <c r="AO85" s="59">
        <f t="shared" si="90"/>
        <v>149.27472147904302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0.7345991395852508</v>
      </c>
      <c r="AW85" s="21">
        <f>EXP(-LN(2)/2)*AW84+(1-EXP(-LN(2)/2))/(LN(2)/2)*AQ85*AT85*VLOOKUP('Données projet'!$B$10,Paramètres!$A$1:$I$89,3,0)*0.475*44/12</f>
        <v>9.2228470063633133E-8</v>
      </c>
      <c r="AX85" s="21">
        <f t="shared" si="60"/>
        <v>0.73459923181372089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210.04871822652808</v>
      </c>
      <c r="BJ85" s="59">
        <f t="shared" si="92"/>
        <v>250.17540614049324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2.6069755991568337</v>
      </c>
      <c r="BQ85" s="21">
        <f>EXP(-LN(2)/25)*BQ84+(1-EXP(-LN(2)/25))/(LN(2)/25)*Calculateur!BL85*Calculateur!BN85*VLOOKUP('Données projet'!$B$11,Paramètres!$A$1:$I$89,3,0)*0.475*44/12</f>
        <v>6.5823648500305127</v>
      </c>
      <c r="BR85" s="21">
        <f>EXP(-LN(2)/2)*BR84+(1-EXP(-LN(2)/2))/(LN(2)/2)*BL85*BO85*VLOOKUP('Données projet'!$B$11,Paramètres!$A$1:$I$89,3,0)*0.475*44/12</f>
        <v>3.2117797042953524E-7</v>
      </c>
      <c r="BS85" s="22">
        <f t="shared" si="63"/>
        <v>9.189340770365316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-5.6843418860808015E-13</v>
      </c>
      <c r="O86" s="13">
        <f>N86*VLOOKUP('Données projet'!$B$9,Paramètres!$A$1:$I$89,3,0)*VLOOKUP('Données projet'!$B$9,Paramètres!$A$1:$I$89,5,0)</f>
        <v>-3.177547114319168E-13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326.31232746914907</v>
      </c>
      <c r="T86" s="59">
        <f t="shared" si="88"/>
        <v>330.17137761430297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1.5990993784898686</v>
      </c>
      <c r="AA86" s="21">
        <f>EXP(-LN(2)/25)*AA85+(1-EXP(-LN(2)/25))/(LN(2)/25)*Calculateur!V86*Calculateur!X86*VLOOKUP('Données projet'!$B$9,Paramètres!$A$1:$I$89,3,0)*0.475*44/12</f>
        <v>6.9411935949124439</v>
      </c>
      <c r="AB86" s="21">
        <f>EXP(-LN(2)/2)*AB85+(1-EXP(-LN(2)/2))/(LN(2)/2)*V86*Y86*VLOOKUP('Données projet'!$B$9,Paramètres!$A$1:$I$89,3,0)*0.475*44/12</f>
        <v>3.4267588295166067E-7</v>
      </c>
      <c r="AC86" s="22">
        <f t="shared" si="57"/>
        <v>8.5402933160781949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232.35264000000026</v>
      </c>
      <c r="AK86" s="13">
        <f t="shared" si="89"/>
        <v>56.791075613550355</v>
      </c>
      <c r="AL86" s="20">
        <f t="shared" si="58"/>
        <v>503.59197136026728</v>
      </c>
      <c r="AM86" s="59">
        <f t="shared" si="59"/>
        <v>796.92530469360054</v>
      </c>
      <c r="AN86" s="59">
        <f ca="1">AVERAGE(OFFSET($AM$3,0,0,'Données projet'!$E$10+1,1))-AVERAGE(OFFSET($H$3,0,0,'Données projet'!$E$10+1,1))</f>
        <v>237.22177246688199</v>
      </c>
      <c r="AO86" s="59">
        <f t="shared" si="90"/>
        <v>149.27472147904302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0.71451148748240234</v>
      </c>
      <c r="AW86" s="21">
        <f>EXP(-LN(2)/2)*AW85+(1-EXP(-LN(2)/2))/(LN(2)/2)*AQ86*AT86*VLOOKUP('Données projet'!$B$10,Paramètres!$A$1:$I$89,3,0)*0.475*44/12</f>
        <v>6.5215376600455482E-8</v>
      </c>
      <c r="AX86" s="21">
        <f t="shared" si="60"/>
        <v>0.714511552697779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210.04871822652808</v>
      </c>
      <c r="BJ86" s="59">
        <f t="shared" si="92"/>
        <v>250.17540614049324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2.5558543977554744</v>
      </c>
      <c r="BQ86" s="21">
        <f>EXP(-LN(2)/25)*BQ85+(1-EXP(-LN(2)/25))/(LN(2)/25)*Calculateur!BL86*Calculateur!BN86*VLOOKUP('Données projet'!$B$11,Paramètres!$A$1:$I$89,3,0)*0.475*44/12</f>
        <v>6.4023697370549053</v>
      </c>
      <c r="BR86" s="21">
        <f>EXP(-LN(2)/2)*BR85+(1-EXP(-LN(2)/2))/(LN(2)/2)*BL86*BO86*VLOOKUP('Données projet'!$B$11,Paramètres!$A$1:$I$89,3,0)*0.475*44/12</f>
        <v>2.2710712085845681E-7</v>
      </c>
      <c r="BS86" s="22">
        <f t="shared" si="63"/>
        <v>8.9582243619174999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-5.6843418860808015E-13</v>
      </c>
      <c r="O87" s="13">
        <f>N87*VLOOKUP('Données projet'!$B$9,Paramètres!$A$1:$I$89,3,0)*VLOOKUP('Données projet'!$B$9,Paramètres!$A$1:$I$89,5,0)</f>
        <v>-3.177547114319168E-13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326.31232746914907</v>
      </c>
      <c r="T87" s="59">
        <f t="shared" si="88"/>
        <v>330.17137761430297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1.567742015031995</v>
      </c>
      <c r="AA87" s="21">
        <f>EXP(-LN(2)/25)*AA86+(1-EXP(-LN(2)/25))/(LN(2)/25)*Calculateur!V87*Calculateur!X87*VLOOKUP('Données projet'!$B$9,Paramètres!$A$1:$I$89,3,0)*0.475*44/12</f>
        <v>6.751386291038056</v>
      </c>
      <c r="AB87" s="21">
        <f>EXP(-LN(2)/2)*AB86+(1-EXP(-LN(2)/2))/(LN(2)/2)*V87*Y87*VLOOKUP('Données projet'!$B$9,Paramètres!$A$1:$I$89,3,0)*0.475*44/12</f>
        <v>2.4230844058420689E-7</v>
      </c>
      <c r="AC87" s="22">
        <f t="shared" si="57"/>
        <v>8.3191285483784903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237.41952000000029</v>
      </c>
      <c r="AK87" s="13">
        <f t="shared" si="89"/>
        <v>57.883978814320969</v>
      </c>
      <c r="AL87" s="20">
        <f t="shared" si="58"/>
        <v>514.32026043494284</v>
      </c>
      <c r="AM87" s="59">
        <f t="shared" si="59"/>
        <v>807.6535937682761</v>
      </c>
      <c r="AN87" s="59">
        <f ca="1">AVERAGE(OFFSET($AM$3,0,0,'Données projet'!$E$10+1,1))-AVERAGE(OFFSET($H$3,0,0,'Données projet'!$E$10+1,1))</f>
        <v>237.22177246688199</v>
      </c>
      <c r="AO87" s="59">
        <f t="shared" si="90"/>
        <v>149.27472147904302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0.69497313328266996</v>
      </c>
      <c r="AW87" s="21">
        <f>EXP(-LN(2)/2)*AW86+(1-EXP(-LN(2)/2))/(LN(2)/2)*AQ87*AT87*VLOOKUP('Données projet'!$B$10,Paramètres!$A$1:$I$89,3,0)*0.475*44/12</f>
        <v>4.6114235031816567E-8</v>
      </c>
      <c r="AX87" s="21">
        <f t="shared" si="60"/>
        <v>0.69497317939690495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210.04871822652808</v>
      </c>
      <c r="BJ87" s="59">
        <f t="shared" si="92"/>
        <v>250.17540614049324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2.5057356519327421</v>
      </c>
      <c r="BQ87" s="21">
        <f>EXP(-LN(2)/25)*BQ86+(1-EXP(-LN(2)/25))/(LN(2)/25)*Calculateur!BL87*Calculateur!BN87*VLOOKUP('Données projet'!$B$11,Paramètres!$A$1:$I$89,3,0)*0.475*44/12</f>
        <v>6.2272965999091472</v>
      </c>
      <c r="BR87" s="21">
        <f>EXP(-LN(2)/2)*BR86+(1-EXP(-LN(2)/2))/(LN(2)/2)*BL87*BO87*VLOOKUP('Données projet'!$B$11,Paramètres!$A$1:$I$89,3,0)*0.475*44/12</f>
        <v>1.6058898521476762E-7</v>
      </c>
      <c r="BS87" s="22">
        <f t="shared" si="63"/>
        <v>8.7330324124308749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-5.6843418860808015E-13</v>
      </c>
      <c r="O88" s="13">
        <f>N88*VLOOKUP('Données projet'!$B$9,Paramètres!$A$1:$I$89,3,0)*VLOOKUP('Données projet'!$B$9,Paramètres!$A$1:$I$89,5,0)</f>
        <v>-3.177547114319168E-13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326.31232746914907</v>
      </c>
      <c r="T88" s="59">
        <f t="shared" si="88"/>
        <v>330.17137761430297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1.536999550345427</v>
      </c>
      <c r="AA88" s="21">
        <f>EXP(-LN(2)/25)*AA87+(1-EXP(-LN(2)/25))/(LN(2)/25)*Calculateur!V88*Calculateur!X88*VLOOKUP('Données projet'!$B$9,Paramètres!$A$1:$I$89,3,0)*0.475*44/12</f>
        <v>6.5667692778696454</v>
      </c>
      <c r="AB88" s="21">
        <f>EXP(-LN(2)/2)*AB87+(1-EXP(-LN(2)/2))/(LN(2)/2)*V88*Y88*VLOOKUP('Données projet'!$B$9,Paramètres!$A$1:$I$89,3,0)*0.475*44/12</f>
        <v>1.7133794147583033E-7</v>
      </c>
      <c r="AC88" s="22">
        <f t="shared" si="57"/>
        <v>8.1037689995530133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242.48640000000032</v>
      </c>
      <c r="AK88" s="13">
        <f t="shared" si="89"/>
        <v>58.974170235372526</v>
      </c>
      <c r="AL88" s="20">
        <f t="shared" si="58"/>
        <v>525.04382649327442</v>
      </c>
      <c r="AM88" s="59">
        <f t="shared" si="59"/>
        <v>818.37715982660779</v>
      </c>
      <c r="AN88" s="59">
        <f ca="1">AVERAGE(OFFSET($AM$3,0,0,'Données projet'!$E$10+1,1))-AVERAGE(OFFSET($H$3,0,0,'Données projet'!$E$10+1,1))</f>
        <v>237.22177246688199</v>
      </c>
      <c r="AO88" s="59">
        <f t="shared" si="90"/>
        <v>149.27472147904302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0.67596905640600669</v>
      </c>
      <c r="AW88" s="21">
        <f>EXP(-LN(2)/2)*AW87+(1-EXP(-LN(2)/2))/(LN(2)/2)*AQ88*AT88*VLOOKUP('Données projet'!$B$10,Paramètres!$A$1:$I$89,3,0)*0.475*44/12</f>
        <v>3.2607688300227741E-8</v>
      </c>
      <c r="AX88" s="21">
        <f t="shared" si="60"/>
        <v>0.67596908901369501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210.04871822652808</v>
      </c>
      <c r="BJ88" s="59">
        <f t="shared" si="92"/>
        <v>250.17540614049324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2.4565997041461767</v>
      </c>
      <c r="BQ88" s="21">
        <f>EXP(-LN(2)/25)*BQ87+(1-EXP(-LN(2)/25))/(LN(2)/25)*Calculateur!BL88*Calculateur!BN88*VLOOKUP('Données projet'!$B$11,Paramètres!$A$1:$I$89,3,0)*0.475*44/12</f>
        <v>6.0570108469053361</v>
      </c>
      <c r="BR88" s="21">
        <f>EXP(-LN(2)/2)*BR87+(1-EXP(-LN(2)/2))/(LN(2)/2)*BL88*BO88*VLOOKUP('Données projet'!$B$11,Paramètres!$A$1:$I$89,3,0)*0.475*44/12</f>
        <v>1.135535604292284E-7</v>
      </c>
      <c r="BS88" s="22">
        <f t="shared" si="63"/>
        <v>8.5136106646050749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-5.6843418860808015E-13</v>
      </c>
      <c r="O89" s="13">
        <f>N89*VLOOKUP('Données projet'!$B$9,Paramètres!$A$1:$I$89,3,0)*VLOOKUP('Données projet'!$B$9,Paramètres!$A$1:$I$89,5,0)</f>
        <v>-3.177547114319168E-13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326.31232746914907</v>
      </c>
      <c r="T89" s="59">
        <f t="shared" si="88"/>
        <v>330.17137761430297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1.5068599266403107</v>
      </c>
      <c r="AA89" s="21">
        <f>EXP(-LN(2)/25)*AA88+(1-EXP(-LN(2)/25))/(LN(2)/25)*Calculateur!V89*Calculateur!X89*VLOOKUP('Données projet'!$B$9,Paramètres!$A$1:$I$89,3,0)*0.475*44/12</f>
        <v>6.3872006266349119</v>
      </c>
      <c r="AB89" s="21">
        <f>EXP(-LN(2)/2)*AB88+(1-EXP(-LN(2)/2))/(LN(2)/2)*V89*Y89*VLOOKUP('Données projet'!$B$9,Paramètres!$A$1:$I$89,3,0)*0.475*44/12</f>
        <v>1.2115422029210345E-7</v>
      </c>
      <c r="AC89" s="22">
        <f t="shared" si="57"/>
        <v>7.8940606744294426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247.55328000000031</v>
      </c>
      <c r="AK89" s="13">
        <f t="shared" si="89"/>
        <v>60.061713068870304</v>
      </c>
      <c r="AL89" s="20">
        <f t="shared" si="58"/>
        <v>535.76277959494962</v>
      </c>
      <c r="AM89" s="59">
        <f t="shared" si="59"/>
        <v>829.09611292828299</v>
      </c>
      <c r="AN89" s="59">
        <f ca="1">AVERAGE(OFFSET($AM$3,0,0,'Données projet'!$E$10+1,1))-AVERAGE(OFFSET($H$3,0,0,'Données projet'!$E$10+1,1))</f>
        <v>237.22177246688199</v>
      </c>
      <c r="AO89" s="59">
        <f t="shared" si="90"/>
        <v>149.27472147904302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0.65748464701091669</v>
      </c>
      <c r="AW89" s="21">
        <f>EXP(-LN(2)/2)*AW88+(1-EXP(-LN(2)/2))/(LN(2)/2)*AQ89*AT89*VLOOKUP('Données projet'!$B$10,Paramètres!$A$1:$I$89,3,0)*0.475*44/12</f>
        <v>2.3057117515908283E-8</v>
      </c>
      <c r="AX89" s="21">
        <f t="shared" si="60"/>
        <v>0.65748467006803424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210.04871822652808</v>
      </c>
      <c r="BJ89" s="59">
        <f t="shared" si="92"/>
        <v>250.17540614049324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2.4084272823257371</v>
      </c>
      <c r="BQ89" s="21">
        <f>EXP(-LN(2)/25)*BQ88+(1-EXP(-LN(2)/25))/(LN(2)/25)*Calculateur!BL89*Calculateur!BN89*VLOOKUP('Données projet'!$B$11,Paramètres!$A$1:$I$89,3,0)*0.475*44/12</f>
        <v>5.8913815667723526</v>
      </c>
      <c r="BR89" s="21">
        <f>EXP(-LN(2)/2)*BR88+(1-EXP(-LN(2)/2))/(LN(2)/2)*BL89*BO89*VLOOKUP('Données projet'!$B$11,Paramètres!$A$1:$I$89,3,0)*0.475*44/12</f>
        <v>8.029449260738381E-8</v>
      </c>
      <c r="BS89" s="22">
        <f t="shared" si="63"/>
        <v>8.299808929392583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-5.6843418860808015E-13</v>
      </c>
      <c r="O90" s="13">
        <f>N90*VLOOKUP('Données projet'!$B$9,Paramètres!$A$1:$I$89,3,0)*VLOOKUP('Données projet'!$B$9,Paramètres!$A$1:$I$89,5,0)</f>
        <v>-3.177547114319168E-13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326.31232746914907</v>
      </c>
      <c r="T90" s="59">
        <f t="shared" si="88"/>
        <v>330.17137761430297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1.4773113225726964</v>
      </c>
      <c r="AA90" s="21">
        <f>EXP(-LN(2)/25)*AA89+(1-EXP(-LN(2)/25))/(LN(2)/25)*Calculateur!V90*Calculateur!X90*VLOOKUP('Données projet'!$B$9,Paramètres!$A$1:$I$89,3,0)*0.475*44/12</f>
        <v>6.2125422896112976</v>
      </c>
      <c r="AB90" s="21">
        <f>EXP(-LN(2)/2)*AB89+(1-EXP(-LN(2)/2))/(LN(2)/2)*V90*Y90*VLOOKUP('Données projet'!$B$9,Paramètres!$A$1:$I$89,3,0)*0.475*44/12</f>
        <v>8.5668970737915167E-8</v>
      </c>
      <c r="AC90" s="22">
        <f t="shared" si="57"/>
        <v>7.6898536978529641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252.62016000000034</v>
      </c>
      <c r="AK90" s="13">
        <f t="shared" si="89"/>
        <v>61.146667772298876</v>
      </c>
      <c r="AL90" s="20">
        <f t="shared" si="58"/>
        <v>546.47722503675448</v>
      </c>
      <c r="AM90" s="59">
        <f t="shared" si="59"/>
        <v>839.81055837008785</v>
      </c>
      <c r="AN90" s="59">
        <f ca="1">AVERAGE(OFFSET($AM$3,0,0,'Données projet'!$E$10+1,1))-AVERAGE(OFFSET($H$3,0,0,'Données projet'!$E$10+1,1))</f>
        <v>237.22177246688199</v>
      </c>
      <c r="AO90" s="59">
        <f t="shared" si="90"/>
        <v>149.27472147904302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0.63950569476278829</v>
      </c>
      <c r="AW90" s="21">
        <f>EXP(-LN(2)/2)*AW89+(1-EXP(-LN(2)/2))/(LN(2)/2)*AQ90*AT90*VLOOKUP('Données projet'!$B$10,Paramètres!$A$1:$I$89,3,0)*0.475*44/12</f>
        <v>1.630384415011387E-8</v>
      </c>
      <c r="AX90" s="21">
        <f t="shared" si="60"/>
        <v>0.63950571106663245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210.04871822652808</v>
      </c>
      <c r="BJ90" s="59">
        <f t="shared" si="92"/>
        <v>250.17540614049324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2.3611994923149204</v>
      </c>
      <c r="BQ90" s="21">
        <f>EXP(-LN(2)/25)*BQ89+(1-EXP(-LN(2)/25))/(LN(2)/25)*Calculateur!BL90*Calculateur!BN90*VLOOKUP('Données projet'!$B$11,Paramètres!$A$1:$I$89,3,0)*0.475*44/12</f>
        <v>5.7302814280146706</v>
      </c>
      <c r="BR90" s="21">
        <f>EXP(-LN(2)/2)*BR89+(1-EXP(-LN(2)/2))/(LN(2)/2)*BL90*BO90*VLOOKUP('Données projet'!$B$11,Paramètres!$A$1:$I$89,3,0)*0.475*44/12</f>
        <v>5.6776780214614202E-8</v>
      </c>
      <c r="BS90" s="22">
        <f t="shared" si="63"/>
        <v>8.0914809771063716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-5.6843418860808015E-13</v>
      </c>
      <c r="O91" s="13">
        <f>N91*VLOOKUP('Données projet'!$B$9,Paramètres!$A$1:$I$89,3,0)*VLOOKUP('Données projet'!$B$9,Paramètres!$A$1:$I$89,5,0)</f>
        <v>-3.177547114319168E-13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326.31232746914907</v>
      </c>
      <c r="T91" s="59">
        <f t="shared" si="88"/>
        <v>330.17137761430297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1.4483421486079793</v>
      </c>
      <c r="AA91" s="21">
        <f>EXP(-LN(2)/25)*AA90+(1-EXP(-LN(2)/25))/(LN(2)/25)*Calculateur!V91*Calculateur!X91*VLOOKUP('Données projet'!$B$9,Paramètres!$A$1:$I$89,3,0)*0.475*44/12</f>
        <v>6.0426599939984769</v>
      </c>
      <c r="AB91" s="21">
        <f>EXP(-LN(2)/2)*AB90+(1-EXP(-LN(2)/2))/(LN(2)/2)*V91*Y91*VLOOKUP('Données projet'!$B$9,Paramètres!$A$1:$I$89,3,0)*0.475*44/12</f>
        <v>6.0577110146051723E-8</v>
      </c>
      <c r="AC91" s="22">
        <f t="shared" si="57"/>
        <v>7.4910022031835668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257.68704000000037</v>
      </c>
      <c r="AK91" s="13">
        <f t="shared" si="89"/>
        <v>62.229092239243457</v>
      </c>
      <c r="AL91" s="20">
        <f t="shared" si="58"/>
        <v>557.18726365001623</v>
      </c>
      <c r="AM91" s="59">
        <f t="shared" si="59"/>
        <v>850.52059698334961</v>
      </c>
      <c r="AN91" s="59">
        <f ca="1">AVERAGE(OFFSET($AM$3,0,0,'Données projet'!$E$10+1,1))-AVERAGE(OFFSET($H$3,0,0,'Données projet'!$E$10+1,1))</f>
        <v>237.22177246688199</v>
      </c>
      <c r="AO91" s="59">
        <f t="shared" si="90"/>
        <v>149.27472147904302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0.62201837790935699</v>
      </c>
      <c r="AW91" s="21">
        <f>EXP(-LN(2)/2)*AW90+(1-EXP(-LN(2)/2))/(LN(2)/2)*AQ91*AT91*VLOOKUP('Données projet'!$B$10,Paramètres!$A$1:$I$89,3,0)*0.475*44/12</f>
        <v>1.1528558757954142E-8</v>
      </c>
      <c r="AX91" s="21">
        <f t="shared" si="60"/>
        <v>0.62201838943791576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210.04871822652808</v>
      </c>
      <c r="BJ91" s="59">
        <f t="shared" si="92"/>
        <v>250.17540614049324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2.3148978104601081</v>
      </c>
      <c r="BQ91" s="21">
        <f>EXP(-LN(2)/25)*BQ90+(1-EXP(-LN(2)/25))/(LN(2)/25)*Calculateur!BL91*Calculateur!BN91*VLOOKUP('Données projet'!$B$11,Paramètres!$A$1:$I$89,3,0)*0.475*44/12</f>
        <v>5.5735865810232061</v>
      </c>
      <c r="BR91" s="21">
        <f>EXP(-LN(2)/2)*BR90+(1-EXP(-LN(2)/2))/(LN(2)/2)*BL91*BO91*VLOOKUP('Données projet'!$B$11,Paramètres!$A$1:$I$89,3,0)*0.475*44/12</f>
        <v>4.0147246303691905E-8</v>
      </c>
      <c r="BS91" s="22">
        <f t="shared" si="63"/>
        <v>7.8884844316305607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-5.6843418860808015E-13</v>
      </c>
      <c r="O92" s="13">
        <f>N92*VLOOKUP('Données projet'!$B$9,Paramètres!$A$1:$I$89,3,0)*VLOOKUP('Données projet'!$B$9,Paramètres!$A$1:$I$89,5,0)</f>
        <v>-3.177547114319168E-13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326.31232746914907</v>
      </c>
      <c r="T92" s="59">
        <f t="shared" si="88"/>
        <v>330.17137761430297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1.4199410424752588</v>
      </c>
      <c r="AA92" s="21">
        <f>EXP(-LN(2)/25)*AA91+(1-EXP(-LN(2)/25))/(LN(2)/25)*Calculateur!V92*Calculateur!X92*VLOOKUP('Données projet'!$B$9,Paramètres!$A$1:$I$89,3,0)*0.475*44/12</f>
        <v>5.8774231386929099</v>
      </c>
      <c r="AB92" s="21">
        <f>EXP(-LN(2)/2)*AB91+(1-EXP(-LN(2)/2))/(LN(2)/2)*V92*Y92*VLOOKUP('Données projet'!$B$9,Paramètres!$A$1:$I$89,3,0)*0.475*44/12</f>
        <v>4.2834485368957583E-8</v>
      </c>
      <c r="AC92" s="22">
        <f t="shared" si="57"/>
        <v>7.2973642240026537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262.75392000000039</v>
      </c>
      <c r="AK92" s="13">
        <f t="shared" si="89"/>
        <v>63.309041956360382</v>
      </c>
      <c r="AL92" s="20">
        <f t="shared" si="58"/>
        <v>567.89299207399495</v>
      </c>
      <c r="AM92" s="59">
        <f t="shared" si="59"/>
        <v>861.2263254073282</v>
      </c>
      <c r="AN92" s="59">
        <f ca="1">AVERAGE(OFFSET($AM$3,0,0,'Données projet'!$E$10+1,1))-AVERAGE(OFFSET($H$3,0,0,'Données projet'!$E$10+1,1))</f>
        <v>237.22177246688199</v>
      </c>
      <c r="AO92" s="59">
        <f t="shared" si="90"/>
        <v>149.27472147904302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0.6050092526549008</v>
      </c>
      <c r="AW92" s="21">
        <f>EXP(-LN(2)/2)*AW91+(1-EXP(-LN(2)/2))/(LN(2)/2)*AQ92*AT92*VLOOKUP('Données projet'!$B$10,Paramètres!$A$1:$I$89,3,0)*0.475*44/12</f>
        <v>8.1519220750569352E-9</v>
      </c>
      <c r="AX92" s="21">
        <f t="shared" si="60"/>
        <v>0.60500926080682282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210.04871822652808</v>
      </c>
      <c r="BJ92" s="59">
        <f t="shared" si="92"/>
        <v>250.17540614049324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2.2695040763452314</v>
      </c>
      <c r="BQ92" s="21">
        <f>EXP(-LN(2)/25)*BQ91+(1-EXP(-LN(2)/25))/(LN(2)/25)*Calculateur!BL92*Calculateur!BN92*VLOOKUP('Données projet'!$B$11,Paramètres!$A$1:$I$89,3,0)*0.475*44/12</f>
        <v>5.4211765628629465</v>
      </c>
      <c r="BR92" s="21">
        <f>EXP(-LN(2)/2)*BR91+(1-EXP(-LN(2)/2))/(LN(2)/2)*BL92*BO92*VLOOKUP('Données projet'!$B$11,Paramètres!$A$1:$I$89,3,0)*0.475*44/12</f>
        <v>2.8388390107307101E-8</v>
      </c>
      <c r="BS92" s="22">
        <f t="shared" si="63"/>
        <v>7.6906806675965687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-5.6843418860808015E-13</v>
      </c>
      <c r="O93" s="13">
        <f>N93*VLOOKUP('Données projet'!$B$9,Paramètres!$A$1:$I$89,3,0)*VLOOKUP('Données projet'!$B$9,Paramètres!$A$1:$I$89,5,0)</f>
        <v>-3.177547114319168E-13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326.31232746914907</v>
      </c>
      <c r="T93" s="59">
        <f t="shared" si="88"/>
        <v>330.17137761430297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1.3920968647108367</v>
      </c>
      <c r="AA93" s="21">
        <f>EXP(-LN(2)/25)*AA92+(1-EXP(-LN(2)/25))/(LN(2)/25)*Calculateur!V93*Calculateur!X93*VLOOKUP('Données projet'!$B$9,Paramètres!$A$1:$I$89,3,0)*0.475*44/12</f>
        <v>5.7167046938851023</v>
      </c>
      <c r="AB93" s="21">
        <f>EXP(-LN(2)/2)*AB92+(1-EXP(-LN(2)/2))/(LN(2)/2)*V93*Y93*VLOOKUP('Données projet'!$B$9,Paramètres!$A$1:$I$89,3,0)*0.475*44/12</f>
        <v>3.0288555073025861E-8</v>
      </c>
      <c r="AC93" s="22">
        <f t="shared" si="57"/>
        <v>7.1088015888844938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267.82080000000042</v>
      </c>
      <c r="AK93" s="13">
        <f t="shared" si="89"/>
        <v>64.38657014789743</v>
      </c>
      <c r="AL93" s="20">
        <f t="shared" si="58"/>
        <v>578.59450300758874</v>
      </c>
      <c r="AM93" s="59">
        <f t="shared" si="59"/>
        <v>871.92783634092211</v>
      </c>
      <c r="AN93" s="59">
        <f ca="1">AVERAGE(OFFSET($AM$3,0,0,'Données projet'!$E$10+1,1))-AVERAGE(OFFSET($H$3,0,0,'Données projet'!$E$10+1,1))</f>
        <v>237.22177246688199</v>
      </c>
      <c r="AO93" s="59">
        <f t="shared" si="90"/>
        <v>149.27472147904302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0.58846524282499868</v>
      </c>
      <c r="AW93" s="21">
        <f>EXP(-LN(2)/2)*AW92+(1-EXP(-LN(2)/2))/(LN(2)/2)*AQ93*AT93*VLOOKUP('Données projet'!$B$10,Paramètres!$A$1:$I$89,3,0)*0.475*44/12</f>
        <v>5.7642793789770708E-9</v>
      </c>
      <c r="AX93" s="21">
        <f t="shared" si="60"/>
        <v>0.58846524858927807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210.04871822652808</v>
      </c>
      <c r="BJ93" s="59">
        <f t="shared" si="92"/>
        <v>250.17540614049324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2.2250004856689034</v>
      </c>
      <c r="BQ93" s="21">
        <f>EXP(-LN(2)/25)*BQ92+(1-EXP(-LN(2)/25))/(LN(2)/25)*Calculateur!BL93*Calculateur!BN93*VLOOKUP('Données projet'!$B$11,Paramètres!$A$1:$I$89,3,0)*0.475*44/12</f>
        <v>5.2729342046641738</v>
      </c>
      <c r="BR93" s="21">
        <f>EXP(-LN(2)/2)*BR92+(1-EXP(-LN(2)/2))/(LN(2)/2)*BL93*BO93*VLOOKUP('Données projet'!$B$11,Paramètres!$A$1:$I$89,3,0)*0.475*44/12</f>
        <v>2.0073623151845953E-8</v>
      </c>
      <c r="BS93" s="22">
        <f t="shared" si="63"/>
        <v>7.4979347104066996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-5.6843418860808015E-13</v>
      </c>
      <c r="O94" s="13">
        <f>N94*VLOOKUP('Données projet'!$B$9,Paramètres!$A$1:$I$89,3,0)*VLOOKUP('Données projet'!$B$9,Paramètres!$A$1:$I$89,5,0)</f>
        <v>-3.177547114319168E-13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326.31232746914907</v>
      </c>
      <c r="T94" s="59">
        <f t="shared" si="88"/>
        <v>330.17137761430297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1.3647986942891035</v>
      </c>
      <c r="AA94" s="21">
        <f>EXP(-LN(2)/25)*AA93+(1-EXP(-LN(2)/25))/(LN(2)/25)*Calculateur!V94*Calculateur!X94*VLOOKUP('Données projet'!$B$9,Paramètres!$A$1:$I$89,3,0)*0.475*44/12</f>
        <v>5.5603811034023796</v>
      </c>
      <c r="AB94" s="21">
        <f>EXP(-LN(2)/2)*AB93+(1-EXP(-LN(2)/2))/(LN(2)/2)*V94*Y94*VLOOKUP('Données projet'!$B$9,Paramètres!$A$1:$I$89,3,0)*0.475*44/12</f>
        <v>2.1417242684478792E-8</v>
      </c>
      <c r="AC94" s="22">
        <f t="shared" si="57"/>
        <v>6.9251798191087257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234.25272000000038</v>
      </c>
      <c r="AK94" s="13">
        <f t="shared" si="89"/>
        <v>57.2012362311714</v>
      </c>
      <c r="AL94" s="20">
        <f t="shared" si="58"/>
        <v>507.61564043595746</v>
      </c>
      <c r="AM94" s="59">
        <f t="shared" si="59"/>
        <v>800.94897376929077</v>
      </c>
      <c r="AN94" s="59">
        <f ca="1">AVERAGE(OFFSET($AM$3,0,0,'Données projet'!$E$10+1,1))-AVERAGE(OFFSET($H$3,0,0,'Données projet'!$E$10+1,1))</f>
        <v>237.22177246688199</v>
      </c>
      <c r="AO94" s="59">
        <f t="shared" si="90"/>
        <v>149.27472147904302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0.57237362981390694</v>
      </c>
      <c r="AW94" s="21">
        <f>EXP(-LN(2)/2)*AW93+(1-EXP(-LN(2)/2))/(LN(2)/2)*AQ94*AT94*VLOOKUP('Données projet'!$B$10,Paramètres!$A$1:$I$89,3,0)*0.475*44/12</f>
        <v>4.0759610375284676E-9</v>
      </c>
      <c r="AX94" s="21">
        <f t="shared" si="60"/>
        <v>0.57237363388986795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210.04871822652808</v>
      </c>
      <c r="BJ94" s="59">
        <f t="shared" si="92"/>
        <v>250.17540614049324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2.1813695832612283</v>
      </c>
      <c r="BQ94" s="21">
        <f>EXP(-LN(2)/25)*BQ93+(1-EXP(-LN(2)/25))/(LN(2)/25)*Calculateur!BL94*Calculateur!BN94*VLOOKUP('Données projet'!$B$11,Paramètres!$A$1:$I$89,3,0)*0.475*44/12</f>
        <v>5.1287455415460732</v>
      </c>
      <c r="BR94" s="21">
        <f>EXP(-LN(2)/2)*BR93+(1-EXP(-LN(2)/2))/(LN(2)/2)*BL94*BO94*VLOOKUP('Données projet'!$B$11,Paramètres!$A$1:$I$89,3,0)*0.475*44/12</f>
        <v>1.4194195053653551E-8</v>
      </c>
      <c r="BS94" s="22">
        <f t="shared" si="63"/>
        <v>7.3101151390014971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-5.6843418860808015E-13</v>
      </c>
      <c r="O95" s="13">
        <f>N95*VLOOKUP('Données projet'!$B$9,Paramètres!$A$1:$I$89,3,0)*VLOOKUP('Données projet'!$B$9,Paramètres!$A$1:$I$89,5,0)</f>
        <v>-3.177547114319168E-13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326.31232746914907</v>
      </c>
      <c r="T95" s="59">
        <f t="shared" si="88"/>
        <v>330.17137761430297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1.3380358243391006</v>
      </c>
      <c r="AA95" s="21">
        <f>EXP(-LN(2)/25)*AA94+(1-EXP(-LN(2)/25))/(LN(2)/25)*Calculateur!V95*Calculateur!X95*VLOOKUP('Données projet'!$B$9,Paramètres!$A$1:$I$89,3,0)*0.475*44/12</f>
        <v>5.4083321897221079</v>
      </c>
      <c r="AB95" s="21">
        <f>EXP(-LN(2)/2)*AB94+(1-EXP(-LN(2)/2))/(LN(2)/2)*V95*Y95*VLOOKUP('Données projet'!$B$9,Paramètres!$A$1:$I$89,3,0)*0.475*44/12</f>
        <v>1.5144277536512931E-8</v>
      </c>
      <c r="AC95" s="22">
        <f t="shared" si="57"/>
        <v>6.7463680292054864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238.68624000000034</v>
      </c>
      <c r="AK95" s="13">
        <f t="shared" si="89"/>
        <v>58.156778382060978</v>
      </c>
      <c r="AL95" s="20">
        <f t="shared" si="58"/>
        <v>517.00159034875685</v>
      </c>
      <c r="AM95" s="59">
        <f t="shared" si="59"/>
        <v>810.33492368209022</v>
      </c>
      <c r="AN95" s="59">
        <f ca="1">AVERAGE(OFFSET($AM$3,0,0,'Données projet'!$E$10+1,1))-AVERAGE(OFFSET($H$3,0,0,'Données projet'!$E$10+1,1))</f>
        <v>237.22177246688199</v>
      </c>
      <c r="AO95" s="59">
        <f t="shared" si="90"/>
        <v>149.27472147904302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0.55672204280682469</v>
      </c>
      <c r="AW95" s="21">
        <f>EXP(-LN(2)/2)*AW94+(1-EXP(-LN(2)/2))/(LN(2)/2)*AQ95*AT95*VLOOKUP('Données projet'!$B$10,Paramètres!$A$1:$I$89,3,0)*0.475*44/12</f>
        <v>2.8821396894885354E-9</v>
      </c>
      <c r="AX95" s="21">
        <f t="shared" si="60"/>
        <v>0.55672204568896433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210.04871822652808</v>
      </c>
      <c r="BJ95" s="59">
        <f t="shared" si="92"/>
        <v>250.17540614049324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2.1385942562375448</v>
      </c>
      <c r="BQ95" s="21">
        <f>EXP(-LN(2)/25)*BQ94+(1-EXP(-LN(2)/25))/(LN(2)/25)*Calculateur!BL95*Calculateur!BN95*VLOOKUP('Données projet'!$B$11,Paramètres!$A$1:$I$89,3,0)*0.475*44/12</f>
        <v>4.9884997250034901</v>
      </c>
      <c r="BR95" s="21">
        <f>EXP(-LN(2)/2)*BR94+(1-EXP(-LN(2)/2))/(LN(2)/2)*BL95*BO95*VLOOKUP('Données projet'!$B$11,Paramètres!$A$1:$I$89,3,0)*0.475*44/12</f>
        <v>1.0036811575922976E-8</v>
      </c>
      <c r="BS95" s="22">
        <f t="shared" si="63"/>
        <v>7.1270939912778468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-5.6843418860808015E-13</v>
      </c>
      <c r="O96" s="13">
        <f>N96*VLOOKUP('Données projet'!$B$9,Paramètres!$A$1:$I$89,3,0)*VLOOKUP('Données projet'!$B$9,Paramètres!$A$1:$I$89,5,0)</f>
        <v>-3.177547114319168E-13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326.31232746914907</v>
      </c>
      <c r="T96" s="59">
        <f t="shared" si="88"/>
        <v>330.17137761430297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1.3117977579450784</v>
      </c>
      <c r="AA96" s="21">
        <f>EXP(-LN(2)/25)*AA95+(1-EXP(-LN(2)/25))/(LN(2)/25)*Calculateur!V96*Calculateur!X96*VLOOKUP('Données projet'!$B$9,Paramètres!$A$1:$I$89,3,0)*0.475*44/12</f>
        <v>5.2604410615823278</v>
      </c>
      <c r="AB96" s="21">
        <f>EXP(-LN(2)/2)*AB95+(1-EXP(-LN(2)/2))/(LN(2)/2)*V96*Y96*VLOOKUP('Données projet'!$B$9,Paramètres!$A$1:$I$89,3,0)*0.475*44/12</f>
        <v>1.0708621342239396E-8</v>
      </c>
      <c r="AC96" s="22">
        <f t="shared" si="57"/>
        <v>6.572238830236028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243.11976000000033</v>
      </c>
      <c r="AK96" s="13">
        <f t="shared" si="89"/>
        <v>59.110256668778582</v>
      </c>
      <c r="AL96" s="20">
        <f t="shared" si="58"/>
        <v>526.38394569812317</v>
      </c>
      <c r="AM96" s="59">
        <f t="shared" si="59"/>
        <v>819.71727903145643</v>
      </c>
      <c r="AN96" s="59">
        <f ca="1">AVERAGE(OFFSET($AM$3,0,0,'Données projet'!$E$10+1,1))-AVERAGE(OFFSET($H$3,0,0,'Données projet'!$E$10+1,1))</f>
        <v>237.22177246688199</v>
      </c>
      <c r="AO96" s="59">
        <f t="shared" si="90"/>
        <v>149.27472147904302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0.54149844926953228</v>
      </c>
      <c r="AW96" s="21">
        <f>EXP(-LN(2)/2)*AW95+(1-EXP(-LN(2)/2))/(LN(2)/2)*AQ96*AT96*VLOOKUP('Données projet'!$B$10,Paramètres!$A$1:$I$89,3,0)*0.475*44/12</f>
        <v>2.0379805187642338E-9</v>
      </c>
      <c r="AX96" s="21">
        <f t="shared" si="60"/>
        <v>0.54149845130751284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210.04871822652808</v>
      </c>
      <c r="BJ96" s="59">
        <f t="shared" si="92"/>
        <v>250.17540614049324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2.0966577272864226</v>
      </c>
      <c r="BQ96" s="21">
        <f>EXP(-LN(2)/25)*BQ95+(1-EXP(-LN(2)/25))/(LN(2)/25)*Calculateur!BL96*Calculateur!BN96*VLOOKUP('Données projet'!$B$11,Paramètres!$A$1:$I$89,3,0)*0.475*44/12</f>
        <v>4.8520889376894702</v>
      </c>
      <c r="BR96" s="21">
        <f>EXP(-LN(2)/2)*BR95+(1-EXP(-LN(2)/2))/(LN(2)/2)*BL96*BO96*VLOOKUP('Données projet'!$B$11,Paramètres!$A$1:$I$89,3,0)*0.475*44/12</f>
        <v>7.0970975268267753E-9</v>
      </c>
      <c r="BS96" s="22">
        <f t="shared" si="63"/>
        <v>6.94874667207299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-5.6843418860808015E-13</v>
      </c>
      <c r="O97" s="13">
        <f>N97*VLOOKUP('Données projet'!$B$9,Paramètres!$A$1:$I$89,3,0)*VLOOKUP('Données projet'!$B$9,Paramètres!$A$1:$I$89,5,0)</f>
        <v>-3.177547114319168E-13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326.31232746914907</v>
      </c>
      <c r="T97" s="59">
        <f t="shared" si="88"/>
        <v>330.17137761430297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1.2860742040294026</v>
      </c>
      <c r="AA97" s="21">
        <f>EXP(-LN(2)/25)*AA96+(1-EXP(-LN(2)/25))/(LN(2)/25)*Calculateur!V97*Calculateur!X97*VLOOKUP('Données projet'!$B$9,Paramètres!$A$1:$I$89,3,0)*0.475*44/12</f>
        <v>5.1165940241187862</v>
      </c>
      <c r="AB97" s="21">
        <f>EXP(-LN(2)/2)*AB96+(1-EXP(-LN(2)/2))/(LN(2)/2)*V97*Y97*VLOOKUP('Données projet'!$B$9,Paramètres!$A$1:$I$89,3,0)*0.475*44/12</f>
        <v>7.5721387682564654E-9</v>
      </c>
      <c r="AC97" s="22">
        <f t="shared" si="57"/>
        <v>6.4026682357203271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247.55328000000031</v>
      </c>
      <c r="AK97" s="13">
        <f t="shared" si="89"/>
        <v>60.061713068870304</v>
      </c>
      <c r="AL97" s="20">
        <f t="shared" si="58"/>
        <v>535.76277959494962</v>
      </c>
      <c r="AM97" s="59">
        <f t="shared" si="59"/>
        <v>829.09611292828299</v>
      </c>
      <c r="AN97" s="59">
        <f ca="1">AVERAGE(OFFSET($AM$3,0,0,'Données projet'!$E$10+1,1))-AVERAGE(OFFSET($H$3,0,0,'Données projet'!$E$10+1,1))</f>
        <v>237.22177246688199</v>
      </c>
      <c r="AO97" s="59">
        <f t="shared" si="90"/>
        <v>149.27472147904302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0.52669114569809106</v>
      </c>
      <c r="AW97" s="21">
        <f>EXP(-LN(2)/2)*AW96+(1-EXP(-LN(2)/2))/(LN(2)/2)*AQ97*AT97*VLOOKUP('Données projet'!$B$10,Paramètres!$A$1:$I$89,3,0)*0.475*44/12</f>
        <v>1.4410698447442677E-9</v>
      </c>
      <c r="AX97" s="21">
        <f t="shared" si="60"/>
        <v>0.52669114713916088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210.04871822652808</v>
      </c>
      <c r="BJ97" s="59">
        <f t="shared" si="92"/>
        <v>250.17540614049324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2.055543548089275</v>
      </c>
      <c r="BQ97" s="21">
        <f>EXP(-LN(2)/25)*BQ96+(1-EXP(-LN(2)/25))/(LN(2)/25)*Calculateur!BL97*Calculateur!BN97*VLOOKUP('Données projet'!$B$11,Paramètres!$A$1:$I$89,3,0)*0.475*44/12</f>
        <v>4.7194083105280837</v>
      </c>
      <c r="BR97" s="21">
        <f>EXP(-LN(2)/2)*BR96+(1-EXP(-LN(2)/2))/(LN(2)/2)*BL97*BO97*VLOOKUP('Données projet'!$B$11,Paramètres!$A$1:$I$89,3,0)*0.475*44/12</f>
        <v>5.0184057879614881E-9</v>
      </c>
      <c r="BS97" s="22">
        <f t="shared" si="63"/>
        <v>6.7749518636357644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-5.6843418860808015E-13</v>
      </c>
      <c r="O98" s="13">
        <f>N98*VLOOKUP('Données projet'!$B$9,Paramètres!$A$1:$I$89,3,0)*VLOOKUP('Données projet'!$B$9,Paramètres!$A$1:$I$89,5,0)</f>
        <v>-3.177547114319168E-13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326.31232746914907</v>
      </c>
      <c r="T98" s="59">
        <f t="shared" si="88"/>
        <v>330.17137761430297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1.2608550733161947</v>
      </c>
      <c r="AA98" s="21">
        <f>EXP(-LN(2)/25)*AA97+(1-EXP(-LN(2)/25))/(LN(2)/25)*Calculateur!V98*Calculateur!X98*VLOOKUP('Données projet'!$B$9,Paramètres!$A$1:$I$89,3,0)*0.475*44/12</f>
        <v>4.9766804914592724</v>
      </c>
      <c r="AB98" s="21">
        <f>EXP(-LN(2)/2)*AB97+(1-EXP(-LN(2)/2))/(LN(2)/2)*V98*Y98*VLOOKUP('Données projet'!$B$9,Paramètres!$A$1:$I$89,3,0)*0.475*44/12</f>
        <v>5.3543106711196979E-9</v>
      </c>
      <c r="AC98" s="22">
        <f t="shared" si="57"/>
        <v>6.2375355701297774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251.98680000000033</v>
      </c>
      <c r="AK98" s="13">
        <f t="shared" si="89"/>
        <v>61.011187970195103</v>
      </c>
      <c r="AL98" s="20">
        <f t="shared" si="58"/>
        <v>545.13816238142374</v>
      </c>
      <c r="AM98" s="59">
        <f t="shared" si="59"/>
        <v>838.47149571475711</v>
      </c>
      <c r="AN98" s="59">
        <f ca="1">AVERAGE(OFFSET($AM$3,0,0,'Données projet'!$E$10+1,1))-AVERAGE(OFFSET($H$3,0,0,'Données projet'!$E$10+1,1))</f>
        <v>237.22177246688199</v>
      </c>
      <c r="AO98" s="59">
        <f t="shared" si="90"/>
        <v>149.27472147904302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0.51228874862149321</v>
      </c>
      <c r="AW98" s="21">
        <f>EXP(-LN(2)/2)*AW97+(1-EXP(-LN(2)/2))/(LN(2)/2)*AQ98*AT98*VLOOKUP('Données projet'!$B$10,Paramètres!$A$1:$I$89,3,0)*0.475*44/12</f>
        <v>1.0189902593821169E-9</v>
      </c>
      <c r="AX98" s="21">
        <f t="shared" si="60"/>
        <v>0.51228874964048343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210.04871822652808</v>
      </c>
      <c r="BJ98" s="59">
        <f t="shared" si="92"/>
        <v>250.17540614049324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2.0152355928690104</v>
      </c>
      <c r="BQ98" s="21">
        <f>EXP(-LN(2)/25)*BQ97+(1-EXP(-LN(2)/25))/(LN(2)/25)*Calculateur!BL98*Calculateur!BN98*VLOOKUP('Données projet'!$B$11,Paramètres!$A$1:$I$89,3,0)*0.475*44/12</f>
        <v>4.5903558420937962</v>
      </c>
      <c r="BR98" s="21">
        <f>EXP(-LN(2)/2)*BR97+(1-EXP(-LN(2)/2))/(LN(2)/2)*BL98*BO98*VLOOKUP('Données projet'!$B$11,Paramètres!$A$1:$I$89,3,0)*0.475*44/12</f>
        <v>3.5485487634133877E-9</v>
      </c>
      <c r="BS98" s="22">
        <f t="shared" si="63"/>
        <v>6.6055914385113557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-5.6843418860808015E-13</v>
      </c>
      <c r="O99" s="13">
        <f>N99*VLOOKUP('Données projet'!$B$9,Paramètres!$A$1:$I$89,3,0)*VLOOKUP('Données projet'!$B$9,Paramètres!$A$1:$I$89,5,0)</f>
        <v>-3.177547114319168E-13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326.31232746914907</v>
      </c>
      <c r="T99" s="59">
        <f t="shared" si="88"/>
        <v>330.17137761430297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1.2361304743741219</v>
      </c>
      <c r="AA99" s="21">
        <f>EXP(-LN(2)/25)*AA98+(1-EXP(-LN(2)/25))/(LN(2)/25)*Calculateur!V99*Calculateur!X99*VLOOKUP('Données projet'!$B$9,Paramètres!$A$1:$I$89,3,0)*0.475*44/12</f>
        <v>4.8405929017080656</v>
      </c>
      <c r="AB99" s="21">
        <f>EXP(-LN(2)/2)*AB98+(1-EXP(-LN(2)/2))/(LN(2)/2)*V99*Y99*VLOOKUP('Données projet'!$B$9,Paramètres!$A$1:$I$89,3,0)*0.475*44/12</f>
        <v>3.7860693841282327E-9</v>
      </c>
      <c r="AC99" s="22">
        <f t="shared" si="57"/>
        <v>6.0767233798682563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256.42032000000029</v>
      </c>
      <c r="AK99" s="13">
        <f t="shared" si="89"/>
        <v>61.958720258016967</v>
      </c>
      <c r="AL99" s="20">
        <f t="shared" si="58"/>
        <v>554.51016178271334</v>
      </c>
      <c r="AM99" s="59">
        <f t="shared" si="59"/>
        <v>847.8434951160466</v>
      </c>
      <c r="AN99" s="59">
        <f ca="1">AVERAGE(OFFSET($AM$3,0,0,'Données projet'!$E$10+1,1))-AVERAGE(OFFSET($H$3,0,0,'Données projet'!$E$10+1,1))</f>
        <v>237.22177246688199</v>
      </c>
      <c r="AO99" s="59">
        <f t="shared" si="90"/>
        <v>149.27472147904302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0.49828018585034406</v>
      </c>
      <c r="AW99" s="21">
        <f>EXP(-LN(2)/2)*AW98+(1-EXP(-LN(2)/2))/(LN(2)/2)*AQ99*AT99*VLOOKUP('Données projet'!$B$10,Paramètres!$A$1:$I$89,3,0)*0.475*44/12</f>
        <v>7.2053492237213385E-10</v>
      </c>
      <c r="AX99" s="21">
        <f t="shared" si="60"/>
        <v>0.49828018657087897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210.04871822652808</v>
      </c>
      <c r="BJ99" s="59">
        <f t="shared" si="92"/>
        <v>250.17540614049324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1.97571805206519</v>
      </c>
      <c r="BQ99" s="21">
        <f>EXP(-LN(2)/25)*BQ98+(1-EXP(-LN(2)/25))/(LN(2)/25)*Calculateur!BL99*Calculateur!BN99*VLOOKUP('Données projet'!$B$11,Paramètres!$A$1:$I$89,3,0)*0.475*44/12</f>
        <v>4.464832320195419</v>
      </c>
      <c r="BR99" s="21">
        <f>EXP(-LN(2)/2)*BR98+(1-EXP(-LN(2)/2))/(LN(2)/2)*BL99*BO99*VLOOKUP('Données projet'!$B$11,Paramètres!$A$1:$I$89,3,0)*0.475*44/12</f>
        <v>2.5092028939807441E-9</v>
      </c>
      <c r="BS99" s="22">
        <f t="shared" si="63"/>
        <v>6.4405503747698116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-5.6843418860808015E-13</v>
      </c>
      <c r="O100" s="13">
        <f>N100*VLOOKUP('Données projet'!$B$9,Paramètres!$A$1:$I$89,3,0)*VLOOKUP('Données projet'!$B$9,Paramètres!$A$1:$I$89,5,0)</f>
        <v>-3.177547114319168E-13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326.31232746914907</v>
      </c>
      <c r="T100" s="59">
        <f t="shared" si="88"/>
        <v>330.17137761430297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1.2118907097367868</v>
      </c>
      <c r="AA100" s="21">
        <f>EXP(-LN(2)/25)*AA99+(1-EXP(-LN(2)/25))/(LN(2)/25)*Calculateur!V100*Calculateur!X100*VLOOKUP('Données projet'!$B$9,Paramètres!$A$1:$I$89,3,0)*0.475*44/12</f>
        <v>4.7082266342551415</v>
      </c>
      <c r="AB100" s="21">
        <f>EXP(-LN(2)/2)*AB99+(1-EXP(-LN(2)/2))/(LN(2)/2)*V100*Y100*VLOOKUP('Données projet'!$B$9,Paramètres!$A$1:$I$89,3,0)*0.475*44/12</f>
        <v>2.677155335559849E-9</v>
      </c>
      <c r="AC100" s="22">
        <f t="shared" si="57"/>
        <v>5.920117346669084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260.85384000000028</v>
      </c>
      <c r="AK100" s="13">
        <f t="shared" si="89"/>
        <v>62.90434739590382</v>
      </c>
      <c r="AL100" s="20">
        <f t="shared" si="58"/>
        <v>563.87884304786633</v>
      </c>
      <c r="AM100" s="59">
        <f t="shared" si="59"/>
        <v>857.2121763811997</v>
      </c>
      <c r="AN100" s="59">
        <f ca="1">AVERAGE(OFFSET($AM$3,0,0,'Données projet'!$E$10+1,1))-AVERAGE(OFFSET($H$3,0,0,'Données projet'!$E$10+1,1))</f>
        <v>237.22177246688199</v>
      </c>
      <c r="AO100" s="59">
        <f t="shared" si="90"/>
        <v>149.27472147904302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0.48465468796485028</v>
      </c>
      <c r="AW100" s="21">
        <f>EXP(-LN(2)/2)*AW99+(1-EXP(-LN(2)/2))/(LN(2)/2)*AQ100*AT100*VLOOKUP('Données projet'!$B$10,Paramètres!$A$1:$I$89,3,0)*0.475*44/12</f>
        <v>5.0949512969105845E-10</v>
      </c>
      <c r="AX100" s="21">
        <f t="shared" si="60"/>
        <v>0.4846546884743454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210.04871822652808</v>
      </c>
      <c r="BJ100" s="59">
        <f t="shared" si="92"/>
        <v>250.17540614049324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1.9369754261332128</v>
      </c>
      <c r="BQ100" s="21">
        <f>EXP(-LN(2)/25)*BQ99+(1-EXP(-LN(2)/25))/(LN(2)/25)*Calculateur!BL100*Calculateur!BN100*VLOOKUP('Données projet'!$B$11,Paramètres!$A$1:$I$89,3,0)*0.475*44/12</f>
        <v>4.3427412456043477</v>
      </c>
      <c r="BR100" s="21">
        <f>EXP(-LN(2)/2)*BR99+(1-EXP(-LN(2)/2))/(LN(2)/2)*BL100*BO100*VLOOKUP('Données projet'!$B$11,Paramètres!$A$1:$I$89,3,0)*0.475*44/12</f>
        <v>1.7742743817066938E-9</v>
      </c>
      <c r="BS100" s="22">
        <f t="shared" si="63"/>
        <v>6.2797166735118344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-5.6843418860808015E-13</v>
      </c>
      <c r="O101" s="13">
        <f>N101*VLOOKUP('Données projet'!$B$9,Paramètres!$A$1:$I$89,3,0)*VLOOKUP('Données projet'!$B$9,Paramètres!$A$1:$I$89,5,0)</f>
        <v>-3.177547114319168E-13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326.31232746914907</v>
      </c>
      <c r="T101" s="59">
        <f t="shared" si="88"/>
        <v>330.17137761430297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1.1881262720991934</v>
      </c>
      <c r="AA101" s="21">
        <f>EXP(-LN(2)/25)*AA100+(1-EXP(-LN(2)/25))/(LN(2)/25)*Calculateur!V101*Calculateur!X101*VLOOKUP('Données projet'!$B$9,Paramètres!$A$1:$I$89,3,0)*0.475*44/12</f>
        <v>4.5794799293465571</v>
      </c>
      <c r="AB101" s="21">
        <f>EXP(-LN(2)/2)*AB100+(1-EXP(-LN(2)/2))/(LN(2)/2)*V101*Y101*VLOOKUP('Données projet'!$B$9,Paramètres!$A$1:$I$89,3,0)*0.475*44/12</f>
        <v>1.8930346920641163E-9</v>
      </c>
      <c r="AC101" s="22">
        <f t="shared" si="57"/>
        <v>5.7676062033387856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265.28736000000026</v>
      </c>
      <c r="AK101" s="13">
        <f t="shared" si="89"/>
        <v>63.848105500970064</v>
      </c>
      <c r="AL101" s="20">
        <f t="shared" si="58"/>
        <v>573.24426908085661</v>
      </c>
      <c r="AM101" s="59">
        <f t="shared" si="59"/>
        <v>866.57760241418987</v>
      </c>
      <c r="AN101" s="59">
        <f ca="1">AVERAGE(OFFSET($AM$3,0,0,'Données projet'!$E$10+1,1))-AVERAGE(OFFSET($H$3,0,0,'Données projet'!$E$10+1,1))</f>
        <v>237.22177246688199</v>
      </c>
      <c r="AO101" s="59">
        <f t="shared" si="90"/>
        <v>149.27472147904302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0.4714017800355691</v>
      </c>
      <c r="AW101" s="21">
        <f>EXP(-LN(2)/2)*AW100+(1-EXP(-LN(2)/2))/(LN(2)/2)*AQ101*AT101*VLOOKUP('Données projet'!$B$10,Paramètres!$A$1:$I$89,3,0)*0.475*44/12</f>
        <v>3.6026746118606693E-10</v>
      </c>
      <c r="AX101" s="21">
        <f t="shared" si="60"/>
        <v>0.47140178039583658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210.04871822652808</v>
      </c>
      <c r="BJ101" s="59">
        <f t="shared" si="92"/>
        <v>250.17540614049324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1.8989925194650932</v>
      </c>
      <c r="BQ101" s="21">
        <f>EXP(-LN(2)/25)*BQ100+(1-EXP(-LN(2)/25))/(LN(2)/25)*Calculateur!BL101*Calculateur!BN101*VLOOKUP('Données projet'!$B$11,Paramètres!$A$1:$I$89,3,0)*0.475*44/12</f>
        <v>4.2239887578684598</v>
      </c>
      <c r="BR101" s="21">
        <f>EXP(-LN(2)/2)*BR100+(1-EXP(-LN(2)/2))/(LN(2)/2)*BL101*BO101*VLOOKUP('Données projet'!$B$11,Paramètres!$A$1:$I$89,3,0)*0.475*44/12</f>
        <v>1.254601446990372E-9</v>
      </c>
      <c r="BS101" s="22">
        <f t="shared" si="63"/>
        <v>6.1229812785881546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-5.6843418860808015E-13</v>
      </c>
      <c r="O102" s="13">
        <f>N102*VLOOKUP('Données projet'!$B$9,Paramètres!$A$1:$I$89,3,0)*VLOOKUP('Données projet'!$B$9,Paramètres!$A$1:$I$89,5,0)</f>
        <v>-3.177547114319168E-13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326.31232746914907</v>
      </c>
      <c r="T102" s="59">
        <f t="shared" si="88"/>
        <v>330.17137761430297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1.1648278405887975</v>
      </c>
      <c r="AA102" s="21">
        <f>EXP(-LN(2)/25)*AA101+(1-EXP(-LN(2)/25))/(LN(2)/25)*Calculateur!V102*Calculateur!X102*VLOOKUP('Données projet'!$B$9,Paramètres!$A$1:$I$89,3,0)*0.475*44/12</f>
        <v>4.4542538098541922</v>
      </c>
      <c r="AB102" s="21">
        <f>EXP(-LN(2)/2)*AB101+(1-EXP(-LN(2)/2))/(LN(2)/2)*V102*Y102*VLOOKUP('Données projet'!$B$9,Paramètres!$A$1:$I$89,3,0)*0.475*44/12</f>
        <v>1.3385776677799245E-9</v>
      </c>
      <c r="AC102" s="22">
        <f t="shared" si="57"/>
        <v>5.6190816517815669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269.72088000000025</v>
      </c>
      <c r="AK102" s="13">
        <f t="shared" si="89"/>
        <v>64.790029413947011</v>
      </c>
      <c r="AL102" s="20">
        <f t="shared" si="58"/>
        <v>582.60650056262477</v>
      </c>
      <c r="AM102" s="59">
        <f t="shared" si="59"/>
        <v>875.93983389595815</v>
      </c>
      <c r="AN102" s="59">
        <f ca="1">AVERAGE(OFFSET($AM$3,0,0,'Données projet'!$E$10+1,1))-AVERAGE(OFFSET($H$3,0,0,'Données projet'!$E$10+1,1))</f>
        <v>237.22177246688199</v>
      </c>
      <c r="AO102" s="59">
        <f t="shared" si="90"/>
        <v>149.27472147904302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0.45851127357055427</v>
      </c>
      <c r="AW102" s="21">
        <f>EXP(-LN(2)/2)*AW101+(1-EXP(-LN(2)/2))/(LN(2)/2)*AQ102*AT102*VLOOKUP('Données projet'!$B$10,Paramètres!$A$1:$I$89,3,0)*0.475*44/12</f>
        <v>2.5474756484552923E-10</v>
      </c>
      <c r="AX102" s="21">
        <f t="shared" si="60"/>
        <v>0.45851127382530182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210.04871822652808</v>
      </c>
      <c r="BJ102" s="59">
        <f t="shared" si="92"/>
        <v>250.17540614049324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1.8617544344294499</v>
      </c>
      <c r="BQ102" s="21">
        <f>EXP(-LN(2)/25)*BQ101+(1-EXP(-LN(2)/25))/(LN(2)/25)*Calculateur!BL102*Calculateur!BN102*VLOOKUP('Données projet'!$B$11,Paramètres!$A$1:$I$89,3,0)*0.475*44/12</f>
        <v>4.1084835631546319</v>
      </c>
      <c r="BR102" s="21">
        <f>EXP(-LN(2)/2)*BR101+(1-EXP(-LN(2)/2))/(LN(2)/2)*BL102*BO102*VLOOKUP('Données projet'!$B$11,Paramètres!$A$1:$I$89,3,0)*0.475*44/12</f>
        <v>8.8713719085334691E-10</v>
      </c>
      <c r="BS102" s="22">
        <f t="shared" si="63"/>
        <v>5.9702379984712195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-5.6843418860808015E-13</v>
      </c>
      <c r="O103" s="13">
        <f>N103*VLOOKUP('Données projet'!$B$9,Paramètres!$A$1:$I$89,3,0)*VLOOKUP('Données projet'!$B$9,Paramètres!$A$1:$I$89,5,0)</f>
        <v>-3.177547114319168E-13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326.31232746914907</v>
      </c>
      <c r="T103" s="59">
        <f t="shared" si="88"/>
        <v>330.17137761430297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1.1419862771096805</v>
      </c>
      <c r="AA103" s="21">
        <f>EXP(-LN(2)/25)*AA102+(1-EXP(-LN(2)/25))/(LN(2)/25)*Calculateur!V103*Calculateur!X103*VLOOKUP('Données projet'!$B$9,Paramètres!$A$1:$I$89,3,0)*0.475*44/12</f>
        <v>4.3324520051847015</v>
      </c>
      <c r="AB103" s="21">
        <f>EXP(-LN(2)/2)*AB102+(1-EXP(-LN(2)/2))/(LN(2)/2)*V103*Y103*VLOOKUP('Données projet'!$B$9,Paramètres!$A$1:$I$89,3,0)*0.475*44/12</f>
        <v>9.4651734603205817E-10</v>
      </c>
      <c r="AC103" s="22">
        <f t="shared" si="57"/>
        <v>5.4744382832408993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274.15440000000018</v>
      </c>
      <c r="AK103" s="13">
        <f t="shared" si="89"/>
        <v>65.730152764515836</v>
      </c>
      <c r="AL103" s="20">
        <f t="shared" si="58"/>
        <v>591.96559606486528</v>
      </c>
      <c r="AM103" s="59">
        <f t="shared" si="59"/>
        <v>885.29892939819865</v>
      </c>
      <c r="AN103" s="59">
        <f ca="1">AVERAGE(OFFSET($AM$3,0,0,'Données projet'!$E$10+1,1))-AVERAGE(OFFSET($H$3,0,0,'Données projet'!$E$10+1,1))</f>
        <v>237.22177246688199</v>
      </c>
      <c r="AO103" s="59">
        <f t="shared" si="90"/>
        <v>149.27472147904302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0.44597325868270754</v>
      </c>
      <c r="AW103" s="21">
        <f>EXP(-LN(2)/2)*AW102+(1-EXP(-LN(2)/2))/(LN(2)/2)*AQ103*AT103*VLOOKUP('Données projet'!$B$10,Paramètres!$A$1:$I$89,3,0)*0.475*44/12</f>
        <v>1.8013373059303346E-10</v>
      </c>
      <c r="AX103" s="21">
        <f t="shared" si="60"/>
        <v>0.44597325886284128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210.04871822652808</v>
      </c>
      <c r="BJ103" s="59">
        <f t="shared" si="92"/>
        <v>250.17540614049324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1.8252465655283663</v>
      </c>
      <c r="BQ103" s="21">
        <f>EXP(-LN(2)/25)*BQ102+(1-EXP(-LN(2)/25))/(LN(2)/25)*Calculateur!BL103*Calculateur!BN103*VLOOKUP('Données projet'!$B$11,Paramètres!$A$1:$I$89,3,0)*0.475*44/12</f>
        <v>3.9961368640644079</v>
      </c>
      <c r="BR103" s="21">
        <f>EXP(-LN(2)/2)*BR102+(1-EXP(-LN(2)/2))/(LN(2)/2)*BL103*BO103*VLOOKUP('Données projet'!$B$11,Paramètres!$A$1:$I$89,3,0)*0.475*44/12</f>
        <v>6.2730072349518602E-10</v>
      </c>
      <c r="BS103" s="22">
        <f t="shared" si="63"/>
        <v>5.8213834302200755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-5.6843418860808015E-13</v>
      </c>
      <c r="O104" s="13">
        <f>N104*VLOOKUP('Données projet'!$B$9,Paramètres!$A$1:$I$89,3,0)*VLOOKUP('Données projet'!$B$9,Paramètres!$A$1:$I$89,5,0)</f>
        <v>-3.177547114319168E-13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326.31232746914907</v>
      </c>
      <c r="T104" s="59">
        <f t="shared" si="88"/>
        <v>330.17137761430297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1.1195926227584108</v>
      </c>
      <c r="AA104" s="21">
        <f>EXP(-LN(2)/25)*AA103+(1-EXP(-LN(2)/25))/(LN(2)/25)*Calculateur!V104*Calculateur!X104*VLOOKUP('Données projet'!$B$9,Paramètres!$A$1:$I$89,3,0)*0.475*44/12</f>
        <v>4.2139808772691767</v>
      </c>
      <c r="AB104" s="21">
        <f>EXP(-LN(2)/2)*AB103+(1-EXP(-LN(2)/2))/(LN(2)/2)*V104*Y104*VLOOKUP('Données projet'!$B$9,Paramètres!$A$1:$I$89,3,0)*0.475*44/12</f>
        <v>6.6928883388996224E-10</v>
      </c>
      <c r="AC104" s="22">
        <f t="shared" si="57"/>
        <v>5.3335735006968763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240.13392000000016</v>
      </c>
      <c r="AK104" s="13">
        <f t="shared" si="89"/>
        <v>58.468343087048616</v>
      </c>
      <c r="AL104" s="20">
        <f t="shared" si="58"/>
        <v>520.06560820994321</v>
      </c>
      <c r="AM104" s="59">
        <f t="shared" si="59"/>
        <v>813.39894154327658</v>
      </c>
      <c r="AN104" s="59">
        <f ca="1">AVERAGE(OFFSET($AM$3,0,0,'Données projet'!$E$10+1,1))-AVERAGE(OFFSET($H$3,0,0,'Données projet'!$E$10+1,1))</f>
        <v>237.22177246688199</v>
      </c>
      <c r="AO104" s="59">
        <f t="shared" si="90"/>
        <v>149.27472147904302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0.43377809647131449</v>
      </c>
      <c r="AW104" s="21">
        <f>EXP(-LN(2)/2)*AW103+(1-EXP(-LN(2)/2))/(LN(2)/2)*AQ104*AT104*VLOOKUP('Données projet'!$B$10,Paramètres!$A$1:$I$89,3,0)*0.475*44/12</f>
        <v>1.2737378242276461E-10</v>
      </c>
      <c r="AX104" s="21">
        <f t="shared" si="60"/>
        <v>0.43377809659868827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210.04871822652808</v>
      </c>
      <c r="BJ104" s="59">
        <f t="shared" si="92"/>
        <v>250.17540614049324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1.7894545936688318</v>
      </c>
      <c r="BQ104" s="21">
        <f>EXP(-LN(2)/25)*BQ103+(1-EXP(-LN(2)/25))/(LN(2)/25)*Calculateur!BL104*Calculateur!BN104*VLOOKUP('Données projet'!$B$11,Paramètres!$A$1:$I$89,3,0)*0.475*44/12</f>
        <v>3.8868622913688622</v>
      </c>
      <c r="BR104" s="21">
        <f>EXP(-LN(2)/2)*BR103+(1-EXP(-LN(2)/2))/(LN(2)/2)*BL104*BO104*VLOOKUP('Données projet'!$B$11,Paramètres!$A$1:$I$89,3,0)*0.475*44/12</f>
        <v>4.4356859542667346E-10</v>
      </c>
      <c r="BS104" s="22">
        <f t="shared" si="63"/>
        <v>5.6763168854812625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-5.6843418860808015E-13</v>
      </c>
      <c r="O105" s="13">
        <f>N105*VLOOKUP('Données projet'!$B$9,Paramètres!$A$1:$I$89,3,0)*VLOOKUP('Données projet'!$B$9,Paramètres!$A$1:$I$89,5,0)</f>
        <v>-3.177547114319168E-13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326.31232746914907</v>
      </c>
      <c r="T105" s="59">
        <f t="shared" si="88"/>
        <v>330.17137761430297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1.0976380943101891</v>
      </c>
      <c r="AA105" s="21">
        <f>EXP(-LN(2)/25)*AA104+(1-EXP(-LN(2)/25))/(LN(2)/25)*Calculateur!V105*Calculateur!X105*VLOOKUP('Données projet'!$B$9,Paramètres!$A$1:$I$89,3,0)*0.475*44/12</f>
        <v>4.0987493485766278</v>
      </c>
      <c r="AB105" s="21">
        <f>EXP(-LN(2)/2)*AB104+(1-EXP(-LN(2)/2))/(LN(2)/2)*V105*Y105*VLOOKUP('Données projet'!$B$9,Paramètres!$A$1:$I$89,3,0)*0.475*44/12</f>
        <v>4.7325867301602909E-10</v>
      </c>
      <c r="AC105" s="22">
        <f t="shared" si="57"/>
        <v>5.1963874433600754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244.11504000000016</v>
      </c>
      <c r="AK105" s="13">
        <f t="shared" si="89"/>
        <v>59.324023461759062</v>
      </c>
      <c r="AL105" s="20">
        <f t="shared" si="58"/>
        <v>528.48970219589739</v>
      </c>
      <c r="AM105" s="59">
        <f t="shared" si="59"/>
        <v>821.82303552923076</v>
      </c>
      <c r="AN105" s="59">
        <f ca="1">AVERAGE(OFFSET($AM$3,0,0,'Données projet'!$E$10+1,1))-AVERAGE(OFFSET($H$3,0,0,'Données projet'!$E$10+1,1))</f>
        <v>237.22177246688199</v>
      </c>
      <c r="AO105" s="59">
        <f t="shared" si="90"/>
        <v>149.27472147904302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0.42191641161190774</v>
      </c>
      <c r="AW105" s="21">
        <f>EXP(-LN(2)/2)*AW104+(1-EXP(-LN(2)/2))/(LN(2)/2)*AQ105*AT105*VLOOKUP('Données projet'!$B$10,Paramètres!$A$1:$I$89,3,0)*0.475*44/12</f>
        <v>9.0066865296516732E-11</v>
      </c>
      <c r="AX105" s="21">
        <f t="shared" si="60"/>
        <v>0.42191641170197458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210.04871822652808</v>
      </c>
      <c r="BJ105" s="59">
        <f t="shared" si="92"/>
        <v>250.17540614049324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1.7543644805465155</v>
      </c>
      <c r="BQ105" s="21">
        <f>EXP(-LN(2)/25)*BQ104+(1-EXP(-LN(2)/25))/(LN(2)/25)*Calculateur!BL105*Calculateur!BN105*VLOOKUP('Données projet'!$B$11,Paramètres!$A$1:$I$89,3,0)*0.475*44/12</f>
        <v>3.7805758376101761</v>
      </c>
      <c r="BR105" s="21">
        <f>EXP(-LN(2)/2)*BR104+(1-EXP(-LN(2)/2))/(LN(2)/2)*BL105*BO105*VLOOKUP('Données projet'!$B$11,Paramètres!$A$1:$I$89,3,0)*0.475*44/12</f>
        <v>3.1365036174759301E-10</v>
      </c>
      <c r="BS105" s="22">
        <f t="shared" si="63"/>
        <v>5.5349403184703423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-5.6843418860808015E-13</v>
      </c>
      <c r="O106" s="13">
        <f>N106*VLOOKUP('Données projet'!$B$9,Paramètres!$A$1:$I$89,3,0)*VLOOKUP('Données projet'!$B$9,Paramètres!$A$1:$I$89,5,0)</f>
        <v>-3.177547114319168E-13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326.31232746914907</v>
      </c>
      <c r="T106" s="59">
        <f t="shared" si="88"/>
        <v>330.17137761430297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1.0761140807738969</v>
      </c>
      <c r="AA106" s="21">
        <f>EXP(-LN(2)/25)*AA105+(1-EXP(-LN(2)/25))/(LN(2)/25)*Calculateur!V106*Calculateur!X106*VLOOKUP('Données projet'!$B$9,Paramètres!$A$1:$I$89,3,0)*0.475*44/12</f>
        <v>3.9866688320959396</v>
      </c>
      <c r="AB106" s="21">
        <f>EXP(-LN(2)/2)*AB105+(1-EXP(-LN(2)/2))/(LN(2)/2)*V106*Y106*VLOOKUP('Données projet'!$B$9,Paramètres!$A$1:$I$89,3,0)*0.475*44/12</f>
        <v>3.3464441694498112E-10</v>
      </c>
      <c r="AC106" s="22">
        <f t="shared" si="57"/>
        <v>5.0627829132044813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248.09616000000014</v>
      </c>
      <c r="AK106" s="13">
        <f t="shared" si="89"/>
        <v>60.178080967364686</v>
      </c>
      <c r="AL106" s="20">
        <f t="shared" si="58"/>
        <v>536.91096968482714</v>
      </c>
      <c r="AM106" s="59">
        <f t="shared" si="59"/>
        <v>830.24430301816051</v>
      </c>
      <c r="AN106" s="59">
        <f ca="1">AVERAGE(OFFSET($AM$3,0,0,'Données projet'!$E$10+1,1))-AVERAGE(OFFSET($H$3,0,0,'Données projet'!$E$10+1,1))</f>
        <v>237.22177246688199</v>
      </c>
      <c r="AO106" s="59">
        <f t="shared" si="90"/>
        <v>149.27472147904302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0.41037908514876031</v>
      </c>
      <c r="AW106" s="21">
        <f>EXP(-LN(2)/2)*AW105+(1-EXP(-LN(2)/2))/(LN(2)/2)*AQ106*AT106*VLOOKUP('Données projet'!$B$10,Paramètres!$A$1:$I$89,3,0)*0.475*44/12</f>
        <v>6.3686891211382306E-11</v>
      </c>
      <c r="AX106" s="21">
        <f t="shared" si="60"/>
        <v>0.4103790852124472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210.04871822652808</v>
      </c>
      <c r="BJ106" s="59">
        <f t="shared" si="92"/>
        <v>250.17540614049324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1.7199624631396722</v>
      </c>
      <c r="BQ106" s="21">
        <f>EXP(-LN(2)/25)*BQ105+(1-EXP(-LN(2)/25))/(LN(2)/25)*Calculateur!BL106*Calculateur!BN106*VLOOKUP('Données projet'!$B$11,Paramètres!$A$1:$I$89,3,0)*0.475*44/12</f>
        <v>3.6771957925188832</v>
      </c>
      <c r="BR106" s="21">
        <f>EXP(-LN(2)/2)*BR105+(1-EXP(-LN(2)/2))/(LN(2)/2)*BL106*BO106*VLOOKUP('Données projet'!$B$11,Paramètres!$A$1:$I$89,3,0)*0.475*44/12</f>
        <v>2.2178429771333673E-10</v>
      </c>
      <c r="BS106" s="22">
        <f t="shared" si="63"/>
        <v>5.3971582558803393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-5.6843418860808015E-13</v>
      </c>
      <c r="O107" s="13">
        <f>N107*VLOOKUP('Données projet'!$B$9,Paramètres!$A$1:$I$89,3,0)*VLOOKUP('Données projet'!$B$9,Paramètres!$A$1:$I$89,5,0)</f>
        <v>-3.177547114319168E-13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326.31232746914907</v>
      </c>
      <c r="T107" s="59">
        <f t="shared" si="88"/>
        <v>330.17137761430297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1.0550121400146995</v>
      </c>
      <c r="AA107" s="21">
        <f>EXP(-LN(2)/25)*AA106+(1-EXP(-LN(2)/25))/(LN(2)/25)*Calculateur!V107*Calculateur!X107*VLOOKUP('Données projet'!$B$9,Paramètres!$A$1:$I$89,3,0)*0.475*44/12</f>
        <v>3.8776531632324738</v>
      </c>
      <c r="AB107" s="21">
        <f>EXP(-LN(2)/2)*AB106+(1-EXP(-LN(2)/2))/(LN(2)/2)*V107*Y107*VLOOKUP('Données projet'!$B$9,Paramètres!$A$1:$I$89,3,0)*0.475*44/12</f>
        <v>2.3662933650801454E-10</v>
      </c>
      <c r="AC107" s="22">
        <f t="shared" si="57"/>
        <v>4.9326653034838026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252.07728000000014</v>
      </c>
      <c r="AK107" s="13">
        <f t="shared" si="89"/>
        <v>61.030544652155044</v>
      </c>
      <c r="AL107" s="20">
        <f t="shared" si="58"/>
        <v>545.32946126917022</v>
      </c>
      <c r="AM107" s="59">
        <f t="shared" si="59"/>
        <v>838.66279460250348</v>
      </c>
      <c r="AN107" s="59">
        <f ca="1">AVERAGE(OFFSET($AM$3,0,0,'Données projet'!$E$10+1,1))-AVERAGE(OFFSET($H$3,0,0,'Données projet'!$E$10+1,1))</f>
        <v>237.22177246688199</v>
      </c>
      <c r="AO107" s="59">
        <f t="shared" si="90"/>
        <v>149.27472147904302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0.39915724748446929</v>
      </c>
      <c r="AW107" s="21">
        <f>EXP(-LN(2)/2)*AW106+(1-EXP(-LN(2)/2))/(LN(2)/2)*AQ107*AT107*VLOOKUP('Données projet'!$B$10,Paramètres!$A$1:$I$89,3,0)*0.475*44/12</f>
        <v>4.5033432648258366E-11</v>
      </c>
      <c r="AX107" s="21">
        <f t="shared" si="60"/>
        <v>0.39915724752950271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210.04871822652808</v>
      </c>
      <c r="BJ107" s="59">
        <f t="shared" si="92"/>
        <v>250.17540614049324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1.6862350483110182</v>
      </c>
      <c r="BQ107" s="21">
        <f>EXP(-LN(2)/25)*BQ106+(1-EXP(-LN(2)/25))/(LN(2)/25)*Calculateur!BL107*Calculateur!BN107*VLOOKUP('Données projet'!$B$11,Paramètres!$A$1:$I$89,3,0)*0.475*44/12</f>
        <v>3.5766426801971321</v>
      </c>
      <c r="BR107" s="21">
        <f>EXP(-LN(2)/2)*BR106+(1-EXP(-LN(2)/2))/(LN(2)/2)*BL107*BO107*VLOOKUP('Données projet'!$B$11,Paramètres!$A$1:$I$89,3,0)*0.475*44/12</f>
        <v>1.568251808737965E-10</v>
      </c>
      <c r="BS107" s="22">
        <f t="shared" si="63"/>
        <v>5.2628777286649751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-5.6843418860808015E-13</v>
      </c>
      <c r="O108" s="13">
        <f>N108*VLOOKUP('Données projet'!$B$9,Paramètres!$A$1:$I$89,3,0)*VLOOKUP('Données projet'!$B$9,Paramètres!$A$1:$I$89,5,0)</f>
        <v>-3.177547114319168E-13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326.31232746914907</v>
      </c>
      <c r="T108" s="59">
        <f t="shared" si="88"/>
        <v>330.17137761430297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1.0343239954428769</v>
      </c>
      <c r="AA108" s="21">
        <f>EXP(-LN(2)/25)*AA107+(1-EXP(-LN(2)/25))/(LN(2)/25)*Calculateur!V108*Calculateur!X108*VLOOKUP('Données projet'!$B$9,Paramètres!$A$1:$I$89,3,0)*0.475*44/12</f>
        <v>3.7716185335669645</v>
      </c>
      <c r="AB108" s="21">
        <f>EXP(-LN(2)/2)*AB107+(1-EXP(-LN(2)/2))/(LN(2)/2)*V108*Y108*VLOOKUP('Données projet'!$B$9,Paramètres!$A$1:$I$89,3,0)*0.475*44/12</f>
        <v>1.6732220847249056E-10</v>
      </c>
      <c r="AC108" s="22">
        <f t="shared" si="57"/>
        <v>4.8059425291771634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256.05840000000006</v>
      </c>
      <c r="AK108" s="13">
        <f t="shared" si="89"/>
        <v>61.881442594256484</v>
      </c>
      <c r="AL108" s="20">
        <f t="shared" si="58"/>
        <v>553.74522585166358</v>
      </c>
      <c r="AM108" s="59">
        <f t="shared" si="59"/>
        <v>847.07855918499695</v>
      </c>
      <c r="AN108" s="59">
        <f ca="1">AVERAGE(OFFSET($AM$3,0,0,'Données projet'!$E$10+1,1))-AVERAGE(OFFSET($H$3,0,0,'Données projet'!$E$10+1,1))</f>
        <v>237.22177246688199</v>
      </c>
      <c r="AO108" s="59">
        <f t="shared" si="90"/>
        <v>149.27472147904302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0.38824227156123914</v>
      </c>
      <c r="AW108" s="21">
        <f>EXP(-LN(2)/2)*AW107+(1-EXP(-LN(2)/2))/(LN(2)/2)*AQ108*AT108*VLOOKUP('Données projet'!$B$10,Paramètres!$A$1:$I$89,3,0)*0.475*44/12</f>
        <v>3.1843445605691153E-11</v>
      </c>
      <c r="AX108" s="21">
        <f t="shared" si="60"/>
        <v>0.38824227159308261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210.04871822652808</v>
      </c>
      <c r="BJ108" s="59">
        <f t="shared" si="92"/>
        <v>250.17540614049324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1.6531690075154626</v>
      </c>
      <c r="BQ108" s="21">
        <f>EXP(-LN(2)/25)*BQ107+(1-EXP(-LN(2)/25))/(LN(2)/25)*Calculateur!BL108*Calculateur!BN108*VLOOKUP('Données projet'!$B$11,Paramètres!$A$1:$I$89,3,0)*0.475*44/12</f>
        <v>3.4788391980196773</v>
      </c>
      <c r="BR108" s="21">
        <f>EXP(-LN(2)/2)*BR107+(1-EXP(-LN(2)/2))/(LN(2)/2)*BL108*BO108*VLOOKUP('Données projet'!$B$11,Paramètres!$A$1:$I$89,3,0)*0.475*44/12</f>
        <v>1.1089214885666836E-10</v>
      </c>
      <c r="BS108" s="22">
        <f t="shared" si="63"/>
        <v>5.1320082056460317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-5.6843418860808015E-13</v>
      </c>
      <c r="O109" s="13">
        <f>N109*VLOOKUP('Données projet'!$B$9,Paramètres!$A$1:$I$89,3,0)*VLOOKUP('Données projet'!$B$9,Paramètres!$A$1:$I$89,5,0)</f>
        <v>-3.177547114319168E-13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326.31232746914907</v>
      </c>
      <c r="T109" s="59">
        <f t="shared" si="88"/>
        <v>330.17137761430297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1.0140415327675856</v>
      </c>
      <c r="AA109" s="21">
        <f>EXP(-LN(2)/25)*AA108+(1-EXP(-LN(2)/25))/(LN(2)/25)*Calculateur!V109*Calculateur!X109*VLOOKUP('Données projet'!$B$9,Paramètres!$A$1:$I$89,3,0)*0.475*44/12</f>
        <v>3.6684834264257775</v>
      </c>
      <c r="AB109" s="21">
        <f>EXP(-LN(2)/2)*AB108+(1-EXP(-LN(2)/2))/(LN(2)/2)*V109*Y109*VLOOKUP('Données projet'!$B$9,Paramètres!$A$1:$I$89,3,0)*0.475*44/12</f>
        <v>1.1831466825400727E-10</v>
      </c>
      <c r="AC109" s="22">
        <f t="shared" si="57"/>
        <v>4.6825249593116771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260.03952000000004</v>
      </c>
      <c r="AK109" s="13">
        <f t="shared" si="89"/>
        <v>62.730801948604871</v>
      </c>
      <c r="AL109" s="20">
        <f t="shared" si="58"/>
        <v>562.15831072715355</v>
      </c>
      <c r="AM109" s="59">
        <f t="shared" si="59"/>
        <v>855.49164406048681</v>
      </c>
      <c r="AN109" s="59">
        <f ca="1">AVERAGE(OFFSET($AM$3,0,0,'Données projet'!$E$10+1,1))-AVERAGE(OFFSET($H$3,0,0,'Données projet'!$E$10+1,1))</f>
        <v>237.22177246688199</v>
      </c>
      <c r="AO109" s="59">
        <f t="shared" si="90"/>
        <v>149.27472147904302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0.37762576622862332</v>
      </c>
      <c r="AW109" s="21">
        <f>EXP(-LN(2)/2)*AW108+(1-EXP(-LN(2)/2))/(LN(2)/2)*AQ109*AT109*VLOOKUP('Données projet'!$B$10,Paramètres!$A$1:$I$89,3,0)*0.475*44/12</f>
        <v>2.2516716324129183E-11</v>
      </c>
      <c r="AX109" s="21">
        <f t="shared" si="60"/>
        <v>0.37762576625114003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210.04871822652808</v>
      </c>
      <c r="BJ109" s="59">
        <f t="shared" si="92"/>
        <v>250.17540614049324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1.6207513716116142</v>
      </c>
      <c r="BQ109" s="21">
        <f>EXP(-LN(2)/25)*BQ108+(1-EXP(-LN(2)/25))/(LN(2)/25)*Calculateur!BL109*Calculateur!BN109*VLOOKUP('Données projet'!$B$11,Paramètres!$A$1:$I$89,3,0)*0.475*44/12</f>
        <v>3.383710157205627</v>
      </c>
      <c r="BR109" s="21">
        <f>EXP(-LN(2)/2)*BR108+(1-EXP(-LN(2)/2))/(LN(2)/2)*BL109*BO109*VLOOKUP('Données projet'!$B$11,Paramètres!$A$1:$I$89,3,0)*0.475*44/12</f>
        <v>7.8412590436898252E-11</v>
      </c>
      <c r="BS109" s="22">
        <f t="shared" si="63"/>
        <v>5.0044615288956544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-5.6843418860808015E-13</v>
      </c>
      <c r="O110" s="13">
        <f>N110*VLOOKUP('Données projet'!$B$9,Paramètres!$A$1:$I$89,3,0)*VLOOKUP('Données projet'!$B$9,Paramètres!$A$1:$I$89,5,0)</f>
        <v>-3.177547114319168E-13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326.31232746914907</v>
      </c>
      <c r="T110" s="59">
        <f t="shared" si="88"/>
        <v>330.17137761430297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0.99415679681427593</v>
      </c>
      <c r="AA110" s="21">
        <f>EXP(-LN(2)/25)*AA109+(1-EXP(-LN(2)/25))/(LN(2)/25)*Calculateur!V110*Calculateur!X110*VLOOKUP('Données projet'!$B$9,Paramètres!$A$1:$I$89,3,0)*0.475*44/12</f>
        <v>3.5681685542130057</v>
      </c>
      <c r="AB110" s="21">
        <f>EXP(-LN(2)/2)*AB109+(1-EXP(-LN(2)/2))/(LN(2)/2)*V110*Y110*VLOOKUP('Données projet'!$B$9,Paramètres!$A$1:$I$89,3,0)*0.475*44/12</f>
        <v>8.366110423624528E-11</v>
      </c>
      <c r="AC110" s="22">
        <f t="shared" si="57"/>
        <v>4.5623253511109425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264.02064000000007</v>
      </c>
      <c r="AK110" s="13">
        <f t="shared" si="89"/>
        <v>63.578648990959174</v>
      </c>
      <c r="AL110" s="20">
        <f t="shared" si="58"/>
        <v>570.56876165925394</v>
      </c>
      <c r="AM110" s="59">
        <f t="shared" si="59"/>
        <v>863.90209499258731</v>
      </c>
      <c r="AN110" s="59">
        <f ca="1">AVERAGE(OFFSET($AM$3,0,0,'Données projet'!$E$10+1,1))-AVERAGE(OFFSET($H$3,0,0,'Données projet'!$E$10+1,1))</f>
        <v>237.22177246688199</v>
      </c>
      <c r="AO110" s="59">
        <f t="shared" si="90"/>
        <v>149.27472147904302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0.36729956979262562</v>
      </c>
      <c r="AW110" s="21">
        <f>EXP(-LN(2)/2)*AW109+(1-EXP(-LN(2)/2))/(LN(2)/2)*AQ110*AT110*VLOOKUP('Données projet'!$B$10,Paramètres!$A$1:$I$89,3,0)*0.475*44/12</f>
        <v>1.5921722802845577E-11</v>
      </c>
      <c r="AX110" s="21">
        <f t="shared" si="60"/>
        <v>0.36729956980854733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210.04871822652808</v>
      </c>
      <c r="BJ110" s="59">
        <f t="shared" si="92"/>
        <v>250.17540614049324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1.5889694257750349</v>
      </c>
      <c r="BQ110" s="21">
        <f>EXP(-LN(2)/25)*BQ109+(1-EXP(-LN(2)/25))/(LN(2)/25)*Calculateur!BL110*Calculateur!BN110*VLOOKUP('Données projet'!$B$11,Paramètres!$A$1:$I$89,3,0)*0.475*44/12</f>
        <v>3.2911824250152555</v>
      </c>
      <c r="BR110" s="21">
        <f>EXP(-LN(2)/2)*BR109+(1-EXP(-LN(2)/2))/(LN(2)/2)*BL110*BO110*VLOOKUP('Données projet'!$B$11,Paramètres!$A$1:$I$89,3,0)*0.475*44/12</f>
        <v>5.5446074428334182E-11</v>
      </c>
      <c r="BS110" s="22">
        <f t="shared" si="63"/>
        <v>4.8801518508457367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-5.6843418860808015E-13</v>
      </c>
      <c r="O111" s="13">
        <f>N111*VLOOKUP('Données projet'!$B$9,Paramètres!$A$1:$I$89,3,0)*VLOOKUP('Données projet'!$B$9,Paramètres!$A$1:$I$89,5,0)</f>
        <v>-3.177547114319168E-13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326.31232746914907</v>
      </c>
      <c r="T111" s="59">
        <f t="shared" si="88"/>
        <v>330.17137761430297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0.97466198840451945</v>
      </c>
      <c r="AA111" s="21">
        <f>EXP(-LN(2)/25)*AA110+(1-EXP(-LN(2)/25))/(LN(2)/25)*Calculateur!V111*Calculateur!X111*VLOOKUP('Données projet'!$B$9,Paramètres!$A$1:$I$89,3,0)*0.475*44/12</f>
        <v>3.470596797456222</v>
      </c>
      <c r="AB111" s="21">
        <f>EXP(-LN(2)/2)*AB110+(1-EXP(-LN(2)/2))/(LN(2)/2)*V111*Y111*VLOOKUP('Données projet'!$B$9,Paramètres!$A$1:$I$89,3,0)*0.475*44/12</f>
        <v>5.9157334127003636E-11</v>
      </c>
      <c r="AC111" s="22">
        <f t="shared" si="57"/>
        <v>4.4452587859198989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268.00176000000005</v>
      </c>
      <c r="AK111" s="13">
        <f t="shared" si="89"/>
        <v>64.425009159185578</v>
      </c>
      <c r="AL111" s="20">
        <f t="shared" si="58"/>
        <v>578.97662295224825</v>
      </c>
      <c r="AM111" s="59">
        <f t="shared" si="59"/>
        <v>872.30995628558162</v>
      </c>
      <c r="AN111" s="59">
        <f ca="1">AVERAGE(OFFSET($AM$3,0,0,'Données projet'!$E$10+1,1))-AVERAGE(OFFSET($H$3,0,0,'Données projet'!$E$10+1,1))</f>
        <v>237.22177246688199</v>
      </c>
      <c r="AO111" s="59">
        <f t="shared" si="90"/>
        <v>149.27472147904302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0.35725574374120139</v>
      </c>
      <c r="AW111" s="21">
        <f>EXP(-LN(2)/2)*AW110+(1-EXP(-LN(2)/2))/(LN(2)/2)*AQ111*AT111*VLOOKUP('Données projet'!$B$10,Paramètres!$A$1:$I$89,3,0)*0.475*44/12</f>
        <v>1.1258358162064591E-11</v>
      </c>
      <c r="AX111" s="21">
        <f t="shared" si="60"/>
        <v>0.35725574375245978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210.04871822652808</v>
      </c>
      <c r="BJ111" s="59">
        <f t="shared" si="92"/>
        <v>250.17540614049324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1.5578107045112379</v>
      </c>
      <c r="BQ111" s="21">
        <f>EXP(-LN(2)/25)*BQ110+(1-EXP(-LN(2)/25))/(LN(2)/25)*Calculateur!BL111*Calculateur!BN111*VLOOKUP('Données projet'!$B$11,Paramètres!$A$1:$I$89,3,0)*0.475*44/12</f>
        <v>3.2011848685274518</v>
      </c>
      <c r="BR111" s="21">
        <f>EXP(-LN(2)/2)*BR110+(1-EXP(-LN(2)/2))/(LN(2)/2)*BL111*BO111*VLOOKUP('Données projet'!$B$11,Paramètres!$A$1:$I$89,3,0)*0.475*44/12</f>
        <v>3.9206295218449126E-11</v>
      </c>
      <c r="BS111" s="22">
        <f t="shared" si="63"/>
        <v>4.7589955730778959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-5.6843418860808015E-13</v>
      </c>
      <c r="O112" s="13">
        <f>N112*VLOOKUP('Données projet'!$B$9,Paramètres!$A$1:$I$89,3,0)*VLOOKUP('Données projet'!$B$9,Paramètres!$A$1:$I$89,5,0)</f>
        <v>-3.177547114319168E-13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326.31232746914907</v>
      </c>
      <c r="T112" s="59">
        <f t="shared" si="88"/>
        <v>330.17137761430297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0.95554946129701923</v>
      </c>
      <c r="AA112" s="21">
        <f>EXP(-LN(2)/25)*AA111+(1-EXP(-LN(2)/25))/(LN(2)/25)*Calculateur!V112*Calculateur!X112*VLOOKUP('Données projet'!$B$9,Paramètres!$A$1:$I$89,3,0)*0.475*44/12</f>
        <v>3.375693145519028</v>
      </c>
      <c r="AB112" s="21">
        <f>EXP(-LN(2)/2)*AB111+(1-EXP(-LN(2)/2))/(LN(2)/2)*V112*Y112*VLOOKUP('Données projet'!$B$9,Paramètres!$A$1:$I$89,3,0)*0.475*44/12</f>
        <v>4.183055211812264E-11</v>
      </c>
      <c r="AC112" s="22">
        <f t="shared" si="57"/>
        <v>4.3312426068578782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271.98288000000002</v>
      </c>
      <c r="AK112" s="13">
        <f t="shared" si="89"/>
        <v>65.269907092018755</v>
      </c>
      <c r="AL112" s="20">
        <f t="shared" si="58"/>
        <v>587.38193751859933</v>
      </c>
      <c r="AM112" s="59">
        <f t="shared" si="59"/>
        <v>880.7152708519327</v>
      </c>
      <c r="AN112" s="59">
        <f ca="1">AVERAGE(OFFSET($AM$3,0,0,'Données projet'!$E$10+1,1))-AVERAGE(OFFSET($H$3,0,0,'Données projet'!$E$10+1,1))</f>
        <v>237.22177246688199</v>
      </c>
      <c r="AO112" s="59">
        <f t="shared" si="90"/>
        <v>149.27472147904302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0.3474865666413352</v>
      </c>
      <c r="AW112" s="21">
        <f>EXP(-LN(2)/2)*AW111+(1-EXP(-LN(2)/2))/(LN(2)/2)*AQ112*AT112*VLOOKUP('Données projet'!$B$10,Paramètres!$A$1:$I$89,3,0)*0.475*44/12</f>
        <v>7.9608614014227883E-12</v>
      </c>
      <c r="AX112" s="21">
        <f t="shared" si="60"/>
        <v>0.34748656664929606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210.04871822652808</v>
      </c>
      <c r="BJ112" s="59">
        <f t="shared" si="92"/>
        <v>250.17540614049324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1.5272629867664806</v>
      </c>
      <c r="BQ112" s="21">
        <f>EXP(-LN(2)/25)*BQ111+(1-EXP(-LN(2)/25))/(LN(2)/25)*Calculateur!BL112*Calculateur!BN112*VLOOKUP('Données projet'!$B$11,Paramètres!$A$1:$I$89,3,0)*0.475*44/12</f>
        <v>3.1136482999545727</v>
      </c>
      <c r="BR112" s="21">
        <f>EXP(-LN(2)/2)*BR111+(1-EXP(-LN(2)/2))/(LN(2)/2)*BL112*BO112*VLOOKUP('Données projet'!$B$11,Paramètres!$A$1:$I$89,3,0)*0.475*44/12</f>
        <v>2.7723037214167091E-11</v>
      </c>
      <c r="BS112" s="22">
        <f t="shared" si="63"/>
        <v>4.6409112867487758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-5.6843418860808015E-13</v>
      </c>
      <c r="O113" s="13">
        <f>N113*VLOOKUP('Données projet'!$B$9,Paramètres!$A$1:$I$89,3,0)*VLOOKUP('Données projet'!$B$9,Paramètres!$A$1:$I$89,5,0)</f>
        <v>-3.177547114319168E-13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326.31232746914907</v>
      </c>
      <c r="T113" s="59">
        <f t="shared" si="88"/>
        <v>330.17137761430297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0.93681171918860662</v>
      </c>
      <c r="AA113" s="21">
        <f>EXP(-LN(2)/25)*AA112+(1-EXP(-LN(2)/25))/(LN(2)/25)*Calculateur!V113*Calculateur!X113*VLOOKUP('Données projet'!$B$9,Paramètres!$A$1:$I$89,3,0)*0.475*44/12</f>
        <v>3.2833846389348227</v>
      </c>
      <c r="AB113" s="21">
        <f>EXP(-LN(2)/2)*AB112+(1-EXP(-LN(2)/2))/(LN(2)/2)*V113*Y113*VLOOKUP('Données projet'!$B$9,Paramètres!$A$1:$I$89,3,0)*0.475*44/12</f>
        <v>2.9578667063501818E-11</v>
      </c>
      <c r="AC113" s="22">
        <f t="shared" si="57"/>
        <v>4.2201963581530082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275.964</v>
      </c>
      <c r="AK113" s="13">
        <f t="shared" si="89"/>
        <v>66.113366665488911</v>
      </c>
      <c r="AL113" s="20">
        <f t="shared" si="58"/>
        <v>595.7847469423931</v>
      </c>
      <c r="AM113" s="59">
        <f t="shared" si="59"/>
        <v>889.11808027572647</v>
      </c>
      <c r="AN113" s="59">
        <f ca="1">AVERAGE(OFFSET($AM$3,0,0,'Données projet'!$E$10+1,1))-AVERAGE(OFFSET($H$3,0,0,'Données projet'!$E$10+1,1))</f>
        <v>237.22177246688199</v>
      </c>
      <c r="AO113" s="59">
        <f t="shared" si="90"/>
        <v>149.27472147904302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0.33798452820300356</v>
      </c>
      <c r="AW113" s="21">
        <f>EXP(-LN(2)/2)*AW112+(1-EXP(-LN(2)/2))/(LN(2)/2)*AQ113*AT113*VLOOKUP('Données projet'!$B$10,Paramètres!$A$1:$I$89,3,0)*0.475*44/12</f>
        <v>5.6291790810322957E-12</v>
      </c>
      <c r="AX113" s="21">
        <f t="shared" si="60"/>
        <v>0.33798452820863273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210.04871822652808</v>
      </c>
      <c r="BJ113" s="59">
        <f t="shared" si="92"/>
        <v>250.17540614049324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1.4973142911344302</v>
      </c>
      <c r="BQ113" s="21">
        <f>EXP(-LN(2)/25)*BQ112+(1-EXP(-LN(2)/25))/(LN(2)/25)*Calculateur!BL113*Calculateur!BN113*VLOOKUP('Données projet'!$B$11,Paramètres!$A$1:$I$89,3,0)*0.475*44/12</f>
        <v>3.0285054234526672</v>
      </c>
      <c r="BR113" s="21">
        <f>EXP(-LN(2)/2)*BR112+(1-EXP(-LN(2)/2))/(LN(2)/2)*BL113*BO113*VLOOKUP('Données projet'!$B$11,Paramètres!$A$1:$I$89,3,0)*0.475*44/12</f>
        <v>1.9603147609224563E-11</v>
      </c>
      <c r="BS113" s="22">
        <f t="shared" si="63"/>
        <v>4.5258197146067003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-5.6843418860808015E-13</v>
      </c>
      <c r="O114" s="13">
        <f>N114*VLOOKUP('Données projet'!$B$9,Paramètres!$A$1:$I$89,3,0)*VLOOKUP('Données projet'!$B$9,Paramètres!$A$1:$I$89,5,0)</f>
        <v>-3.177547114319168E-13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326.31232746914907</v>
      </c>
      <c r="T114" s="59">
        <f t="shared" si="88"/>
        <v>330.17137761430297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0.91844141277404578</v>
      </c>
      <c r="AA114" s="21">
        <f>EXP(-LN(2)/25)*AA113+(1-EXP(-LN(2)/25))/(LN(2)/25)*Calculateur!V114*Calculateur!X114*VLOOKUP('Données projet'!$B$9,Paramètres!$A$1:$I$89,3,0)*0.475*44/12</f>
        <v>3.193600313317456</v>
      </c>
      <c r="AB114" s="21">
        <f>EXP(-LN(2)/2)*AB113+(1-EXP(-LN(2)/2))/(LN(2)/2)*V114*Y114*VLOOKUP('Données projet'!$B$9,Paramètres!$A$1:$I$89,3,0)*0.475*44/12</f>
        <v>2.091527605906132E-11</v>
      </c>
      <c r="AC114" s="22">
        <f t="shared" si="57"/>
        <v>4.1120417261124178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244.02455999999998</v>
      </c>
      <c r="AK114" s="13">
        <f t="shared" si="89"/>
        <v>59.304594314969279</v>
      </c>
      <c r="AL114" s="20">
        <f t="shared" si="58"/>
        <v>528.29827709857148</v>
      </c>
      <c r="AM114" s="59">
        <f t="shared" si="59"/>
        <v>821.63161043190485</v>
      </c>
      <c r="AN114" s="59">
        <f ca="1">AVERAGE(OFFSET($AM$3,0,0,'Données projet'!$E$10+1,1))-AVERAGE(OFFSET($H$3,0,0,'Données projet'!$E$10+1,1))</f>
        <v>237.22177246688199</v>
      </c>
      <c r="AO114" s="59">
        <f t="shared" si="90"/>
        <v>149.27472147904302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0.32874232350545857</v>
      </c>
      <c r="AW114" s="21">
        <f>EXP(-LN(2)/2)*AW113+(1-EXP(-LN(2)/2))/(LN(2)/2)*AQ114*AT114*VLOOKUP('Données projet'!$B$10,Paramètres!$A$1:$I$89,3,0)*0.475*44/12</f>
        <v>3.9804307007113941E-12</v>
      </c>
      <c r="AX114" s="21">
        <f t="shared" si="60"/>
        <v>0.32874232350943899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210.04871822652808</v>
      </c>
      <c r="BJ114" s="59">
        <f t="shared" si="92"/>
        <v>250.17540614049324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1.4679528711568235</v>
      </c>
      <c r="BQ114" s="21">
        <f>EXP(-LN(2)/25)*BQ113+(1-EXP(-LN(2)/25))/(LN(2)/25)*Calculateur!BL114*Calculateur!BN114*VLOOKUP('Données projet'!$B$11,Paramètres!$A$1:$I$89,3,0)*0.475*44/12</f>
        <v>2.9456907833861754</v>
      </c>
      <c r="BR114" s="21">
        <f>EXP(-LN(2)/2)*BR113+(1-EXP(-LN(2)/2))/(LN(2)/2)*BL114*BO114*VLOOKUP('Données projet'!$B$11,Paramètres!$A$1:$I$89,3,0)*0.475*44/12</f>
        <v>1.3861518607083546E-11</v>
      </c>
      <c r="BS114" s="22">
        <f t="shared" si="63"/>
        <v>4.4136436545568607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-5.6843418860808015E-13</v>
      </c>
      <c r="O115" s="13">
        <f>N115*VLOOKUP('Données projet'!$B$9,Paramètres!$A$1:$I$89,3,0)*VLOOKUP('Données projet'!$B$9,Paramètres!$A$1:$I$89,5,0)</f>
        <v>-3.177547114319168E-13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326.31232746914907</v>
      </c>
      <c r="T115" s="59">
        <f t="shared" si="88"/>
        <v>330.17137761430297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0.90043133686349397</v>
      </c>
      <c r="AA115" s="21">
        <f>EXP(-LN(2)/25)*AA114+(1-EXP(-LN(2)/25))/(LN(2)/25)*Calculateur!V115*Calculateur!X115*VLOOKUP('Données projet'!$B$9,Paramètres!$A$1:$I$89,3,0)*0.475*44/12</f>
        <v>3.1062711448056488</v>
      </c>
      <c r="AB115" s="21">
        <f>EXP(-LN(2)/2)*AB114+(1-EXP(-LN(2)/2))/(LN(2)/2)*V115*Y115*VLOOKUP('Données projet'!$B$9,Paramètres!$A$1:$I$89,3,0)*0.475*44/12</f>
        <v>1.4789333531750909E-11</v>
      </c>
      <c r="AC115" s="22">
        <f t="shared" si="57"/>
        <v>4.0067024816839316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247.37231999999997</v>
      </c>
      <c r="AK115" s="13">
        <f t="shared" si="89"/>
        <v>60.022917171131049</v>
      </c>
      <c r="AL115" s="20">
        <f t="shared" si="58"/>
        <v>535.38003807305324</v>
      </c>
      <c r="AM115" s="59">
        <f t="shared" si="59"/>
        <v>828.71337140638661</v>
      </c>
      <c r="AN115" s="59">
        <f ca="1">AVERAGE(OFFSET($AM$3,0,0,'Données projet'!$E$10+1,1))-AVERAGE(OFFSET($H$3,0,0,'Données projet'!$E$10+1,1))</f>
        <v>237.22177246688199</v>
      </c>
      <c r="AO115" s="59">
        <f t="shared" si="90"/>
        <v>149.27472147904302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0.31975284738139437</v>
      </c>
      <c r="AW115" s="21">
        <f>EXP(-LN(2)/2)*AW114+(1-EXP(-LN(2)/2))/(LN(2)/2)*AQ115*AT115*VLOOKUP('Données projet'!$B$10,Paramètres!$A$1:$I$89,3,0)*0.475*44/12</f>
        <v>2.8145895405161479E-12</v>
      </c>
      <c r="AX115" s="21">
        <f t="shared" si="60"/>
        <v>0.31975284738420895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210.04871822652808</v>
      </c>
      <c r="BJ115" s="59">
        <f t="shared" si="92"/>
        <v>250.17540614049324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1.4391672107162798</v>
      </c>
      <c r="BQ115" s="21">
        <f>EXP(-LN(2)/25)*BQ114+(1-EXP(-LN(2)/25))/(LN(2)/25)*Calculateur!BL115*Calculateur!BN115*VLOOKUP('Données projet'!$B$11,Paramètres!$A$1:$I$89,3,0)*0.475*44/12</f>
        <v>2.8651407140073344</v>
      </c>
      <c r="BR115" s="21">
        <f>EXP(-LN(2)/2)*BR114+(1-EXP(-LN(2)/2))/(LN(2)/2)*BL115*BO115*VLOOKUP('Données projet'!$B$11,Paramètres!$A$1:$I$89,3,0)*0.475*44/12</f>
        <v>9.8015738046122815E-12</v>
      </c>
      <c r="BS115" s="22">
        <f t="shared" si="63"/>
        <v>4.3043079247334166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-5.6843418860808015E-13</v>
      </c>
      <c r="O116" s="13">
        <f>N116*VLOOKUP('Données projet'!$B$9,Paramètres!$A$1:$I$89,3,0)*VLOOKUP('Données projet'!$B$9,Paramètres!$A$1:$I$89,5,0)</f>
        <v>-3.177547114319168E-13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326.31232746914907</v>
      </c>
      <c r="T116" s="59">
        <f t="shared" si="88"/>
        <v>330.17137761430297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0.8827744275564865</v>
      </c>
      <c r="AA116" s="21">
        <f>EXP(-LN(2)/25)*AA115+(1-EXP(-LN(2)/25))/(LN(2)/25)*Calculateur!V116*Calculateur!X116*VLOOKUP('Données projet'!$B$9,Paramètres!$A$1:$I$89,3,0)*0.475*44/12</f>
        <v>3.0213299969992384</v>
      </c>
      <c r="AB116" s="21">
        <f>EXP(-LN(2)/2)*AB115+(1-EXP(-LN(2)/2))/(LN(2)/2)*V116*Y116*VLOOKUP('Données projet'!$B$9,Paramètres!$A$1:$I$89,3,0)*0.475*44/12</f>
        <v>1.045763802953066E-11</v>
      </c>
      <c r="AC116" s="22">
        <f t="shared" si="57"/>
        <v>3.9041044245661829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250.72007999999994</v>
      </c>
      <c r="AK116" s="13">
        <f t="shared" si="89"/>
        <v>60.740109326032758</v>
      </c>
      <c r="AL116" s="20">
        <f t="shared" si="58"/>
        <v>542.45982974284027</v>
      </c>
      <c r="AM116" s="59">
        <f t="shared" si="59"/>
        <v>835.79316307617364</v>
      </c>
      <c r="AN116" s="59">
        <f ca="1">AVERAGE(OFFSET($AM$3,0,0,'Données projet'!$E$10+1,1))-AVERAGE(OFFSET($H$3,0,0,'Données projet'!$E$10+1,1))</f>
        <v>237.22177246688199</v>
      </c>
      <c r="AO116" s="59">
        <f t="shared" si="90"/>
        <v>149.27472147904302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0.31100918895467872</v>
      </c>
      <c r="AW116" s="21">
        <f>EXP(-LN(2)/2)*AW115+(1-EXP(-LN(2)/2))/(LN(2)/2)*AQ116*AT116*VLOOKUP('Données projet'!$B$10,Paramètres!$A$1:$I$89,3,0)*0.475*44/12</f>
        <v>1.9902153503556971E-12</v>
      </c>
      <c r="AX116" s="21">
        <f t="shared" si="60"/>
        <v>0.31100918895666896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210.04871822652808</v>
      </c>
      <c r="BJ116" s="59">
        <f t="shared" si="92"/>
        <v>250.17540614049324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1.4109460195194561</v>
      </c>
      <c r="BQ116" s="21">
        <f>EXP(-LN(2)/25)*BQ115+(1-EXP(-LN(2)/25))/(LN(2)/25)*Calculateur!BL116*Calculateur!BN116*VLOOKUP('Données projet'!$B$11,Paramètres!$A$1:$I$89,3,0)*0.475*44/12</f>
        <v>2.7867932905116022</v>
      </c>
      <c r="BR116" s="21">
        <f>EXP(-LN(2)/2)*BR115+(1-EXP(-LN(2)/2))/(LN(2)/2)*BL116*BO116*VLOOKUP('Données projet'!$B$11,Paramètres!$A$1:$I$89,3,0)*0.475*44/12</f>
        <v>6.9307593035417728E-12</v>
      </c>
      <c r="BS116" s="22">
        <f t="shared" si="63"/>
        <v>4.1977393100379885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-5.6843418860808015E-13</v>
      </c>
      <c r="O117" s="13">
        <f>N117*VLOOKUP('Données projet'!$B$9,Paramètres!$A$1:$I$89,3,0)*VLOOKUP('Données projet'!$B$9,Paramètres!$A$1:$I$89,5,0)</f>
        <v>-3.177547114319168E-13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326.31232746914907</v>
      </c>
      <c r="T117" s="59">
        <f t="shared" si="88"/>
        <v>330.17137761430297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0.86546375947133813</v>
      </c>
      <c r="AA117" s="21">
        <f>EXP(-LN(2)/25)*AA116+(1-EXP(-LN(2)/25))/(LN(2)/25)*Calculateur!V117*Calculateur!X117*VLOOKUP('Données projet'!$B$9,Paramètres!$A$1:$I$89,3,0)*0.475*44/12</f>
        <v>2.9387115693464549</v>
      </c>
      <c r="AB117" s="21">
        <f>EXP(-LN(2)/2)*AB116+(1-EXP(-LN(2)/2))/(LN(2)/2)*V117*Y117*VLOOKUP('Données projet'!$B$9,Paramètres!$A$1:$I$89,3,0)*0.475*44/12</f>
        <v>7.3946667658754545E-12</v>
      </c>
      <c r="AC117" s="22">
        <f t="shared" si="57"/>
        <v>3.8041753288251878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254.06783999999996</v>
      </c>
      <c r="AK117" s="13">
        <f t="shared" si="89"/>
        <v>61.456187622750718</v>
      </c>
      <c r="AL117" s="20">
        <f t="shared" si="58"/>
        <v>549.53768144295748</v>
      </c>
      <c r="AM117" s="59">
        <f t="shared" si="59"/>
        <v>842.87101477629085</v>
      </c>
      <c r="AN117" s="59">
        <f ca="1">AVERAGE(OFFSET($AM$3,0,0,'Données projet'!$E$10+1,1))-AVERAGE(OFFSET($H$3,0,0,'Données projet'!$E$10+1,1))</f>
        <v>237.22177246688199</v>
      </c>
      <c r="AO117" s="59">
        <f t="shared" si="90"/>
        <v>149.27472147904302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0.30250462632745062</v>
      </c>
      <c r="AW117" s="21">
        <f>EXP(-LN(2)/2)*AW116+(1-EXP(-LN(2)/2))/(LN(2)/2)*AQ117*AT117*VLOOKUP('Données projet'!$B$10,Paramètres!$A$1:$I$89,3,0)*0.475*44/12</f>
        <v>1.4072947702580739E-12</v>
      </c>
      <c r="AX117" s="21">
        <f t="shared" si="60"/>
        <v>0.30250462632885794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210.04871822652808</v>
      </c>
      <c r="BJ117" s="59">
        <f t="shared" si="92"/>
        <v>250.17540614049324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1.383278228668775</v>
      </c>
      <c r="BQ117" s="21">
        <f>EXP(-LN(2)/25)*BQ116+(1-EXP(-LN(2)/25))/(LN(2)/25)*Calculateur!BL117*Calculateur!BN117*VLOOKUP('Données projet'!$B$11,Paramètres!$A$1:$I$89,3,0)*0.475*44/12</f>
        <v>2.7105882814314728</v>
      </c>
      <c r="BR117" s="21">
        <f>EXP(-LN(2)/2)*BR116+(1-EXP(-LN(2)/2))/(LN(2)/2)*BL117*BO117*VLOOKUP('Données projet'!$B$11,Paramètres!$A$1:$I$89,3,0)*0.475*44/12</f>
        <v>4.9007869023061408E-12</v>
      </c>
      <c r="BS117" s="22">
        <f t="shared" si="63"/>
        <v>4.0938665101051486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-5.6843418860808015E-13</v>
      </c>
      <c r="O118" s="13">
        <f>N118*VLOOKUP('Données projet'!$B$9,Paramètres!$A$1:$I$89,3,0)*VLOOKUP('Données projet'!$B$9,Paramètres!$A$1:$I$89,5,0)</f>
        <v>-3.177547114319168E-13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326.31232746914907</v>
      </c>
      <c r="T118" s="59">
        <f t="shared" si="88"/>
        <v>330.17137761430297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0.84849254302887456</v>
      </c>
      <c r="AA118" s="21">
        <f>EXP(-LN(2)/25)*AA117+(1-EXP(-LN(2)/25))/(LN(2)/25)*Calculateur!V118*Calculateur!X118*VLOOKUP('Données projet'!$B$9,Paramètres!$A$1:$I$89,3,0)*0.475*44/12</f>
        <v>2.8583523469425511</v>
      </c>
      <c r="AB118" s="21">
        <f>EXP(-LN(2)/2)*AB117+(1-EXP(-LN(2)/2))/(LN(2)/2)*V118*Y118*VLOOKUP('Données projet'!$B$9,Paramètres!$A$1:$I$89,3,0)*0.475*44/12</f>
        <v>5.22881901476533E-12</v>
      </c>
      <c r="AC118" s="22">
        <f t="shared" si="57"/>
        <v>3.7068448899766544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257.41559999999993</v>
      </c>
      <c r="AK118" s="13">
        <f t="shared" si="89"/>
        <v>62.171168434977119</v>
      </c>
      <c r="AL118" s="20">
        <f t="shared" si="58"/>
        <v>556.61362169091831</v>
      </c>
      <c r="AM118" s="59">
        <f t="shared" si="59"/>
        <v>849.94695502425157</v>
      </c>
      <c r="AN118" s="59">
        <f ca="1">AVERAGE(OFFSET($AM$3,0,0,'Données projet'!$E$10+1,1))-AVERAGE(OFFSET($H$3,0,0,'Données projet'!$E$10+1,1))</f>
        <v>237.22177246688199</v>
      </c>
      <c r="AO118" s="59">
        <f t="shared" si="90"/>
        <v>149.27472147904302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0.29423262141249956</v>
      </c>
      <c r="AW118" s="21">
        <f>EXP(-LN(2)/2)*AW117+(1-EXP(-LN(2)/2))/(LN(2)/2)*AQ118*AT118*VLOOKUP('Données projet'!$B$10,Paramètres!$A$1:$I$89,3,0)*0.475*44/12</f>
        <v>9.9510767517784854E-13</v>
      </c>
      <c r="AX118" s="21">
        <f t="shared" si="60"/>
        <v>0.29423262141349465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210.04871822652808</v>
      </c>
      <c r="BJ118" s="59">
        <f t="shared" si="92"/>
        <v>250.17540614049324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1.3561529863209898</v>
      </c>
      <c r="BQ118" s="21">
        <f>EXP(-LN(2)/25)*BQ117+(1-EXP(-LN(2)/25))/(LN(2)/25)*Calculateur!BL118*Calculateur!BN118*VLOOKUP('Données projet'!$B$11,Paramètres!$A$1:$I$89,3,0)*0.475*44/12</f>
        <v>2.6364671023320865</v>
      </c>
      <c r="BR118" s="21">
        <f>EXP(-LN(2)/2)*BR117+(1-EXP(-LN(2)/2))/(LN(2)/2)*BL118*BO118*VLOOKUP('Données projet'!$B$11,Paramètres!$A$1:$I$89,3,0)*0.475*44/12</f>
        <v>3.4653796517708864E-12</v>
      </c>
      <c r="BS118" s="22">
        <f t="shared" si="63"/>
        <v>3.9926200886565417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-5.6843418860808015E-13</v>
      </c>
      <c r="O119" s="13">
        <f>N119*VLOOKUP('Données projet'!$B$9,Paramètres!$A$1:$I$89,3,0)*VLOOKUP('Données projet'!$B$9,Paramètres!$A$1:$I$89,5,0)</f>
        <v>-3.177547114319168E-13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326.31232746914907</v>
      </c>
      <c r="T119" s="59">
        <f t="shared" si="88"/>
        <v>330.17137761430297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0.83185412178942775</v>
      </c>
      <c r="AA119" s="21">
        <f>EXP(-LN(2)/25)*AA118+(1-EXP(-LN(2)/25))/(LN(2)/25)*Calculateur!V119*Calculateur!X119*VLOOKUP('Données projet'!$B$9,Paramètres!$A$1:$I$89,3,0)*0.475*44/12</f>
        <v>2.7801905517011898</v>
      </c>
      <c r="AB119" s="21">
        <f>EXP(-LN(2)/2)*AB118+(1-EXP(-LN(2)/2))/(LN(2)/2)*V119*Y119*VLOOKUP('Données projet'!$B$9,Paramètres!$A$1:$I$89,3,0)*0.475*44/12</f>
        <v>3.6973333829377272E-12</v>
      </c>
      <c r="AC119" s="22">
        <f t="shared" si="57"/>
        <v>3.612044673494315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260.76335999999992</v>
      </c>
      <c r="AK119" s="13">
        <f t="shared" si="89"/>
        <v>62.885067686031952</v>
      </c>
      <c r="AL119" s="20">
        <f t="shared" si="58"/>
        <v>563.68767821983886</v>
      </c>
      <c r="AM119" s="59">
        <f t="shared" si="59"/>
        <v>857.02101155317223</v>
      </c>
      <c r="AN119" s="59">
        <f ca="1">AVERAGE(OFFSET($AM$3,0,0,'Données projet'!$E$10+1,1))-AVERAGE(OFFSET($H$3,0,0,'Données projet'!$E$10+1,1))</f>
        <v>237.22177246688199</v>
      </c>
      <c r="AO119" s="59">
        <f t="shared" si="90"/>
        <v>149.27472147904302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0.28618681490695369</v>
      </c>
      <c r="AW119" s="21">
        <f>EXP(-LN(2)/2)*AW118+(1-EXP(-LN(2)/2))/(LN(2)/2)*AQ119*AT119*VLOOKUP('Données projet'!$B$10,Paramètres!$A$1:$I$89,3,0)*0.475*44/12</f>
        <v>7.0364738512903697E-13</v>
      </c>
      <c r="AX119" s="21">
        <f t="shared" si="60"/>
        <v>0.28618681490765735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210.04871822652808</v>
      </c>
      <c r="BJ119" s="59">
        <f t="shared" si="92"/>
        <v>250.17540614049324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1.3295596534308805</v>
      </c>
      <c r="BQ119" s="21">
        <f>EXP(-LN(2)/25)*BQ118+(1-EXP(-LN(2)/25))/(LN(2)/25)*Calculateur!BL119*Calculateur!BN119*VLOOKUP('Données projet'!$B$11,Paramètres!$A$1:$I$89,3,0)*0.475*44/12</f>
        <v>2.5643727707730366</v>
      </c>
      <c r="BR119" s="21">
        <f>EXP(-LN(2)/2)*BR118+(1-EXP(-LN(2)/2))/(LN(2)/2)*BL119*BO119*VLOOKUP('Données projet'!$B$11,Paramètres!$A$1:$I$89,3,0)*0.475*44/12</f>
        <v>2.4503934511530704E-12</v>
      </c>
      <c r="BS119" s="22">
        <f t="shared" si="63"/>
        <v>3.8939324242063673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-5.6843418860808015E-13</v>
      </c>
      <c r="O120" s="13">
        <f>N120*VLOOKUP('Données projet'!$B$9,Paramètres!$A$1:$I$89,3,0)*VLOOKUP('Données projet'!$B$9,Paramètres!$A$1:$I$89,5,0)</f>
        <v>-3.177547114319168E-13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326.31232746914907</v>
      </c>
      <c r="T120" s="59">
        <f t="shared" si="88"/>
        <v>330.17137761430297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0.81554196984205163</v>
      </c>
      <c r="AA120" s="21">
        <f>EXP(-LN(2)/25)*AA119+(1-EXP(-LN(2)/25))/(LN(2)/25)*Calculateur!V120*Calculateur!X120*VLOOKUP('Données projet'!$B$9,Paramètres!$A$1:$I$89,3,0)*0.475*44/12</f>
        <v>2.704166094861054</v>
      </c>
      <c r="AB120" s="21">
        <f>EXP(-LN(2)/2)*AB119+(1-EXP(-LN(2)/2))/(LN(2)/2)*V120*Y120*VLOOKUP('Données projet'!$B$9,Paramètres!$A$1:$I$89,3,0)*0.475*44/12</f>
        <v>2.614409507382665E-12</v>
      </c>
      <c r="AC120" s="22">
        <f t="shared" si="57"/>
        <v>3.51970806470572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264.11111999999991</v>
      </c>
      <c r="AK120" s="13">
        <f t="shared" si="89"/>
        <v>63.59790086687066</v>
      </c>
      <c r="AL120" s="20">
        <f t="shared" si="58"/>
        <v>570.75987800979954</v>
      </c>
      <c r="AM120" s="59">
        <f t="shared" si="59"/>
        <v>864.09321134313291</v>
      </c>
      <c r="AN120" s="59">
        <f ca="1">AVERAGE(OFFSET($AM$3,0,0,'Données projet'!$E$10+1,1))-AVERAGE(OFFSET($H$3,0,0,'Données projet'!$E$10+1,1))</f>
        <v>237.22177246688199</v>
      </c>
      <c r="AO120" s="59">
        <f t="shared" si="90"/>
        <v>149.27472147904302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0.27836102140341251</v>
      </c>
      <c r="AW120" s="21">
        <f>EXP(-LN(2)/2)*AW119+(1-EXP(-LN(2)/2))/(LN(2)/2)*AQ120*AT120*VLOOKUP('Données projet'!$B$10,Paramètres!$A$1:$I$89,3,0)*0.475*44/12</f>
        <v>4.9755383758892427E-13</v>
      </c>
      <c r="AX120" s="21">
        <f t="shared" si="60"/>
        <v>0.27836102140391006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210.04871822652808</v>
      </c>
      <c r="BJ120" s="59">
        <f t="shared" si="92"/>
        <v>250.17540614049324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1.3034877995784147</v>
      </c>
      <c r="BQ120" s="21">
        <f>EXP(-LN(2)/25)*BQ119+(1-EXP(-LN(2)/25))/(LN(2)/25)*Calculateur!BL120*Calculateur!BN120*VLOOKUP('Données projet'!$B$11,Paramètres!$A$1:$I$89,3,0)*0.475*44/12</f>
        <v>2.4942498625017451</v>
      </c>
      <c r="BR120" s="21">
        <f>EXP(-LN(2)/2)*BR119+(1-EXP(-LN(2)/2))/(LN(2)/2)*BL120*BO120*VLOOKUP('Données projet'!$B$11,Paramètres!$A$1:$I$89,3,0)*0.475*44/12</f>
        <v>1.7326898258854432E-12</v>
      </c>
      <c r="BS120" s="22">
        <f t="shared" si="63"/>
        <v>3.7977376620818926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-5.6843418860808015E-13</v>
      </c>
      <c r="O121" s="13">
        <f>N121*VLOOKUP('Données projet'!$B$9,Paramètres!$A$1:$I$89,3,0)*VLOOKUP('Données projet'!$B$9,Paramètres!$A$1:$I$89,5,0)</f>
        <v>-3.177547114319168E-13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326.31232746914907</v>
      </c>
      <c r="T121" s="59">
        <f t="shared" si="88"/>
        <v>330.17137761430297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0.7995496892449333</v>
      </c>
      <c r="AA121" s="21">
        <f>EXP(-LN(2)/25)*AA120+(1-EXP(-LN(2)/25))/(LN(2)/25)*Calculateur!V121*Calculateur!X121*VLOOKUP('Données projet'!$B$9,Paramètres!$A$1:$I$89,3,0)*0.475*44/12</f>
        <v>2.6302205307911639</v>
      </c>
      <c r="AB121" s="21">
        <f>EXP(-LN(2)/2)*AB120+(1-EXP(-LN(2)/2))/(LN(2)/2)*V121*Y121*VLOOKUP('Données projet'!$B$9,Paramètres!$A$1:$I$89,3,0)*0.475*44/12</f>
        <v>1.8486666914688636E-12</v>
      </c>
      <c r="AC121" s="22">
        <f t="shared" si="57"/>
        <v>3.4297702200379461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267.45887999999991</v>
      </c>
      <c r="AK121" s="13">
        <f t="shared" si="89"/>
        <v>64.309683053152384</v>
      </c>
      <c r="AL121" s="20">
        <f t="shared" si="58"/>
        <v>577.83024731757359</v>
      </c>
      <c r="AM121" s="59">
        <f t="shared" si="59"/>
        <v>871.16358065090685</v>
      </c>
      <c r="AN121" s="59">
        <f ca="1">AVERAGE(OFFSET($AM$3,0,0,'Données projet'!$E$10+1,1))-AVERAGE(OFFSET($H$3,0,0,'Données projet'!$E$10+1,1))</f>
        <v>237.22177246688199</v>
      </c>
      <c r="AO121" s="59">
        <f t="shared" si="90"/>
        <v>149.27472147904302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0.27074922463476631</v>
      </c>
      <c r="AW121" s="21">
        <f>EXP(-LN(2)/2)*AW120+(1-EXP(-LN(2)/2))/(LN(2)/2)*AQ121*AT121*VLOOKUP('Données projet'!$B$10,Paramètres!$A$1:$I$89,3,0)*0.475*44/12</f>
        <v>3.5182369256451848E-13</v>
      </c>
      <c r="AX121" s="21">
        <f t="shared" si="60"/>
        <v>0.27074922463511814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210.04871822652808</v>
      </c>
      <c r="BJ121" s="59">
        <f t="shared" si="92"/>
        <v>250.17540614049324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1.2779271988777352</v>
      </c>
      <c r="BQ121" s="21">
        <f>EXP(-LN(2)/25)*BQ120+(1-EXP(-LN(2)/25))/(LN(2)/25)*Calculateur!BL121*Calculateur!BN121*VLOOKUP('Données projet'!$B$11,Paramètres!$A$1:$I$89,3,0)*0.475*44/12</f>
        <v>2.4260444688447351</v>
      </c>
      <c r="BR121" s="21">
        <f>EXP(-LN(2)/2)*BR120+(1-EXP(-LN(2)/2))/(LN(2)/2)*BL121*BO121*VLOOKUP('Données projet'!$B$11,Paramètres!$A$1:$I$89,3,0)*0.475*44/12</f>
        <v>1.2251967255765352E-12</v>
      </c>
      <c r="BS121" s="22">
        <f t="shared" si="63"/>
        <v>3.7039716677236956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-5.6843418860808015E-13</v>
      </c>
      <c r="O122" s="13">
        <f>N122*VLOOKUP('Données projet'!$B$9,Paramètres!$A$1:$I$89,3,0)*VLOOKUP('Données projet'!$B$9,Paramètres!$A$1:$I$89,5,0)</f>
        <v>-3.177547114319168E-13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326.31232746914907</v>
      </c>
      <c r="T122" s="59">
        <f t="shared" si="88"/>
        <v>330.17137761430297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0.78387100751599648</v>
      </c>
      <c r="AA122" s="21">
        <f>EXP(-LN(2)/25)*AA121+(1-EXP(-LN(2)/25))/(LN(2)/25)*Calculateur!V122*Calculateur!X122*VLOOKUP('Données projet'!$B$9,Paramètres!$A$1:$I$89,3,0)*0.475*44/12</f>
        <v>2.5582970120593931</v>
      </c>
      <c r="AB122" s="21">
        <f>EXP(-LN(2)/2)*AB121+(1-EXP(-LN(2)/2))/(LN(2)/2)*V122*Y122*VLOOKUP('Données projet'!$B$9,Paramètres!$A$1:$I$89,3,0)*0.475*44/12</f>
        <v>1.3072047536913325E-12</v>
      </c>
      <c r="AC122" s="22">
        <f t="shared" si="57"/>
        <v>3.3421680195766967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270.8066399999999</v>
      </c>
      <c r="AK122" s="13">
        <f t="shared" si="89"/>
        <v>65.020428921429911</v>
      </c>
      <c r="AL122" s="20">
        <f t="shared" si="58"/>
        <v>584.89881170482352</v>
      </c>
      <c r="AM122" s="59">
        <f t="shared" si="59"/>
        <v>878.23214503815689</v>
      </c>
      <c r="AN122" s="59">
        <f ca="1">AVERAGE(OFFSET($AM$3,0,0,'Données projet'!$E$10+1,1))-AVERAGE(OFFSET($H$3,0,0,'Données projet'!$E$10+1,1))</f>
        <v>237.22177246688199</v>
      </c>
      <c r="AO122" s="59">
        <f t="shared" si="90"/>
        <v>149.27472147904302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0.26334557284904569</v>
      </c>
      <c r="AW122" s="21">
        <f>EXP(-LN(2)/2)*AW121+(1-EXP(-LN(2)/2))/(LN(2)/2)*AQ122*AT122*VLOOKUP('Données projet'!$B$10,Paramètres!$A$1:$I$89,3,0)*0.475*44/12</f>
        <v>2.4877691879446213E-13</v>
      </c>
      <c r="AX122" s="21">
        <f t="shared" si="60"/>
        <v>0.2633455728492945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210.04871822652808</v>
      </c>
      <c r="BJ122" s="59">
        <f t="shared" si="92"/>
        <v>250.17540614049324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1.252867825966369</v>
      </c>
      <c r="BQ122" s="21">
        <f>EXP(-LN(2)/25)*BQ121+(1-EXP(-LN(2)/25))/(LN(2)/25)*Calculateur!BL122*Calculateur!BN122*VLOOKUP('Données projet'!$B$11,Paramètres!$A$1:$I$89,3,0)*0.475*44/12</f>
        <v>2.3597041552640419</v>
      </c>
      <c r="BR122" s="21">
        <f>EXP(-LN(2)/2)*BR121+(1-EXP(-LN(2)/2))/(LN(2)/2)*BL122*BO122*VLOOKUP('Données projet'!$B$11,Paramètres!$A$1:$I$89,3,0)*0.475*44/12</f>
        <v>8.6634491294272159E-13</v>
      </c>
      <c r="BS122" s="22">
        <f t="shared" si="63"/>
        <v>3.6125719812312771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-5.6843418860808015E-13</v>
      </c>
      <c r="O123" s="13">
        <f>N123*VLOOKUP('Données projet'!$B$9,Paramètres!$A$1:$I$89,3,0)*VLOOKUP('Données projet'!$B$9,Paramètres!$A$1:$I$89,5,0)</f>
        <v>-3.177547114319168E-13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326.31232746914907</v>
      </c>
      <c r="T123" s="59">
        <f t="shared" si="88"/>
        <v>330.17137761430297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0.76849977517271251</v>
      </c>
      <c r="AA123" s="21">
        <f>EXP(-LN(2)/25)*AA122+(1-EXP(-LN(2)/25))/(LN(2)/25)*Calculateur!V123*Calculateur!X123*VLOOKUP('Données projet'!$B$9,Paramètres!$A$1:$I$89,3,0)*0.475*44/12</f>
        <v>2.4883402457296362</v>
      </c>
      <c r="AB123" s="21">
        <f>EXP(-LN(2)/2)*AB122+(1-EXP(-LN(2)/2))/(LN(2)/2)*V123*Y123*VLOOKUP('Données projet'!$B$9,Paramètres!$A$1:$I$89,3,0)*0.475*44/12</f>
        <v>9.2433334573443181E-13</v>
      </c>
      <c r="AC123" s="22">
        <f t="shared" si="57"/>
        <v>3.2568400209032728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274.1543999999999</v>
      </c>
      <c r="AK123" s="13">
        <f t="shared" si="89"/>
        <v>65.730152764515779</v>
      </c>
      <c r="AL123" s="20">
        <f t="shared" si="58"/>
        <v>591.96559606486471</v>
      </c>
      <c r="AM123" s="59">
        <f t="shared" si="59"/>
        <v>885.29892939819797</v>
      </c>
      <c r="AN123" s="59">
        <f ca="1">AVERAGE(OFFSET($AM$3,0,0,'Données projet'!$E$10+1,1))-AVERAGE(OFFSET($H$3,0,0,'Données projet'!$E$10+1,1))</f>
        <v>237.22177246688199</v>
      </c>
      <c r="AO123" s="59">
        <f t="shared" si="90"/>
        <v>149.27472147904302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0.25614437431074677</v>
      </c>
      <c r="AW123" s="21">
        <f>EXP(-LN(2)/2)*AW122+(1-EXP(-LN(2)/2))/(LN(2)/2)*AQ123*AT123*VLOOKUP('Données projet'!$B$10,Paramètres!$A$1:$I$89,3,0)*0.475*44/12</f>
        <v>1.7591184628225924E-13</v>
      </c>
      <c r="AX123" s="21">
        <f t="shared" si="60"/>
        <v>0.25614437431092268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210.04871822652808</v>
      </c>
      <c r="BJ123" s="59">
        <f t="shared" si="92"/>
        <v>250.17540614049324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1.2282998520730866</v>
      </c>
      <c r="BQ123" s="21">
        <f>EXP(-LN(2)/25)*BQ122+(1-EXP(-LN(2)/25))/(LN(2)/25)*Calculateur!BL123*Calculateur!BN123*VLOOKUP('Données projet'!$B$11,Paramètres!$A$1:$I$89,3,0)*0.475*44/12</f>
        <v>2.2951779210468981</v>
      </c>
      <c r="BR123" s="21">
        <f>EXP(-LN(2)/2)*BR122+(1-EXP(-LN(2)/2))/(LN(2)/2)*BL123*BO123*VLOOKUP('Données projet'!$B$11,Paramètres!$A$1:$I$89,3,0)*0.475*44/12</f>
        <v>6.125983627882676E-13</v>
      </c>
      <c r="BS123" s="22">
        <f t="shared" si="63"/>
        <v>3.5234777731205971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-5.6843418860808015E-13</v>
      </c>
      <c r="O124" s="13">
        <f>N124*VLOOKUP('Données projet'!$B$9,Paramètres!$A$1:$I$89,3,0)*VLOOKUP('Données projet'!$B$9,Paramètres!$A$1:$I$89,5,0)</f>
        <v>-3.177547114319168E-13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326.31232746914907</v>
      </c>
      <c r="T124" s="59">
        <f t="shared" si="88"/>
        <v>330.17137761430297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0.75342996332015433</v>
      </c>
      <c r="AA124" s="21">
        <f>EXP(-LN(2)/25)*AA123+(1-EXP(-LN(2)/25))/(LN(2)/25)*Calculateur!V124*Calculateur!X124*VLOOKUP('Données projet'!$B$9,Paramètres!$A$1:$I$89,3,0)*0.475*44/12</f>
        <v>2.4202964508540328</v>
      </c>
      <c r="AB124" s="21">
        <f>EXP(-LN(2)/2)*AB123+(1-EXP(-LN(2)/2))/(LN(2)/2)*V124*Y124*VLOOKUP('Données projet'!$B$9,Paramètres!$A$1:$I$89,3,0)*0.475*44/12</f>
        <v>6.5360237684566625E-13</v>
      </c>
      <c r="AC124" s="22">
        <f t="shared" si="57"/>
        <v>3.1737264141748409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-1.0286385077051818E-13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237.22177246688199</v>
      </c>
      <c r="AO124" s="59">
        <f t="shared" si="90"/>
        <v>149.27472147904302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0.24914009292517217</v>
      </c>
      <c r="AW124" s="21">
        <f>EXP(-LN(2)/2)*AW123+(1-EXP(-LN(2)/2))/(LN(2)/2)*AQ124*AT124*VLOOKUP('Données projet'!$B$10,Paramètres!$A$1:$I$89,3,0)*0.475*44/12</f>
        <v>1.2438845939723107E-13</v>
      </c>
      <c r="AX124" s="21">
        <f t="shared" si="60"/>
        <v>0.24914009292529657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210.04871822652808</v>
      </c>
      <c r="BJ124" s="59">
        <f t="shared" si="92"/>
        <v>250.17540614049324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1.2042136411628668</v>
      </c>
      <c r="BQ124" s="21">
        <f>EXP(-LN(2)/25)*BQ123+(1-EXP(-LN(2)/25))/(LN(2)/25)*Calculateur!BL124*Calculateur!BN124*VLOOKUP('Données projet'!$B$11,Paramètres!$A$1:$I$89,3,0)*0.475*44/12</f>
        <v>2.2324161600977095</v>
      </c>
      <c r="BR124" s="21">
        <f>EXP(-LN(2)/2)*BR123+(1-EXP(-LN(2)/2))/(LN(2)/2)*BL124*BO124*VLOOKUP('Données projet'!$B$11,Paramètres!$A$1:$I$89,3,0)*0.475*44/12</f>
        <v>4.331724564713608E-13</v>
      </c>
      <c r="BS124" s="22">
        <f t="shared" si="63"/>
        <v>3.436629801261009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-5.6843418860808015E-13</v>
      </c>
      <c r="O125" s="13">
        <f>N125*VLOOKUP('Données projet'!$B$9,Paramètres!$A$1:$I$89,3,0)*VLOOKUP('Données projet'!$B$9,Paramètres!$A$1:$I$89,5,0)</f>
        <v>-3.177547114319168E-13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326.31232746914907</v>
      </c>
      <c r="T125" s="59">
        <f t="shared" si="88"/>
        <v>330.17137761430297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0.73865566128634719</v>
      </c>
      <c r="AA125" s="21">
        <f>EXP(-LN(2)/25)*AA124+(1-EXP(-LN(2)/25))/(LN(2)/25)*Calculateur!V125*Calculateur!X125*VLOOKUP('Données projet'!$B$9,Paramètres!$A$1:$I$89,3,0)*0.475*44/12</f>
        <v>2.3541133171275708</v>
      </c>
      <c r="AB125" s="21">
        <f>EXP(-LN(2)/2)*AB124+(1-EXP(-LN(2)/2))/(LN(2)/2)*V125*Y125*VLOOKUP('Données projet'!$B$9,Paramètres!$A$1:$I$89,3,0)*0.475*44/12</f>
        <v>4.621666728672159E-13</v>
      </c>
      <c r="AC125" s="22">
        <f t="shared" si="57"/>
        <v>3.0927689784143801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-1.0286385077051818E-13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237.22177246688199</v>
      </c>
      <c r="AO125" s="59">
        <f t="shared" si="90"/>
        <v>149.27472147904302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0.24232734398242525</v>
      </c>
      <c r="AW125" s="21">
        <f>EXP(-LN(2)/2)*AW124+(1-EXP(-LN(2)/2))/(LN(2)/2)*AQ125*AT125*VLOOKUP('Données projet'!$B$10,Paramètres!$A$1:$I$89,3,0)*0.475*44/12</f>
        <v>8.7955923141129621E-14</v>
      </c>
      <c r="AX125" s="21">
        <f t="shared" si="60"/>
        <v>0.24232734398251321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210.04871822652808</v>
      </c>
      <c r="BJ125" s="59">
        <f t="shared" si="92"/>
        <v>250.17540614049324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1.1805997461574584</v>
      </c>
      <c r="BQ125" s="21">
        <f>EXP(-LN(2)/25)*BQ124+(1-EXP(-LN(2)/25))/(LN(2)/25)*Calculateur!BL125*Calculateur!BN125*VLOOKUP('Données projet'!$B$11,Paramètres!$A$1:$I$89,3,0)*0.475*44/12</f>
        <v>2.1713706228021739</v>
      </c>
      <c r="BR125" s="21">
        <f>EXP(-LN(2)/2)*BR124+(1-EXP(-LN(2)/2))/(LN(2)/2)*BL125*BO125*VLOOKUP('Données projet'!$B$11,Paramètres!$A$1:$I$89,3,0)*0.475*44/12</f>
        <v>3.062991813941338E-13</v>
      </c>
      <c r="BS125" s="22">
        <f t="shared" si="63"/>
        <v>3.3519703689599387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-5.6843418860808015E-13</v>
      </c>
      <c r="O126" s="13">
        <f>N126*VLOOKUP('Données projet'!$B$9,Paramètres!$A$1:$I$89,3,0)*VLOOKUP('Données projet'!$B$9,Paramètres!$A$1:$I$89,5,0)</f>
        <v>-3.177547114319168E-13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326.31232746914907</v>
      </c>
      <c r="T126" s="59">
        <f t="shared" si="88"/>
        <v>330.17137761430297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0.72417107430398864</v>
      </c>
      <c r="AA126" s="21">
        <f>EXP(-LN(2)/25)*AA125+(1-EXP(-LN(2)/25))/(LN(2)/25)*Calculateur!V126*Calculateur!X126*VLOOKUP('Données projet'!$B$9,Paramètres!$A$1:$I$89,3,0)*0.475*44/12</f>
        <v>2.2897399646732786</v>
      </c>
      <c r="AB126" s="21">
        <f>EXP(-LN(2)/2)*AB125+(1-EXP(-LN(2)/2))/(LN(2)/2)*V126*Y126*VLOOKUP('Données projet'!$B$9,Paramètres!$A$1:$I$89,3,0)*0.475*44/12</f>
        <v>3.2680118842283312E-13</v>
      </c>
      <c r="AC126" s="22">
        <f t="shared" si="57"/>
        <v>3.0139110389775938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-1.0286385077051818E-13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237.22177246688199</v>
      </c>
      <c r="AO126" s="59">
        <f t="shared" si="90"/>
        <v>149.27472147904302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0.23570089001778466</v>
      </c>
      <c r="AW126" s="21">
        <f>EXP(-LN(2)/2)*AW125+(1-EXP(-LN(2)/2))/(LN(2)/2)*AQ126*AT126*VLOOKUP('Données projet'!$B$10,Paramètres!$A$1:$I$89,3,0)*0.475*44/12</f>
        <v>6.2194229698615533E-14</v>
      </c>
      <c r="AX126" s="21">
        <f t="shared" si="60"/>
        <v>0.23570089001784686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210.04871822652808</v>
      </c>
      <c r="BJ126" s="59">
        <f t="shared" si="92"/>
        <v>250.17540614049324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1.1574489052300523</v>
      </c>
      <c r="BQ126" s="21">
        <f>EXP(-LN(2)/25)*BQ125+(1-EXP(-LN(2)/25))/(LN(2)/25)*Calculateur!BL126*Calculateur!BN126*VLOOKUP('Données projet'!$B$11,Paramètres!$A$1:$I$89,3,0)*0.475*44/12</f>
        <v>2.1119943789342299</v>
      </c>
      <c r="BR126" s="21">
        <f>EXP(-LN(2)/2)*BR125+(1-EXP(-LN(2)/2))/(LN(2)/2)*BL126*BO126*VLOOKUP('Données projet'!$B$11,Paramètres!$A$1:$I$89,3,0)*0.475*44/12</f>
        <v>2.165862282356804E-13</v>
      </c>
      <c r="BS126" s="22">
        <f t="shared" si="63"/>
        <v>3.2694432841644989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-5.6843418860808015E-13</v>
      </c>
      <c r="O127" s="13">
        <f>N127*VLOOKUP('Données projet'!$B$9,Paramètres!$A$1:$I$89,3,0)*VLOOKUP('Données projet'!$B$9,Paramètres!$A$1:$I$89,5,0)</f>
        <v>-3.177547114319168E-13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326.31232746914907</v>
      </c>
      <c r="T127" s="59">
        <f t="shared" si="88"/>
        <v>330.17137761430297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0.70997052123762838</v>
      </c>
      <c r="AA127" s="21">
        <f>EXP(-LN(2)/25)*AA126+(1-EXP(-LN(2)/25))/(LN(2)/25)*Calculateur!V127*Calculateur!X127*VLOOKUP('Données projet'!$B$9,Paramètres!$A$1:$I$89,3,0)*0.475*44/12</f>
        <v>2.2271269049270961</v>
      </c>
      <c r="AB127" s="21">
        <f>EXP(-LN(2)/2)*AB126+(1-EXP(-LN(2)/2))/(LN(2)/2)*V127*Y127*VLOOKUP('Données projet'!$B$9,Paramètres!$A$1:$I$89,3,0)*0.475*44/12</f>
        <v>2.3108333643360795E-13</v>
      </c>
      <c r="AC127" s="22">
        <f t="shared" si="57"/>
        <v>2.9370974261649554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-1.0286385077051818E-13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237.22177246688199</v>
      </c>
      <c r="AO127" s="59">
        <f t="shared" si="90"/>
        <v>149.27472147904302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0.22925563678527724</v>
      </c>
      <c r="AW127" s="21">
        <f>EXP(-LN(2)/2)*AW126+(1-EXP(-LN(2)/2))/(LN(2)/2)*AQ127*AT127*VLOOKUP('Données projet'!$B$10,Paramètres!$A$1:$I$89,3,0)*0.475*44/12</f>
        <v>4.397796157056481E-14</v>
      </c>
      <c r="AX127" s="21">
        <f t="shared" si="60"/>
        <v>0.22925563678532121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210.04871822652808</v>
      </c>
      <c r="BJ127" s="59">
        <f t="shared" si="92"/>
        <v>250.17540614049324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1.1347520381726139</v>
      </c>
      <c r="BQ127" s="21">
        <f>EXP(-LN(2)/25)*BQ126+(1-EXP(-LN(2)/25))/(LN(2)/25)*Calculateur!BL127*Calculateur!BN127*VLOOKUP('Données projet'!$B$11,Paramètres!$A$1:$I$89,3,0)*0.475*44/12</f>
        <v>2.054241781577316</v>
      </c>
      <c r="BR127" s="21">
        <f>EXP(-LN(2)/2)*BR126+(1-EXP(-LN(2)/2))/(LN(2)/2)*BL127*BO127*VLOOKUP('Données projet'!$B$11,Paramètres!$A$1:$I$89,3,0)*0.475*44/12</f>
        <v>1.531495906970669E-13</v>
      </c>
      <c r="BS127" s="22">
        <f t="shared" si="63"/>
        <v>3.1889938197500833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-5.6843418860808015E-13</v>
      </c>
      <c r="O128" s="13">
        <f>N128*VLOOKUP('Données projet'!$B$9,Paramètres!$A$1:$I$89,3,0)*VLOOKUP('Données projet'!$B$9,Paramètres!$A$1:$I$89,5,0)</f>
        <v>-3.177547114319168E-13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326.31232746914907</v>
      </c>
      <c r="T128" s="59">
        <f t="shared" si="88"/>
        <v>330.17137761430297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0.69604843235541736</v>
      </c>
      <c r="AA128" s="21">
        <f>EXP(-LN(2)/25)*AA127+(1-EXP(-LN(2)/25))/(LN(2)/25)*Calculateur!V128*Calculateur!X128*VLOOKUP('Données projet'!$B$9,Paramètres!$A$1:$I$89,3,0)*0.475*44/12</f>
        <v>2.1662260025923508</v>
      </c>
      <c r="AB128" s="21">
        <f>EXP(-LN(2)/2)*AB127+(1-EXP(-LN(2)/2))/(LN(2)/2)*V128*Y128*VLOOKUP('Données projet'!$B$9,Paramètres!$A$1:$I$89,3,0)*0.475*44/12</f>
        <v>1.6340059421141656E-13</v>
      </c>
      <c r="AC128" s="22">
        <f t="shared" si="57"/>
        <v>2.8622744349479317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-1.0286385077051818E-13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237.22177246688199</v>
      </c>
      <c r="AO128" s="59">
        <f t="shared" si="90"/>
        <v>149.27472147904302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0.22298662934135388</v>
      </c>
      <c r="AW128" s="21">
        <f>EXP(-LN(2)/2)*AW127+(1-EXP(-LN(2)/2))/(LN(2)/2)*AQ128*AT128*VLOOKUP('Données projet'!$B$10,Paramètres!$A$1:$I$89,3,0)*0.475*44/12</f>
        <v>3.1097114849307767E-14</v>
      </c>
      <c r="AX128" s="21">
        <f t="shared" si="60"/>
        <v>0.22298662934138497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210.04871822652808</v>
      </c>
      <c r="BJ128" s="59">
        <f t="shared" si="92"/>
        <v>250.17540614049324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1.1125002428344501</v>
      </c>
      <c r="BQ128" s="21">
        <f>EXP(-LN(2)/25)*BQ127+(1-EXP(-LN(2)/25))/(LN(2)/25)*Calculateur!BL128*Calculateur!BN128*VLOOKUP('Données projet'!$B$11,Paramètres!$A$1:$I$89,3,0)*0.475*44/12</f>
        <v>1.998068432032204</v>
      </c>
      <c r="BR128" s="21">
        <f>EXP(-LN(2)/2)*BR127+(1-EXP(-LN(2)/2))/(LN(2)/2)*BL128*BO128*VLOOKUP('Données projet'!$B$11,Paramètres!$A$1:$I$89,3,0)*0.475*44/12</f>
        <v>1.082931141178402E-13</v>
      </c>
      <c r="BS128" s="22">
        <f t="shared" si="63"/>
        <v>3.1105686748667623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-5.6843418860808015E-13</v>
      </c>
      <c r="O129" s="13">
        <f>N129*VLOOKUP('Données projet'!$B$9,Paramètres!$A$1:$I$89,3,0)*VLOOKUP('Données projet'!$B$9,Paramètres!$A$1:$I$89,5,0)</f>
        <v>-3.177547114319168E-13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326.31232746914907</v>
      </c>
      <c r="T129" s="59">
        <f t="shared" si="88"/>
        <v>330.17137761430297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0.68239934714455075</v>
      </c>
      <c r="AA129" s="21">
        <f>EXP(-LN(2)/25)*AA128+(1-EXP(-LN(2)/25))/(LN(2)/25)*Calculateur!V129*Calculateur!X129*VLOOKUP('Données projet'!$B$9,Paramètres!$A$1:$I$89,3,0)*0.475*44/12</f>
        <v>2.1069904386345883</v>
      </c>
      <c r="AB129" s="21">
        <f>EXP(-LN(2)/2)*AB128+(1-EXP(-LN(2)/2))/(LN(2)/2)*V129*Y129*VLOOKUP('Données projet'!$B$9,Paramètres!$A$1:$I$89,3,0)*0.475*44/12</f>
        <v>1.1554166821680398E-13</v>
      </c>
      <c r="AC129" s="22">
        <f t="shared" si="57"/>
        <v>2.7893897857792544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-1.0286385077051818E-13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237.22177246688199</v>
      </c>
      <c r="AO129" s="59">
        <f t="shared" si="90"/>
        <v>149.27472147904302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0.21688904823565736</v>
      </c>
      <c r="AW129" s="21">
        <f>EXP(-LN(2)/2)*AW128+(1-EXP(-LN(2)/2))/(LN(2)/2)*AQ129*AT129*VLOOKUP('Données projet'!$B$10,Paramètres!$A$1:$I$89,3,0)*0.475*44/12</f>
        <v>2.1988980785282405E-14</v>
      </c>
      <c r="AX129" s="21">
        <f t="shared" si="60"/>
        <v>0.21688904823567934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210.04871822652808</v>
      </c>
      <c r="BJ129" s="59">
        <f t="shared" si="92"/>
        <v>250.17540614049324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1.0906847916306126</v>
      </c>
      <c r="BQ129" s="21">
        <f>EXP(-LN(2)/25)*BQ128+(1-EXP(-LN(2)/25))/(LN(2)/25)*Calculateur!BL129*Calculateur!BN129*VLOOKUP('Données projet'!$B$11,Paramètres!$A$1:$I$89,3,0)*0.475*44/12</f>
        <v>1.9434311456844311</v>
      </c>
      <c r="BR129" s="21">
        <f>EXP(-LN(2)/2)*BR128+(1-EXP(-LN(2)/2))/(LN(2)/2)*BL129*BO129*VLOOKUP('Données projet'!$B$11,Paramètres!$A$1:$I$89,3,0)*0.475*44/12</f>
        <v>7.6574795348533449E-14</v>
      </c>
      <c r="BS129" s="22">
        <f t="shared" si="63"/>
        <v>3.0341159373151201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-5.6843418860808015E-13</v>
      </c>
      <c r="O130" s="13">
        <f>N130*VLOOKUP('Données projet'!$B$9,Paramètres!$A$1:$I$89,3,0)*VLOOKUP('Données projet'!$B$9,Paramètres!$A$1:$I$89,5,0)</f>
        <v>-3.177547114319168E-13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326.31232746914907</v>
      </c>
      <c r="T130" s="59">
        <f t="shared" si="88"/>
        <v>330.17137761430297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0.66901791216954931</v>
      </c>
      <c r="AA130" s="21">
        <f>EXP(-LN(2)/25)*AA129+(1-EXP(-LN(2)/25))/(LN(2)/25)*Calculateur!V130*Calculateur!X130*VLOOKUP('Données projet'!$B$9,Paramètres!$A$1:$I$89,3,0)*0.475*44/12</f>
        <v>2.0493746742883139</v>
      </c>
      <c r="AB130" s="21">
        <f>EXP(-LN(2)/2)*AB129+(1-EXP(-LN(2)/2))/(LN(2)/2)*V130*Y130*VLOOKUP('Données projet'!$B$9,Paramètres!$A$1:$I$89,3,0)*0.475*44/12</f>
        <v>8.1700297105708281E-14</v>
      </c>
      <c r="AC130" s="22">
        <f t="shared" si="57"/>
        <v>2.718392586457945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-1.0286385077051818E-13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237.22177246688199</v>
      </c>
      <c r="AO130" s="59">
        <f t="shared" si="90"/>
        <v>149.27472147904302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0.21095820580595395</v>
      </c>
      <c r="AW130" s="21">
        <f>EXP(-LN(2)/2)*AW129+(1-EXP(-LN(2)/2))/(LN(2)/2)*AQ130*AT130*VLOOKUP('Données projet'!$B$10,Paramètres!$A$1:$I$89,3,0)*0.475*44/12</f>
        <v>1.5548557424653883E-14</v>
      </c>
      <c r="AX130" s="21">
        <f t="shared" si="60"/>
        <v>0.2109582058059695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210.04871822652808</v>
      </c>
      <c r="BJ130" s="59">
        <f t="shared" si="92"/>
        <v>250.17540614049324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1.0692971281187711</v>
      </c>
      <c r="BQ130" s="21">
        <f>EXP(-LN(2)/25)*BQ129+(1-EXP(-LN(2)/25))/(LN(2)/25)*Calculateur!BL130*Calculateur!BN130*VLOOKUP('Données projet'!$B$11,Paramètres!$A$1:$I$89,3,0)*0.475*44/12</f>
        <v>1.8902879188050881</v>
      </c>
      <c r="BR130" s="21">
        <f>EXP(-LN(2)/2)*BR129+(1-EXP(-LN(2)/2))/(LN(2)/2)*BL130*BO130*VLOOKUP('Données projet'!$B$11,Paramètres!$A$1:$I$89,3,0)*0.475*44/12</f>
        <v>5.41465570589201E-14</v>
      </c>
      <c r="BS130" s="22">
        <f t="shared" si="63"/>
        <v>2.9595850469239133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-5.6843418860808015E-13</v>
      </c>
      <c r="O131" s="13">
        <f>N131*VLOOKUP('Données projet'!$B$9,Paramètres!$A$1:$I$89,3,0)*VLOOKUP('Données projet'!$B$9,Paramètres!$A$1:$I$89,5,0)</f>
        <v>-3.177547114319168E-13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326.31232746914907</v>
      </c>
      <c r="T131" s="59">
        <f t="shared" si="88"/>
        <v>330.17137761430297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0.65589887897253818</v>
      </c>
      <c r="AA131" s="21">
        <f>EXP(-LN(2)/25)*AA130+(1-EXP(-LN(2)/25))/(LN(2)/25)*Calculateur!V131*Calculateur!X131*VLOOKUP('Données projet'!$B$9,Paramètres!$A$1:$I$89,3,0)*0.475*44/12</f>
        <v>1.9933344160479698</v>
      </c>
      <c r="AB131" s="21">
        <f>EXP(-LN(2)/2)*AB130+(1-EXP(-LN(2)/2))/(LN(2)/2)*V131*Y131*VLOOKUP('Données projet'!$B$9,Paramètres!$A$1:$I$89,3,0)*0.475*44/12</f>
        <v>5.7770834108401988E-14</v>
      </c>
      <c r="AC131" s="22">
        <f t="shared" si="57"/>
        <v>2.6492332950205659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-1.0286385077051818E-13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237.22177246688199</v>
      </c>
      <c r="AO131" s="59">
        <f t="shared" si="90"/>
        <v>149.27472147904302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0.20518954257438024</v>
      </c>
      <c r="AW131" s="21">
        <f>EXP(-LN(2)/2)*AW130+(1-EXP(-LN(2)/2))/(LN(2)/2)*AQ131*AT131*VLOOKUP('Données projet'!$B$10,Paramètres!$A$1:$I$89,3,0)*0.475*44/12</f>
        <v>1.0994490392641203E-14</v>
      </c>
      <c r="AX131" s="21">
        <f t="shared" si="60"/>
        <v>0.20518954257439123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210.04871822652808</v>
      </c>
      <c r="BJ131" s="59">
        <f t="shared" si="92"/>
        <v>250.17540614049324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1.04832886364321</v>
      </c>
      <c r="BQ131" s="21">
        <f>EXP(-LN(2)/25)*BQ130+(1-EXP(-LN(2)/25))/(LN(2)/25)*Calculateur!BL131*Calculateur!BN131*VLOOKUP('Données projet'!$B$11,Paramètres!$A$1:$I$89,3,0)*0.475*44/12</f>
        <v>1.8385978962594416</v>
      </c>
      <c r="BR131" s="21">
        <f>EXP(-LN(2)/2)*BR130+(1-EXP(-LN(2)/2))/(LN(2)/2)*BL131*BO131*VLOOKUP('Données projet'!$B$11,Paramètres!$A$1:$I$89,3,0)*0.475*44/12</f>
        <v>3.8287397674266725E-14</v>
      </c>
      <c r="BS131" s="22">
        <f t="shared" si="63"/>
        <v>2.88692675990269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-5.6843418860808015E-13</v>
      </c>
      <c r="O132" s="13">
        <f>N132*VLOOKUP('Données projet'!$B$9,Paramètres!$A$1:$I$89,3,0)*VLOOKUP('Données projet'!$B$9,Paramètres!$A$1:$I$89,5,0)</f>
        <v>-3.177547114319168E-13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326.31232746914907</v>
      </c>
      <c r="T132" s="59">
        <f t="shared" si="88"/>
        <v>330.17137761430297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0.64303710201470032</v>
      </c>
      <c r="AA132" s="21">
        <f>EXP(-LN(2)/25)*AA131+(1-EXP(-LN(2)/25))/(LN(2)/25)*Calculateur!V132*Calculateur!X132*VLOOKUP('Données projet'!$B$9,Paramètres!$A$1:$I$89,3,0)*0.475*44/12</f>
        <v>1.9388265816162369</v>
      </c>
      <c r="AB132" s="21">
        <f>EXP(-LN(2)/2)*AB131+(1-EXP(-LN(2)/2))/(LN(2)/2)*V132*Y132*VLOOKUP('Données projet'!$B$9,Paramètres!$A$1:$I$89,3,0)*0.475*44/12</f>
        <v>4.0850148552854141E-14</v>
      </c>
      <c r="AC132" s="22">
        <f t="shared" ref="AC132:AC153" si="111">SUM(Z132:AB132)</f>
        <v>2.5818636836309778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-1.0286385077051818E-13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237.22177246688199</v>
      </c>
      <c r="AO132" s="59">
        <f t="shared" si="90"/>
        <v>149.27472147904302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0.19957862374223473</v>
      </c>
      <c r="AW132" s="21">
        <f>EXP(-LN(2)/2)*AW131+(1-EXP(-LN(2)/2))/(LN(2)/2)*AQ132*AT132*VLOOKUP('Données projet'!$B$10,Paramètres!$A$1:$I$89,3,0)*0.475*44/12</f>
        <v>7.7742787123269417E-15</v>
      </c>
      <c r="AX132" s="21">
        <f t="shared" ref="AX132:AX153" si="114">SUM(AU132:AW132)</f>
        <v>0.1995786237422425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210.04871822652808</v>
      </c>
      <c r="BJ132" s="59">
        <f t="shared" si="92"/>
        <v>250.17540614049324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1.0277717740446362</v>
      </c>
      <c r="BQ132" s="21">
        <f>EXP(-LN(2)/25)*BQ131+(1-EXP(-LN(2)/25))/(LN(2)/25)*Calculateur!BL132*Calculateur!BN132*VLOOKUP('Données projet'!$B$11,Paramètres!$A$1:$I$89,3,0)*0.475*44/12</f>
        <v>1.788321340098566</v>
      </c>
      <c r="BR132" s="21">
        <f>EXP(-LN(2)/2)*BR131+(1-EXP(-LN(2)/2))/(LN(2)/2)*BL132*BO132*VLOOKUP('Données projet'!$B$11,Paramètres!$A$1:$I$89,3,0)*0.475*44/12</f>
        <v>2.707327852946005E-14</v>
      </c>
      <c r="BS132" s="22">
        <f t="shared" ref="BS132:BS153" si="117">SUM(BP132:BR132)</f>
        <v>2.816093114143229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-5.6843418860808015E-13</v>
      </c>
      <c r="O133" s="13">
        <f>N133*VLOOKUP('Données projet'!$B$9,Paramètres!$A$1:$I$89,3,0)*VLOOKUP('Données projet'!$B$9,Paramètres!$A$1:$I$89,5,0)</f>
        <v>-3.177547114319168E-13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326.31232746914907</v>
      </c>
      <c r="T133" s="59">
        <f t="shared" ref="T133:T196" si="142">$T$3</f>
        <v>330.17137761430297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0.63042753665809637</v>
      </c>
      <c r="AA133" s="21">
        <f>EXP(-LN(2)/25)*AA132+(1-EXP(-LN(2)/25))/(LN(2)/25)*Calculateur!V133*Calculateur!X133*VLOOKUP('Données projet'!$B$9,Paramètres!$A$1:$I$89,3,0)*0.475*44/12</f>
        <v>1.8858092667834823</v>
      </c>
      <c r="AB133" s="21">
        <f>EXP(-LN(2)/2)*AB132+(1-EXP(-LN(2)/2))/(LN(2)/2)*V133*Y133*VLOOKUP('Données projet'!$B$9,Paramètres!$A$1:$I$89,3,0)*0.475*44/12</f>
        <v>2.8885417054200994E-14</v>
      </c>
      <c r="AC133" s="22">
        <f t="shared" si="111"/>
        <v>2.5162368034416076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-1.0286385077051818E-13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237.22177246688199</v>
      </c>
      <c r="AO133" s="59">
        <f t="shared" ref="AO133:AO196" si="144">$AO$3</f>
        <v>149.27472147904302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0.19412113578061965</v>
      </c>
      <c r="AW133" s="21">
        <f>EXP(-LN(2)/2)*AW132+(1-EXP(-LN(2)/2))/(LN(2)/2)*AQ133*AT133*VLOOKUP('Données projet'!$B$10,Paramètres!$A$1:$I$89,3,0)*0.475*44/12</f>
        <v>5.4972451963206013E-15</v>
      </c>
      <c r="AX133" s="21">
        <f t="shared" si="114"/>
        <v>0.19412113578062515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210.04871822652808</v>
      </c>
      <c r="BJ133" s="59">
        <f t="shared" ref="BJ133:BJ196" si="146">$BJ$3</f>
        <v>250.17540614049324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1.0076177964345039</v>
      </c>
      <c r="BQ133" s="21">
        <f>EXP(-LN(2)/25)*BQ132+(1-EXP(-LN(2)/25))/(LN(2)/25)*Calculateur!BL133*Calculateur!BN133*VLOOKUP('Données projet'!$B$11,Paramètres!$A$1:$I$89,3,0)*0.475*44/12</f>
        <v>1.7394195990098387</v>
      </c>
      <c r="BR133" s="21">
        <f>EXP(-LN(2)/2)*BR132+(1-EXP(-LN(2)/2))/(LN(2)/2)*BL133*BO133*VLOOKUP('Données projet'!$B$11,Paramètres!$A$1:$I$89,3,0)*0.475*44/12</f>
        <v>1.9143698837133362E-14</v>
      </c>
      <c r="BS133" s="22">
        <f t="shared" si="117"/>
        <v>2.7470373954443619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-5.6843418860808015E-13</v>
      </c>
      <c r="O134" s="13">
        <f>N134*VLOOKUP('Données projet'!$B$9,Paramètres!$A$1:$I$89,3,0)*VLOOKUP('Données projet'!$B$9,Paramètres!$A$1:$I$89,5,0)</f>
        <v>-3.177547114319168E-13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326.31232746914907</v>
      </c>
      <c r="T134" s="59">
        <f t="shared" si="142"/>
        <v>330.17137761430297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0.61806523718705997</v>
      </c>
      <c r="AA134" s="21">
        <f>EXP(-LN(2)/25)*AA133+(1-EXP(-LN(2)/25))/(LN(2)/25)*Calculateur!V134*Calculateur!X134*VLOOKUP('Données projet'!$B$9,Paramètres!$A$1:$I$89,3,0)*0.475*44/12</f>
        <v>1.8342417132128888</v>
      </c>
      <c r="AB134" s="21">
        <f>EXP(-LN(2)/2)*AB133+(1-EXP(-LN(2)/2))/(LN(2)/2)*V134*Y134*VLOOKUP('Données projet'!$B$9,Paramètres!$A$1:$I$89,3,0)*0.475*44/12</f>
        <v>2.042507427642707E-14</v>
      </c>
      <c r="AC134" s="22">
        <f t="shared" si="111"/>
        <v>2.452306950399969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-1.0286385077051818E-13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237.22177246688199</v>
      </c>
      <c r="AO134" s="59">
        <f t="shared" si="144"/>
        <v>149.27472147904302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0.18881288311431174</v>
      </c>
      <c r="AW134" s="21">
        <f>EXP(-LN(2)/2)*AW133+(1-EXP(-LN(2)/2))/(LN(2)/2)*AQ134*AT134*VLOOKUP('Données projet'!$B$10,Paramètres!$A$1:$I$89,3,0)*0.475*44/12</f>
        <v>3.8871393561634708E-15</v>
      </c>
      <c r="AX134" s="21">
        <f t="shared" si="114"/>
        <v>0.18881288311431563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210.04871822652808</v>
      </c>
      <c r="BJ134" s="59">
        <f t="shared" si="146"/>
        <v>250.17540614049324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0.98785902603259379</v>
      </c>
      <c r="BQ134" s="21">
        <f>EXP(-LN(2)/25)*BQ133+(1-EXP(-LN(2)/25))/(LN(2)/25)*Calculateur!BL134*Calculateur!BN134*VLOOKUP('Données projet'!$B$11,Paramètres!$A$1:$I$89,3,0)*0.475*44/12</f>
        <v>1.6918550786028135</v>
      </c>
      <c r="BR134" s="21">
        <f>EXP(-LN(2)/2)*BR133+(1-EXP(-LN(2)/2))/(LN(2)/2)*BL134*BO134*VLOOKUP('Données projet'!$B$11,Paramètres!$A$1:$I$89,3,0)*0.475*44/12</f>
        <v>1.3536639264730025E-14</v>
      </c>
      <c r="BS134" s="22">
        <f t="shared" si="117"/>
        <v>2.6797141046354205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-5.6843418860808015E-13</v>
      </c>
      <c r="O135" s="13">
        <f>N135*VLOOKUP('Données projet'!$B$9,Paramètres!$A$1:$I$89,3,0)*VLOOKUP('Données projet'!$B$9,Paramètres!$A$1:$I$89,5,0)</f>
        <v>-3.177547114319168E-13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326.31232746914907</v>
      </c>
      <c r="T135" s="59">
        <f t="shared" si="142"/>
        <v>330.17137761430297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0.60594535486839252</v>
      </c>
      <c r="AA135" s="21">
        <f>EXP(-LN(2)/25)*AA134+(1-EXP(-LN(2)/25))/(LN(2)/25)*Calculateur!V135*Calculateur!X135*VLOOKUP('Données projet'!$B$9,Paramètres!$A$1:$I$89,3,0)*0.475*44/12</f>
        <v>1.7840842771065029</v>
      </c>
      <c r="AB135" s="21">
        <f>EXP(-LN(2)/2)*AB134+(1-EXP(-LN(2)/2))/(LN(2)/2)*V135*Y135*VLOOKUP('Données projet'!$B$9,Paramètres!$A$1:$I$89,3,0)*0.475*44/12</f>
        <v>1.4442708527100497E-14</v>
      </c>
      <c r="AC135" s="22">
        <f t="shared" si="111"/>
        <v>2.3900296319749099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-1.0286385077051818E-13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237.22177246688199</v>
      </c>
      <c r="AO135" s="59">
        <f t="shared" si="144"/>
        <v>149.27472147904302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0.1836497848963129</v>
      </c>
      <c r="AW135" s="21">
        <f>EXP(-LN(2)/2)*AW134+(1-EXP(-LN(2)/2))/(LN(2)/2)*AQ135*AT135*VLOOKUP('Données projet'!$B$10,Paramètres!$A$1:$I$89,3,0)*0.475*44/12</f>
        <v>2.7486225981603006E-15</v>
      </c>
      <c r="AX135" s="21">
        <f t="shared" si="114"/>
        <v>0.18364978489631564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210.04871822652808</v>
      </c>
      <c r="BJ135" s="59">
        <f t="shared" si="146"/>
        <v>250.17540614049324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0.96848771306660519</v>
      </c>
      <c r="BQ135" s="21">
        <f>EXP(-LN(2)/25)*BQ134+(1-EXP(-LN(2)/25))/(LN(2)/25)*Calculateur!BL135*Calculateur!BN135*VLOOKUP('Données projet'!$B$11,Paramètres!$A$1:$I$89,3,0)*0.475*44/12</f>
        <v>1.6455912125076277</v>
      </c>
      <c r="BR135" s="21">
        <f>EXP(-LN(2)/2)*BR134+(1-EXP(-LN(2)/2))/(LN(2)/2)*BL135*BO135*VLOOKUP('Données projet'!$B$11,Paramètres!$A$1:$I$89,3,0)*0.475*44/12</f>
        <v>9.5718494185666812E-15</v>
      </c>
      <c r="BS135" s="22">
        <f t="shared" si="117"/>
        <v>2.6140789255742427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-5.6843418860808015E-13</v>
      </c>
      <c r="O136" s="13">
        <f>N136*VLOOKUP('Données projet'!$B$9,Paramètres!$A$1:$I$89,3,0)*VLOOKUP('Données projet'!$B$9,Paramètres!$A$1:$I$89,5,0)</f>
        <v>-3.177547114319168E-13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326.31232746914907</v>
      </c>
      <c r="T136" s="59">
        <f t="shared" si="142"/>
        <v>330.17137761430297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0.59406313604959582</v>
      </c>
      <c r="AA136" s="21">
        <f>EXP(-LN(2)/25)*AA135+(1-EXP(-LN(2)/25))/(LN(2)/25)*Calculateur!V136*Calculateur!X136*VLOOKUP('Données projet'!$B$9,Paramètres!$A$1:$I$89,3,0)*0.475*44/12</f>
        <v>1.735298398728111</v>
      </c>
      <c r="AB136" s="21">
        <f>EXP(-LN(2)/2)*AB135+(1-EXP(-LN(2)/2))/(LN(2)/2)*V136*Y136*VLOOKUP('Données projet'!$B$9,Paramètres!$A$1:$I$89,3,0)*0.475*44/12</f>
        <v>1.0212537138213535E-14</v>
      </c>
      <c r="AC136" s="22">
        <f t="shared" si="111"/>
        <v>2.3293615347777172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-1.0286385077051818E-13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237.22177246688199</v>
      </c>
      <c r="AO136" s="59">
        <f t="shared" si="144"/>
        <v>149.27472147904302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0.17862787187060078</v>
      </c>
      <c r="AW136" s="21">
        <f>EXP(-LN(2)/2)*AW135+(1-EXP(-LN(2)/2))/(LN(2)/2)*AQ136*AT136*VLOOKUP('Données projet'!$B$10,Paramètres!$A$1:$I$89,3,0)*0.475*44/12</f>
        <v>1.9435696780817354E-15</v>
      </c>
      <c r="AX136" s="21">
        <f t="shared" si="114"/>
        <v>0.17862787187060272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210.04871822652808</v>
      </c>
      <c r="BJ136" s="59">
        <f t="shared" si="146"/>
        <v>250.17540614049324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0.94949625973254537</v>
      </c>
      <c r="BQ136" s="21">
        <f>EXP(-LN(2)/25)*BQ135+(1-EXP(-LN(2)/25))/(LN(2)/25)*Calculateur!BL136*Calculateur!BN136*VLOOKUP('Données projet'!$B$11,Paramètres!$A$1:$I$89,3,0)*0.475*44/12</f>
        <v>1.6005924342637259</v>
      </c>
      <c r="BR136" s="21">
        <f>EXP(-LN(2)/2)*BR135+(1-EXP(-LN(2)/2))/(LN(2)/2)*BL136*BO136*VLOOKUP('Données projet'!$B$11,Paramètres!$A$1:$I$89,3,0)*0.475*44/12</f>
        <v>6.7683196323650125E-15</v>
      </c>
      <c r="BS136" s="22">
        <f t="shared" si="117"/>
        <v>2.5500886939962779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-5.6843418860808015E-13</v>
      </c>
      <c r="O137" s="13">
        <f>N137*VLOOKUP('Données projet'!$B$9,Paramètres!$A$1:$I$89,3,0)*VLOOKUP('Données projet'!$B$9,Paramètres!$A$1:$I$89,5,0)</f>
        <v>-3.177547114319168E-13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326.31232746914907</v>
      </c>
      <c r="T137" s="59">
        <f t="shared" si="142"/>
        <v>330.17137761430297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0.58241392029439787</v>
      </c>
      <c r="AA137" s="21">
        <f>EXP(-LN(2)/25)*AA136+(1-EXP(-LN(2)/25))/(LN(2)/25)*Calculateur!V137*Calculateur!X137*VLOOKUP('Données projet'!$B$9,Paramètres!$A$1:$I$89,3,0)*0.475*44/12</f>
        <v>1.687846572759514</v>
      </c>
      <c r="AB137" s="21">
        <f>EXP(-LN(2)/2)*AB136+(1-EXP(-LN(2)/2))/(LN(2)/2)*V137*Y137*VLOOKUP('Données projet'!$B$9,Paramètres!$A$1:$I$89,3,0)*0.475*44/12</f>
        <v>7.2213542635502485E-15</v>
      </c>
      <c r="AC137" s="22">
        <f t="shared" si="111"/>
        <v>2.270260493053919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-1.0286385077051818E-13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237.22177246688199</v>
      </c>
      <c r="AO137" s="59">
        <f t="shared" si="144"/>
        <v>149.27472147904302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0.17374328332066769</v>
      </c>
      <c r="AW137" s="21">
        <f>EXP(-LN(2)/2)*AW136+(1-EXP(-LN(2)/2))/(LN(2)/2)*AQ137*AT137*VLOOKUP('Données projet'!$B$10,Paramètres!$A$1:$I$89,3,0)*0.475*44/12</f>
        <v>1.3743112990801503E-15</v>
      </c>
      <c r="AX137" s="21">
        <f t="shared" si="114"/>
        <v>0.17374328332066907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210.04871822652808</v>
      </c>
      <c r="BJ137" s="59">
        <f t="shared" si="146"/>
        <v>250.17540614049324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0.93087721721472372</v>
      </c>
      <c r="BQ137" s="21">
        <f>EXP(-LN(2)/25)*BQ136+(1-EXP(-LN(2)/25))/(LN(2)/25)*Calculateur!BL137*Calculateur!BN137*VLOOKUP('Données projet'!$B$11,Paramètres!$A$1:$I$89,3,0)*0.475*44/12</f>
        <v>1.5568241499772864</v>
      </c>
      <c r="BR137" s="21">
        <f>EXP(-LN(2)/2)*BR136+(1-EXP(-LN(2)/2))/(LN(2)/2)*BL137*BO137*VLOOKUP('Données projet'!$B$11,Paramètres!$A$1:$I$89,3,0)*0.475*44/12</f>
        <v>4.7859247092833406E-15</v>
      </c>
      <c r="BS137" s="22">
        <f t="shared" si="117"/>
        <v>2.487701367192015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-5.6843418860808015E-13</v>
      </c>
      <c r="O138" s="13">
        <f>N138*VLOOKUP('Données projet'!$B$9,Paramètres!$A$1:$I$89,3,0)*VLOOKUP('Données projet'!$B$9,Paramètres!$A$1:$I$89,5,0)</f>
        <v>-3.177547114319168E-13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326.31232746914907</v>
      </c>
      <c r="T138" s="59">
        <f t="shared" si="142"/>
        <v>330.17137761430297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0.57099313855483935</v>
      </c>
      <c r="AA138" s="21">
        <f>EXP(-LN(2)/25)*AA137+(1-EXP(-LN(2)/25))/(LN(2)/25)*Calculateur!V138*Calculateur!X138*VLOOKUP('Données projet'!$B$9,Paramètres!$A$1:$I$89,3,0)*0.475*44/12</f>
        <v>1.6416923194674113</v>
      </c>
      <c r="AB138" s="21">
        <f>EXP(-LN(2)/2)*AB137+(1-EXP(-LN(2)/2))/(LN(2)/2)*V138*Y138*VLOOKUP('Données projet'!$B$9,Paramètres!$A$1:$I$89,3,0)*0.475*44/12</f>
        <v>5.1062685691067676E-15</v>
      </c>
      <c r="AC138" s="22">
        <f t="shared" si="111"/>
        <v>2.2126854580222557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-1.0286385077051818E-13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237.22177246688199</v>
      </c>
      <c r="AO138" s="59">
        <f t="shared" si="144"/>
        <v>149.27472147904302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0.16899226410150187</v>
      </c>
      <c r="AW138" s="21">
        <f>EXP(-LN(2)/2)*AW137+(1-EXP(-LN(2)/2))/(LN(2)/2)*AQ138*AT138*VLOOKUP('Données projet'!$B$10,Paramètres!$A$1:$I$89,3,0)*0.475*44/12</f>
        <v>9.7178483904086771E-16</v>
      </c>
      <c r="AX138" s="21">
        <f t="shared" si="114"/>
        <v>0.16899226410150284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210.04871822652808</v>
      </c>
      <c r="BJ138" s="59">
        <f t="shared" si="146"/>
        <v>250.17540614049324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0.91262328276418192</v>
      </c>
      <c r="BQ138" s="21">
        <f>EXP(-LN(2)/25)*BQ137+(1-EXP(-LN(2)/25))/(LN(2)/25)*Calculateur!BL138*Calculateur!BN138*VLOOKUP('Données projet'!$B$11,Paramètres!$A$1:$I$89,3,0)*0.475*44/12</f>
        <v>1.5142527117263336</v>
      </c>
      <c r="BR138" s="21">
        <f>EXP(-LN(2)/2)*BR137+(1-EXP(-LN(2)/2))/(LN(2)/2)*BL138*BO138*VLOOKUP('Données projet'!$B$11,Paramètres!$A$1:$I$89,3,0)*0.475*44/12</f>
        <v>3.3841598161825062E-15</v>
      </c>
      <c r="BS138" s="22">
        <f t="shared" si="117"/>
        <v>2.4268759944905192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-5.6843418860808015E-13</v>
      </c>
      <c r="O139" s="13">
        <f>N139*VLOOKUP('Données projet'!$B$9,Paramètres!$A$1:$I$89,3,0)*VLOOKUP('Données projet'!$B$9,Paramètres!$A$1:$I$89,5,0)</f>
        <v>-3.177547114319168E-13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326.31232746914907</v>
      </c>
      <c r="T139" s="59">
        <f t="shared" si="142"/>
        <v>330.17137761430297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0.55979631137920449</v>
      </c>
      <c r="AA139" s="21">
        <f>EXP(-LN(2)/25)*AA138+(1-EXP(-LN(2)/25))/(LN(2)/25)*Calculateur!V139*Calculateur!X139*VLOOKUP('Données projet'!$B$9,Paramètres!$A$1:$I$89,3,0)*0.475*44/12</f>
        <v>1.596800156658728</v>
      </c>
      <c r="AB139" s="21">
        <f>EXP(-LN(2)/2)*AB138+(1-EXP(-LN(2)/2))/(LN(2)/2)*V139*Y139*VLOOKUP('Données projet'!$B$9,Paramètres!$A$1:$I$89,3,0)*0.475*44/12</f>
        <v>3.6106771317751242E-15</v>
      </c>
      <c r="AC139" s="22">
        <f t="shared" si="111"/>
        <v>2.1565964680379359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-1.0286385077051818E-13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237.22177246688199</v>
      </c>
      <c r="AO139" s="59">
        <f t="shared" si="144"/>
        <v>149.27472147904302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0.16437116175272937</v>
      </c>
      <c r="AW139" s="21">
        <f>EXP(-LN(2)/2)*AW138+(1-EXP(-LN(2)/2))/(LN(2)/2)*AQ139*AT139*VLOOKUP('Données projet'!$B$10,Paramètres!$A$1:$I$89,3,0)*0.475*44/12</f>
        <v>6.8715564954007516E-16</v>
      </c>
      <c r="AX139" s="21">
        <f t="shared" si="114"/>
        <v>0.16437116175273006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210.04871822652808</v>
      </c>
      <c r="BJ139" s="59">
        <f t="shared" si="146"/>
        <v>250.17540614049324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0.89472729683441465</v>
      </c>
      <c r="BQ139" s="21">
        <f>EXP(-LN(2)/25)*BQ138+(1-EXP(-LN(2)/25))/(LN(2)/25)*Calculateur!BL139*Calculateur!BN139*VLOOKUP('Données projet'!$B$11,Paramètres!$A$1:$I$89,3,0)*0.475*44/12</f>
        <v>1.4728453916930877</v>
      </c>
      <c r="BR139" s="21">
        <f>EXP(-LN(2)/2)*BR138+(1-EXP(-LN(2)/2))/(LN(2)/2)*BL139*BO139*VLOOKUP('Données projet'!$B$11,Paramètres!$A$1:$I$89,3,0)*0.475*44/12</f>
        <v>2.3929623546416703E-15</v>
      </c>
      <c r="BS139" s="22">
        <f t="shared" si="117"/>
        <v>2.3675726885275048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-5.6843418860808015E-13</v>
      </c>
      <c r="O140" s="13">
        <f>N140*VLOOKUP('Données projet'!$B$9,Paramètres!$A$1:$I$89,3,0)*VLOOKUP('Données projet'!$B$9,Paramètres!$A$1:$I$89,5,0)</f>
        <v>-3.177547114319168E-13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326.31232746914907</v>
      </c>
      <c r="T140" s="59">
        <f t="shared" si="142"/>
        <v>330.17137761430297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0.54881904715509366</v>
      </c>
      <c r="AA140" s="21">
        <f>EXP(-LN(2)/25)*AA139+(1-EXP(-LN(2)/25))/(LN(2)/25)*Calculateur!V140*Calculateur!X140*VLOOKUP('Données projet'!$B$9,Paramètres!$A$1:$I$89,3,0)*0.475*44/12</f>
        <v>1.5531355724028244</v>
      </c>
      <c r="AB140" s="21">
        <f>EXP(-LN(2)/2)*AB139+(1-EXP(-LN(2)/2))/(LN(2)/2)*V140*Y140*VLOOKUP('Données projet'!$B$9,Paramètres!$A$1:$I$89,3,0)*0.475*44/12</f>
        <v>2.5531342845533838E-15</v>
      </c>
      <c r="AC140" s="22">
        <f t="shared" si="111"/>
        <v>2.1019546195579206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-1.0286385077051818E-13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237.22177246688199</v>
      </c>
      <c r="AO140" s="59">
        <f t="shared" si="144"/>
        <v>149.27472147904302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0.15987642369069727</v>
      </c>
      <c r="AW140" s="21">
        <f>EXP(-LN(2)/2)*AW139+(1-EXP(-LN(2)/2))/(LN(2)/2)*AQ140*AT140*VLOOKUP('Données projet'!$B$10,Paramètres!$A$1:$I$89,3,0)*0.475*44/12</f>
        <v>4.8589241952043386E-16</v>
      </c>
      <c r="AX140" s="21">
        <f t="shared" si="114"/>
        <v>0.15987642369069777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210.04871822652808</v>
      </c>
      <c r="BJ140" s="59">
        <f t="shared" si="146"/>
        <v>250.17540614049324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0.87718224027325653</v>
      </c>
      <c r="BQ140" s="21">
        <f>EXP(-LN(2)/25)*BQ139+(1-EXP(-LN(2)/25))/(LN(2)/25)*Calculateur!BL140*Calculateur!BN140*VLOOKUP('Données projet'!$B$11,Paramètres!$A$1:$I$89,3,0)*0.475*44/12</f>
        <v>1.4325703570036672</v>
      </c>
      <c r="BR140" s="21">
        <f>EXP(-LN(2)/2)*BR139+(1-EXP(-LN(2)/2))/(LN(2)/2)*BL140*BO140*VLOOKUP('Données projet'!$B$11,Paramètres!$A$1:$I$89,3,0)*0.475*44/12</f>
        <v>1.6920799080912531E-15</v>
      </c>
      <c r="BS140" s="22">
        <f t="shared" si="117"/>
        <v>2.3097525972769253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-5.6843418860808015E-13</v>
      </c>
      <c r="O141" s="13">
        <f>N141*VLOOKUP('Données projet'!$B$9,Paramètres!$A$1:$I$89,3,0)*VLOOKUP('Données projet'!$B$9,Paramètres!$A$1:$I$89,5,0)</f>
        <v>-3.177547114319168E-13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326.31232746914907</v>
      </c>
      <c r="T141" s="59">
        <f t="shared" si="142"/>
        <v>330.17137761430297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0.53805704038694757</v>
      </c>
      <c r="AA141" s="21">
        <f>EXP(-LN(2)/25)*AA140+(1-EXP(-LN(2)/25))/(LN(2)/25)*Calculateur!V141*Calculateur!X141*VLOOKUP('Données projet'!$B$9,Paramètres!$A$1:$I$89,3,0)*0.475*44/12</f>
        <v>1.5106649984996192</v>
      </c>
      <c r="AB141" s="21">
        <f>EXP(-LN(2)/2)*AB140+(1-EXP(-LN(2)/2))/(LN(2)/2)*V141*Y141*VLOOKUP('Données projet'!$B$9,Paramètres!$A$1:$I$89,3,0)*0.475*44/12</f>
        <v>1.8053385658875621E-15</v>
      </c>
      <c r="AC141" s="22">
        <f t="shared" si="111"/>
        <v>2.0487220388865683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-1.0286385077051818E-13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237.22177246688199</v>
      </c>
      <c r="AO141" s="59">
        <f t="shared" si="144"/>
        <v>149.27472147904302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0.15550459447733944</v>
      </c>
      <c r="AW141" s="21">
        <f>EXP(-LN(2)/2)*AW140+(1-EXP(-LN(2)/2))/(LN(2)/2)*AQ141*AT141*VLOOKUP('Données projet'!$B$10,Paramètres!$A$1:$I$89,3,0)*0.475*44/12</f>
        <v>3.4357782477003758E-16</v>
      </c>
      <c r="AX141" s="21">
        <f t="shared" si="114"/>
        <v>0.15550459447733977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210.04871822652808</v>
      </c>
      <c r="BJ141" s="59">
        <f t="shared" si="146"/>
        <v>250.17540614049324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0.85998123156983486</v>
      </c>
      <c r="BQ141" s="21">
        <f>EXP(-LN(2)/25)*BQ140+(1-EXP(-LN(2)/25))/(LN(2)/25)*Calculateur!BL141*Calculateur!BN141*VLOOKUP('Données projet'!$B$11,Paramètres!$A$1:$I$89,3,0)*0.475*44/12</f>
        <v>1.3933966452558011</v>
      </c>
      <c r="BR141" s="21">
        <f>EXP(-LN(2)/2)*BR140+(1-EXP(-LN(2)/2))/(LN(2)/2)*BL141*BO141*VLOOKUP('Données projet'!$B$11,Paramètres!$A$1:$I$89,3,0)*0.475*44/12</f>
        <v>1.1964811773208351E-15</v>
      </c>
      <c r="BS141" s="22">
        <f t="shared" si="117"/>
        <v>2.2533778768256374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-5.6843418860808015E-13</v>
      </c>
      <c r="O142" s="13">
        <f>N142*VLOOKUP('Données projet'!$B$9,Paramètres!$A$1:$I$89,3,0)*VLOOKUP('Données projet'!$B$9,Paramètres!$A$1:$I$89,5,0)</f>
        <v>-3.177547114319168E-13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326.31232746914907</v>
      </c>
      <c r="T142" s="59">
        <f t="shared" si="142"/>
        <v>330.17137761430297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0.52750607000734884</v>
      </c>
      <c r="AA142" s="21">
        <f>EXP(-LN(2)/25)*AA141+(1-EXP(-LN(2)/25))/(LN(2)/25)*Calculateur!V142*Calculateur!X142*VLOOKUP('Données projet'!$B$9,Paramètres!$A$1:$I$89,3,0)*0.475*44/12</f>
        <v>1.4693557846732275</v>
      </c>
      <c r="AB142" s="21">
        <f>EXP(-LN(2)/2)*AB141+(1-EXP(-LN(2)/2))/(LN(2)/2)*V142*Y142*VLOOKUP('Données projet'!$B$9,Paramètres!$A$1:$I$89,3,0)*0.475*44/12</f>
        <v>1.2765671422766919E-15</v>
      </c>
      <c r="AC142" s="22">
        <f t="shared" si="111"/>
        <v>1.9968618546805776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-1.0286385077051818E-13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237.22177246688199</v>
      </c>
      <c r="AO142" s="59">
        <f t="shared" si="144"/>
        <v>149.27472147904302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0.15125231316372539</v>
      </c>
      <c r="AW142" s="21">
        <f>EXP(-LN(2)/2)*AW141+(1-EXP(-LN(2)/2))/(LN(2)/2)*AQ142*AT142*VLOOKUP('Données projet'!$B$10,Paramètres!$A$1:$I$89,3,0)*0.475*44/12</f>
        <v>2.4294620976021693E-16</v>
      </c>
      <c r="AX142" s="21">
        <f t="shared" si="114"/>
        <v>0.15125231316372564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210.04871822652808</v>
      </c>
      <c r="BJ142" s="59">
        <f t="shared" si="146"/>
        <v>250.17540614049324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0.843117524155508</v>
      </c>
      <c r="BQ142" s="21">
        <f>EXP(-LN(2)/25)*BQ141+(1-EXP(-LN(2)/25))/(LN(2)/25)*Calculateur!BL142*Calculateur!BN142*VLOOKUP('Données projet'!$B$11,Paramètres!$A$1:$I$89,3,0)*0.475*44/12</f>
        <v>1.3552941407157364</v>
      </c>
      <c r="BR142" s="21">
        <f>EXP(-LN(2)/2)*BR141+(1-EXP(-LN(2)/2))/(LN(2)/2)*BL142*BO142*VLOOKUP('Données projet'!$B$11,Paramètres!$A$1:$I$89,3,0)*0.475*44/12</f>
        <v>8.4603995404562656E-16</v>
      </c>
      <c r="BS142" s="22">
        <f t="shared" si="117"/>
        <v>2.1984116648712453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-5.6843418860808015E-13</v>
      </c>
      <c r="O143" s="13">
        <f>N143*VLOOKUP('Données projet'!$B$9,Paramètres!$A$1:$I$89,3,0)*VLOOKUP('Données projet'!$B$9,Paramètres!$A$1:$I$89,5,0)</f>
        <v>-3.177547114319168E-13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326.31232746914907</v>
      </c>
      <c r="T143" s="59">
        <f t="shared" si="142"/>
        <v>330.17137761430297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0.51716199772143756</v>
      </c>
      <c r="AA143" s="21">
        <f>EXP(-LN(2)/25)*AA142+(1-EXP(-LN(2)/25))/(LN(2)/25)*Calculateur!V143*Calculateur!X143*VLOOKUP('Données projet'!$B$9,Paramètres!$A$1:$I$89,3,0)*0.475*44/12</f>
        <v>1.4291761734712756</v>
      </c>
      <c r="AB143" s="21">
        <f>EXP(-LN(2)/2)*AB142+(1-EXP(-LN(2)/2))/(LN(2)/2)*V143*Y143*VLOOKUP('Données projet'!$B$9,Paramètres!$A$1:$I$89,3,0)*0.475*44/12</f>
        <v>9.0266928294378106E-16</v>
      </c>
      <c r="AC143" s="22">
        <f t="shared" si="111"/>
        <v>1.9463381711927141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-1.0286385077051818E-13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237.22177246688199</v>
      </c>
      <c r="AO143" s="59">
        <f t="shared" si="144"/>
        <v>149.27472147904302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0.14711631070624986</v>
      </c>
      <c r="AW143" s="21">
        <f>EXP(-LN(2)/2)*AW142+(1-EXP(-LN(2)/2))/(LN(2)/2)*AQ143*AT143*VLOOKUP('Données projet'!$B$10,Paramètres!$A$1:$I$89,3,0)*0.475*44/12</f>
        <v>1.7178891238501879E-16</v>
      </c>
      <c r="AX143" s="21">
        <f t="shared" si="114"/>
        <v>0.14711631070625003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210.04871822652808</v>
      </c>
      <c r="BJ143" s="59">
        <f t="shared" si="146"/>
        <v>250.17540614049324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0.82658450375773018</v>
      </c>
      <c r="BQ143" s="21">
        <f>EXP(-LN(2)/25)*BQ142+(1-EXP(-LN(2)/25))/(LN(2)/25)*Calculateur!BL143*Calculateur!BN143*VLOOKUP('Données projet'!$B$11,Paramètres!$A$1:$I$89,3,0)*0.475*44/12</f>
        <v>1.3182335511660432</v>
      </c>
      <c r="BR143" s="21">
        <f>EXP(-LN(2)/2)*BR142+(1-EXP(-LN(2)/2))/(LN(2)/2)*BL143*BO143*VLOOKUP('Données projet'!$B$11,Paramètres!$A$1:$I$89,3,0)*0.475*44/12</f>
        <v>5.9824058866041757E-16</v>
      </c>
      <c r="BS143" s="22">
        <f t="shared" si="117"/>
        <v>2.1448180549237739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-5.6843418860808015E-13</v>
      </c>
      <c r="O144" s="13">
        <f>N144*VLOOKUP('Données projet'!$B$9,Paramètres!$A$1:$I$89,3,0)*VLOOKUP('Données projet'!$B$9,Paramètres!$A$1:$I$89,5,0)</f>
        <v>-3.177547114319168E-13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326.31232746914907</v>
      </c>
      <c r="T144" s="59">
        <f t="shared" si="142"/>
        <v>330.17137761430297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0.5070207663837919</v>
      </c>
      <c r="AA144" s="21">
        <f>EXP(-LN(2)/25)*AA143+(1-EXP(-LN(2)/25))/(LN(2)/25)*Calculateur!V144*Calculateur!X144*VLOOKUP('Données projet'!$B$9,Paramètres!$A$1:$I$89,3,0)*0.475*44/12</f>
        <v>1.3900952758505949</v>
      </c>
      <c r="AB144" s="21">
        <f>EXP(-LN(2)/2)*AB143+(1-EXP(-LN(2)/2))/(LN(2)/2)*V144*Y144*VLOOKUP('Données projet'!$B$9,Paramètres!$A$1:$I$89,3,0)*0.475*44/12</f>
        <v>6.3828357113834595E-16</v>
      </c>
      <c r="AC144" s="22">
        <f t="shared" si="111"/>
        <v>1.8971160422343873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-1.0286385077051818E-13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237.22177246688199</v>
      </c>
      <c r="AO144" s="59">
        <f t="shared" si="144"/>
        <v>149.27472147904302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0.14309340745347693</v>
      </c>
      <c r="AW144" s="21">
        <f>EXP(-LN(2)/2)*AW143+(1-EXP(-LN(2)/2))/(LN(2)/2)*AQ144*AT144*VLOOKUP('Données projet'!$B$10,Paramètres!$A$1:$I$89,3,0)*0.475*44/12</f>
        <v>1.2147310488010846E-16</v>
      </c>
      <c r="AX144" s="21">
        <f t="shared" si="114"/>
        <v>0.14309340745347704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210.04871822652808</v>
      </c>
      <c r="BJ144" s="59">
        <f t="shared" si="146"/>
        <v>250.17540614049324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0.8103756858058061</v>
      </c>
      <c r="BQ144" s="21">
        <f>EXP(-LN(2)/25)*BQ143+(1-EXP(-LN(2)/25))/(LN(2)/25)*Calculateur!BL144*Calculateur!BN144*VLOOKUP('Données projet'!$B$11,Paramètres!$A$1:$I$89,3,0)*0.475*44/12</f>
        <v>1.2821863853865183</v>
      </c>
      <c r="BR144" s="21">
        <f>EXP(-LN(2)/2)*BR143+(1-EXP(-LN(2)/2))/(LN(2)/2)*BL144*BO144*VLOOKUP('Données projet'!$B$11,Paramètres!$A$1:$I$89,3,0)*0.475*44/12</f>
        <v>4.2301997702281328E-16</v>
      </c>
      <c r="BS144" s="22">
        <f t="shared" si="117"/>
        <v>2.092562071192325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-5.6843418860808015E-13</v>
      </c>
      <c r="O145" s="13">
        <f>N145*VLOOKUP('Données projet'!$B$9,Paramètres!$A$1:$I$89,3,0)*VLOOKUP('Données projet'!$B$9,Paramètres!$A$1:$I$89,5,0)</f>
        <v>-3.177547114319168E-13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326.31232746914907</v>
      </c>
      <c r="T145" s="59">
        <f t="shared" si="142"/>
        <v>330.17137761430297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0.49707839840713713</v>
      </c>
      <c r="AA145" s="21">
        <f>EXP(-LN(2)/25)*AA144+(1-EXP(-LN(2)/25))/(LN(2)/25)*Calculateur!V145*Calculateur!X145*VLOOKUP('Données projet'!$B$9,Paramètres!$A$1:$I$89,3,0)*0.475*44/12</f>
        <v>1.352083047430527</v>
      </c>
      <c r="AB145" s="21">
        <f>EXP(-LN(2)/2)*AB144+(1-EXP(-LN(2)/2))/(LN(2)/2)*V145*Y145*VLOOKUP('Données projet'!$B$9,Paramètres!$A$1:$I$89,3,0)*0.475*44/12</f>
        <v>4.5133464147189053E-16</v>
      </c>
      <c r="AC145" s="22">
        <f t="shared" si="111"/>
        <v>1.8491614458376646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-1.0286385077051818E-13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237.22177246688199</v>
      </c>
      <c r="AO145" s="59">
        <f t="shared" si="144"/>
        <v>149.27472147904302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0.13918051070170634</v>
      </c>
      <c r="AW145" s="21">
        <f>EXP(-LN(2)/2)*AW144+(1-EXP(-LN(2)/2))/(LN(2)/2)*AQ145*AT145*VLOOKUP('Données projet'!$B$10,Paramètres!$A$1:$I$89,3,0)*0.475*44/12</f>
        <v>8.5894456192509395E-17</v>
      </c>
      <c r="AX145" s="21">
        <f t="shared" si="114"/>
        <v>0.13918051070170642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210.04871822652808</v>
      </c>
      <c r="BJ145" s="59">
        <f t="shared" si="146"/>
        <v>250.17540614049324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0.79448471288751643</v>
      </c>
      <c r="BQ145" s="21">
        <f>EXP(-LN(2)/25)*BQ144+(1-EXP(-LN(2)/25))/(LN(2)/25)*Calculateur!BL145*Calculateur!BN145*VLOOKUP('Données projet'!$B$11,Paramètres!$A$1:$I$89,3,0)*0.475*44/12</f>
        <v>1.2471249312508725</v>
      </c>
      <c r="BR145" s="21">
        <f>EXP(-LN(2)/2)*BR144+(1-EXP(-LN(2)/2))/(LN(2)/2)*BL145*BO145*VLOOKUP('Données projet'!$B$11,Paramètres!$A$1:$I$89,3,0)*0.475*44/12</f>
        <v>2.9912029433020879E-16</v>
      </c>
      <c r="BS145" s="22">
        <f t="shared" si="117"/>
        <v>2.0416096441383895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-5.6843418860808015E-13</v>
      </c>
      <c r="O146" s="13">
        <f>N146*VLOOKUP('Données projet'!$B$9,Paramètres!$A$1:$I$89,3,0)*VLOOKUP('Données projet'!$B$9,Paramètres!$A$1:$I$89,5,0)</f>
        <v>-3.177547114319168E-13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326.31232746914907</v>
      </c>
      <c r="T146" s="59">
        <f t="shared" si="142"/>
        <v>330.17137761430297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0.48733099420225889</v>
      </c>
      <c r="AA146" s="21">
        <f>EXP(-LN(2)/25)*AA145+(1-EXP(-LN(2)/25))/(LN(2)/25)*Calculateur!V146*Calculateur!X146*VLOOKUP('Données projet'!$B$9,Paramètres!$A$1:$I$89,3,0)*0.475*44/12</f>
        <v>1.315110265395582</v>
      </c>
      <c r="AB146" s="21">
        <f>EXP(-LN(2)/2)*AB145+(1-EXP(-LN(2)/2))/(LN(2)/2)*V146*Y146*VLOOKUP('Données projet'!$B$9,Paramètres!$A$1:$I$89,3,0)*0.475*44/12</f>
        <v>3.1914178556917297E-16</v>
      </c>
      <c r="AC146" s="22">
        <f t="shared" si="111"/>
        <v>1.8024412595978412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-1.0286385077051818E-13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237.22177246688199</v>
      </c>
      <c r="AO146" s="59">
        <f t="shared" si="144"/>
        <v>149.27472147904302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0.13537461231738324</v>
      </c>
      <c r="AW146" s="21">
        <f>EXP(-LN(2)/2)*AW145+(1-EXP(-LN(2)/2))/(LN(2)/2)*AQ146*AT146*VLOOKUP('Données projet'!$B$10,Paramètres!$A$1:$I$89,3,0)*0.475*44/12</f>
        <v>6.0736552440054232E-17</v>
      </c>
      <c r="AX146" s="21">
        <f t="shared" si="114"/>
        <v>0.13537461231738329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210.04871822652808</v>
      </c>
      <c r="BJ146" s="59">
        <f t="shared" si="146"/>
        <v>250.17540614049324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0.77890535225561797</v>
      </c>
      <c r="BQ146" s="21">
        <f>EXP(-LN(2)/25)*BQ145+(1-EXP(-LN(2)/25))/(LN(2)/25)*Calculateur!BL146*Calculateur!BN146*VLOOKUP('Données projet'!$B$11,Paramètres!$A$1:$I$89,3,0)*0.475*44/12</f>
        <v>1.2130222344223676</v>
      </c>
      <c r="BR146" s="21">
        <f>EXP(-LN(2)/2)*BR145+(1-EXP(-LN(2)/2))/(LN(2)/2)*BL146*BO146*VLOOKUP('Données projet'!$B$11,Paramètres!$A$1:$I$89,3,0)*0.475*44/12</f>
        <v>2.1150998851140664E-16</v>
      </c>
      <c r="BS146" s="22">
        <f t="shared" si="117"/>
        <v>1.9919275866779858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-5.6843418860808015E-13</v>
      </c>
      <c r="O147" s="13">
        <f>N147*VLOOKUP('Données projet'!$B$9,Paramètres!$A$1:$I$89,3,0)*VLOOKUP('Données projet'!$B$9,Paramètres!$A$1:$I$89,5,0)</f>
        <v>-3.177547114319168E-13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326.31232746914907</v>
      </c>
      <c r="T147" s="59">
        <f t="shared" si="142"/>
        <v>330.17137761430297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0.47777473064850878</v>
      </c>
      <c r="AA147" s="21">
        <f>EXP(-LN(2)/25)*AA146+(1-EXP(-LN(2)/25))/(LN(2)/25)*Calculateur!V147*Calculateur!X147*VLOOKUP('Données projet'!$B$9,Paramètres!$A$1:$I$89,3,0)*0.475*44/12</f>
        <v>1.2791485060296965</v>
      </c>
      <c r="AB147" s="21">
        <f>EXP(-LN(2)/2)*AB146+(1-EXP(-LN(2)/2))/(LN(2)/2)*V147*Y147*VLOOKUP('Données projet'!$B$9,Paramètres!$A$1:$I$89,3,0)*0.475*44/12</f>
        <v>2.2566732073594527E-16</v>
      </c>
      <c r="AC147" s="22">
        <f t="shared" si="111"/>
        <v>1.7569232366782055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-1.0286385077051818E-13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237.22177246688199</v>
      </c>
      <c r="AO147" s="59">
        <f t="shared" si="144"/>
        <v>149.27472147904302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0.13167278642452293</v>
      </c>
      <c r="AW147" s="21">
        <f>EXP(-LN(2)/2)*AW146+(1-EXP(-LN(2)/2))/(LN(2)/2)*AQ147*AT147*VLOOKUP('Données projet'!$B$10,Paramètres!$A$1:$I$89,3,0)*0.475*44/12</f>
        <v>4.2947228096254698E-17</v>
      </c>
      <c r="AX147" s="21">
        <f t="shared" si="114"/>
        <v>0.13167278642452299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210.04871822652808</v>
      </c>
      <c r="BJ147" s="59">
        <f t="shared" si="146"/>
        <v>250.17540614049324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0.76363149338323943</v>
      </c>
      <c r="BQ147" s="21">
        <f>EXP(-LN(2)/25)*BQ146+(1-EXP(-LN(2)/25))/(LN(2)/25)*Calculateur!BL147*Calculateur!BN147*VLOOKUP('Données projet'!$B$11,Paramètres!$A$1:$I$89,3,0)*0.475*44/12</f>
        <v>1.1798520776320209</v>
      </c>
      <c r="BR147" s="21">
        <f>EXP(-LN(2)/2)*BR146+(1-EXP(-LN(2)/2))/(LN(2)/2)*BL147*BO147*VLOOKUP('Données projet'!$B$11,Paramètres!$A$1:$I$89,3,0)*0.475*44/12</f>
        <v>1.4956014716510439E-16</v>
      </c>
      <c r="BS147" s="22">
        <f t="shared" si="117"/>
        <v>1.9434835710152607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-5.6843418860808015E-13</v>
      </c>
      <c r="O148" s="13">
        <f>N148*VLOOKUP('Données projet'!$B$9,Paramètres!$A$1:$I$89,3,0)*VLOOKUP('Données projet'!$B$9,Paramètres!$A$1:$I$89,5,0)</f>
        <v>-3.177547114319168E-13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326.31232746914907</v>
      </c>
      <c r="T148" s="59">
        <f t="shared" si="142"/>
        <v>330.17137761430297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0.46840585959430248</v>
      </c>
      <c r="AA148" s="21">
        <f>EXP(-LN(2)/25)*AA147+(1-EXP(-LN(2)/25))/(LN(2)/25)*Calculateur!V148*Calculateur!X148*VLOOKUP('Données projet'!$B$9,Paramètres!$A$1:$I$89,3,0)*0.475*44/12</f>
        <v>1.2441701228648181</v>
      </c>
      <c r="AB148" s="21">
        <f>EXP(-LN(2)/2)*AB147+(1-EXP(-LN(2)/2))/(LN(2)/2)*V148*Y148*VLOOKUP('Données projet'!$B$9,Paramètres!$A$1:$I$89,3,0)*0.475*44/12</f>
        <v>1.5957089278458649E-16</v>
      </c>
      <c r="AC148" s="22">
        <f t="shared" si="111"/>
        <v>1.7125759824591207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-1.0286385077051818E-13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237.22177246688199</v>
      </c>
      <c r="AO148" s="59">
        <f t="shared" si="144"/>
        <v>149.27472147904302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0.12807218715537347</v>
      </c>
      <c r="AW148" s="21">
        <f>EXP(-LN(2)/2)*AW147+(1-EXP(-LN(2)/2))/(LN(2)/2)*AQ148*AT148*VLOOKUP('Données projet'!$B$10,Paramètres!$A$1:$I$89,3,0)*0.475*44/12</f>
        <v>3.0368276220027116E-17</v>
      </c>
      <c r="AX148" s="21">
        <f t="shared" si="114"/>
        <v>0.1280721871553735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210.04871822652808</v>
      </c>
      <c r="BJ148" s="59">
        <f t="shared" si="146"/>
        <v>250.17540614049324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0.74865714556721419</v>
      </c>
      <c r="BQ148" s="21">
        <f>EXP(-LN(2)/25)*BQ147+(1-EXP(-LN(2)/25))/(LN(2)/25)*Calculateur!BL148*Calculateur!BN148*VLOOKUP('Données projet'!$B$11,Paramètres!$A$1:$I$89,3,0)*0.475*44/12</f>
        <v>1.1475889605234491</v>
      </c>
      <c r="BR148" s="21">
        <f>EXP(-LN(2)/2)*BR147+(1-EXP(-LN(2)/2))/(LN(2)/2)*BL148*BO148*VLOOKUP('Données projet'!$B$11,Paramètres!$A$1:$I$89,3,0)*0.475*44/12</f>
        <v>1.0575499425570332E-16</v>
      </c>
      <c r="BS148" s="22">
        <f t="shared" si="117"/>
        <v>1.8962461060906632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-5.6843418860808015E-13</v>
      </c>
      <c r="O149" s="13">
        <f>N149*VLOOKUP('Données projet'!$B$9,Paramètres!$A$1:$I$89,3,0)*VLOOKUP('Données projet'!$B$9,Paramètres!$A$1:$I$89,5,0)</f>
        <v>-3.177547114319168E-13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326.31232746914907</v>
      </c>
      <c r="T149" s="59">
        <f t="shared" si="142"/>
        <v>330.17137761430297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0.45922070638702212</v>
      </c>
      <c r="AA149" s="21">
        <f>EXP(-LN(2)/25)*AA148+(1-EXP(-LN(2)/25))/(LN(2)/25)*Calculateur!V149*Calculateur!X149*VLOOKUP('Données projet'!$B$9,Paramètres!$A$1:$I$89,3,0)*0.475*44/12</f>
        <v>1.2101482254270164</v>
      </c>
      <c r="AB149" s="21">
        <f>EXP(-LN(2)/2)*AB148+(1-EXP(-LN(2)/2))/(LN(2)/2)*V149*Y149*VLOOKUP('Données projet'!$B$9,Paramètres!$A$1:$I$89,3,0)*0.475*44/12</f>
        <v>1.1283366036797263E-16</v>
      </c>
      <c r="AC149" s="22">
        <f t="shared" si="111"/>
        <v>1.6693689318140388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-1.0286385077051818E-13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237.22177246688199</v>
      </c>
      <c r="AO149" s="59">
        <f t="shared" si="144"/>
        <v>149.27472147904302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0.12457004646258617</v>
      </c>
      <c r="AW149" s="21">
        <f>EXP(-LN(2)/2)*AW148+(1-EXP(-LN(2)/2))/(LN(2)/2)*AQ149*AT149*VLOOKUP('Données projet'!$B$10,Paramètres!$A$1:$I$89,3,0)*0.475*44/12</f>
        <v>2.1473614048127349E-17</v>
      </c>
      <c r="AX149" s="21">
        <f t="shared" si="114"/>
        <v>0.1245700464625862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210.04871822652808</v>
      </c>
      <c r="BJ149" s="59">
        <f t="shared" si="146"/>
        <v>250.17540614049324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0.73397643557841086</v>
      </c>
      <c r="BQ149" s="21">
        <f>EXP(-LN(2)/25)*BQ148+(1-EXP(-LN(2)/25))/(LN(2)/25)*Calculateur!BL149*Calculateur!BN149*VLOOKUP('Données projet'!$B$11,Paramètres!$A$1:$I$89,3,0)*0.475*44/12</f>
        <v>1.1162080800488547</v>
      </c>
      <c r="BR149" s="21">
        <f>EXP(-LN(2)/2)*BR148+(1-EXP(-LN(2)/2))/(LN(2)/2)*BL149*BO149*VLOOKUP('Données projet'!$B$11,Paramètres!$A$1:$I$89,3,0)*0.475*44/12</f>
        <v>7.4780073582552197E-17</v>
      </c>
      <c r="BS149" s="22">
        <f t="shared" si="117"/>
        <v>1.8501845156272656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-5.6843418860808015E-13</v>
      </c>
      <c r="O150" s="13">
        <f>N150*VLOOKUP('Données projet'!$B$9,Paramètres!$A$1:$I$89,3,0)*VLOOKUP('Données projet'!$B$9,Paramètres!$A$1:$I$89,5,0)</f>
        <v>-3.177547114319168E-13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326.31232746914907</v>
      </c>
      <c r="T150" s="59">
        <f t="shared" si="142"/>
        <v>330.17137761430297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0.45021566843174621</v>
      </c>
      <c r="AA150" s="21">
        <f>EXP(-LN(2)/25)*AA149+(1-EXP(-LN(2)/25))/(LN(2)/25)*Calculateur!V150*Calculateur!X150*VLOOKUP('Données projet'!$B$9,Paramètres!$A$1:$I$89,3,0)*0.475*44/12</f>
        <v>1.1770566585637854</v>
      </c>
      <c r="AB150" s="21">
        <f>EXP(-LN(2)/2)*AB149+(1-EXP(-LN(2)/2))/(LN(2)/2)*V150*Y150*VLOOKUP('Données projet'!$B$9,Paramètres!$A$1:$I$89,3,0)*0.475*44/12</f>
        <v>7.9785446392293243E-17</v>
      </c>
      <c r="AC150" s="22">
        <f t="shared" si="111"/>
        <v>1.6272723269955316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-1.0286385077051818E-13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237.22177246688199</v>
      </c>
      <c r="AO150" s="59">
        <f t="shared" si="144"/>
        <v>149.27472147904302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0.12116367199121271</v>
      </c>
      <c r="AW150" s="21">
        <f>EXP(-LN(2)/2)*AW149+(1-EXP(-LN(2)/2))/(LN(2)/2)*AQ150*AT150*VLOOKUP('Données projet'!$B$10,Paramètres!$A$1:$I$89,3,0)*0.475*44/12</f>
        <v>1.5184138110013558E-17</v>
      </c>
      <c r="AX150" s="21">
        <f t="shared" si="114"/>
        <v>0.12116367199121272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210.04871822652808</v>
      </c>
      <c r="BJ150" s="59">
        <f t="shared" si="146"/>
        <v>250.17540614049324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0.71958360535813903</v>
      </c>
      <c r="BQ150" s="21">
        <f>EXP(-LN(2)/25)*BQ149+(1-EXP(-LN(2)/25))/(LN(2)/25)*Calculateur!BL150*Calculateur!BN150*VLOOKUP('Données projet'!$B$11,Paramètres!$A$1:$I$89,3,0)*0.475*44/12</f>
        <v>1.0856853114010869</v>
      </c>
      <c r="BR150" s="21">
        <f>EXP(-LN(2)/2)*BR149+(1-EXP(-LN(2)/2))/(LN(2)/2)*BL150*BO150*VLOOKUP('Données projet'!$B$11,Paramètres!$A$1:$I$89,3,0)*0.475*44/12</f>
        <v>5.287749712785166E-17</v>
      </c>
      <c r="BS150" s="22">
        <f t="shared" si="117"/>
        <v>1.805268916759226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-5.6843418860808015E-13</v>
      </c>
      <c r="O151" s="13">
        <f>N151*VLOOKUP('Données projet'!$B$9,Paramètres!$A$1:$I$89,3,0)*VLOOKUP('Données projet'!$B$9,Paramètres!$A$1:$I$89,5,0)</f>
        <v>-3.177547114319168E-13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326.31232746914907</v>
      </c>
      <c r="T151" s="59">
        <f t="shared" si="142"/>
        <v>330.17137761430297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0.44138721377824247</v>
      </c>
      <c r="AA151" s="21">
        <f>EXP(-LN(2)/25)*AA150+(1-EXP(-LN(2)/25))/(LN(2)/25)*Calculateur!V151*Calculateur!X151*VLOOKUP('Données projet'!$B$9,Paramètres!$A$1:$I$89,3,0)*0.475*44/12</f>
        <v>1.1448699823366393</v>
      </c>
      <c r="AB151" s="21">
        <f>EXP(-LN(2)/2)*AB150+(1-EXP(-LN(2)/2))/(LN(2)/2)*V151*Y151*VLOOKUP('Données projet'!$B$9,Paramètres!$A$1:$I$89,3,0)*0.475*44/12</f>
        <v>5.6416830183986316E-17</v>
      </c>
      <c r="AC151" s="22">
        <f t="shared" si="111"/>
        <v>1.5862571961148817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-1.0286385077051818E-13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237.22177246688199</v>
      </c>
      <c r="AO151" s="59">
        <f t="shared" si="144"/>
        <v>149.27472147904302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0.11785044500889241</v>
      </c>
      <c r="AW151" s="21">
        <f>EXP(-LN(2)/2)*AW150+(1-EXP(-LN(2)/2))/(LN(2)/2)*AQ151*AT151*VLOOKUP('Données projet'!$B$10,Paramètres!$A$1:$I$89,3,0)*0.475*44/12</f>
        <v>1.0736807024063674E-17</v>
      </c>
      <c r="AX151" s="21">
        <f t="shared" si="114"/>
        <v>0.11785044500889243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210.04871822652808</v>
      </c>
      <c r="BJ151" s="59">
        <f t="shared" si="146"/>
        <v>250.17540614049324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0.70547300975972715</v>
      </c>
      <c r="BQ151" s="21">
        <f>EXP(-LN(2)/25)*BQ150+(1-EXP(-LN(2)/25))/(LN(2)/25)*Calculateur!BL151*Calculateur!BN151*VLOOKUP('Données projet'!$B$11,Paramètres!$A$1:$I$89,3,0)*0.475*44/12</f>
        <v>1.055997189467115</v>
      </c>
      <c r="BR151" s="21">
        <f>EXP(-LN(2)/2)*BR150+(1-EXP(-LN(2)/2))/(LN(2)/2)*BL151*BO151*VLOOKUP('Données projet'!$B$11,Paramètres!$A$1:$I$89,3,0)*0.475*44/12</f>
        <v>3.7390036791276098E-17</v>
      </c>
      <c r="BS151" s="22">
        <f t="shared" si="117"/>
        <v>1.7614701992268422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-5.6843418860808015E-13</v>
      </c>
      <c r="O152" s="13">
        <f>N152*VLOOKUP('Données projet'!$B$9,Paramètres!$A$1:$I$89,3,0)*VLOOKUP('Données projet'!$B$9,Paramètres!$A$1:$I$89,5,0)</f>
        <v>-3.177547114319168E-13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326.31232746914907</v>
      </c>
      <c r="T152" s="59">
        <f t="shared" si="142"/>
        <v>330.17137761430297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0.43273187973566829</v>
      </c>
      <c r="AA152" s="21">
        <f>EXP(-LN(2)/25)*AA151+(1-EXP(-LN(2)/25))/(LN(2)/25)*Calculateur!V152*Calculateur!X152*VLOOKUP('Données projet'!$B$9,Paramètres!$A$1:$I$89,3,0)*0.475*44/12</f>
        <v>1.113563452463548</v>
      </c>
      <c r="AB152" s="21">
        <f>EXP(-LN(2)/2)*AB151+(1-EXP(-LN(2)/2))/(LN(2)/2)*V152*Y152*VLOOKUP('Données projet'!$B$9,Paramètres!$A$1:$I$89,3,0)*0.475*44/12</f>
        <v>3.9892723196146622E-17</v>
      </c>
      <c r="AC152" s="22">
        <f t="shared" si="111"/>
        <v>1.5462953321992163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-1.0286385077051818E-13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237.22177246688199</v>
      </c>
      <c r="AO152" s="59">
        <f t="shared" si="144"/>
        <v>149.27472147904302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0.11462781839263869</v>
      </c>
      <c r="AW152" s="21">
        <f>EXP(-LN(2)/2)*AW151+(1-EXP(-LN(2)/2))/(LN(2)/2)*AQ152*AT152*VLOOKUP('Données projet'!$B$10,Paramètres!$A$1:$I$89,3,0)*0.475*44/12</f>
        <v>7.592069055006779E-18</v>
      </c>
      <c r="AX152" s="21">
        <f t="shared" si="114"/>
        <v>0.11462781839263871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210.04871822652808</v>
      </c>
      <c r="BJ152" s="59">
        <f t="shared" si="146"/>
        <v>250.17540614049324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0.69163911433438663</v>
      </c>
      <c r="BQ152" s="21">
        <f>EXP(-LN(2)/25)*BQ151+(1-EXP(-LN(2)/25))/(LN(2)/25)*Calculateur!BL152*Calculateur!BN152*VLOOKUP('Données projet'!$B$11,Paramètres!$A$1:$I$89,3,0)*0.475*44/12</f>
        <v>1.027120890788658</v>
      </c>
      <c r="BR152" s="21">
        <f>EXP(-LN(2)/2)*BR151+(1-EXP(-LN(2)/2))/(LN(2)/2)*BL152*BO152*VLOOKUP('Données projet'!$B$11,Paramètres!$A$1:$I$89,3,0)*0.475*44/12</f>
        <v>2.643874856392583E-17</v>
      </c>
      <c r="BS152" s="22">
        <f t="shared" si="117"/>
        <v>1.7187600051230447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-5.6843418860808015E-13</v>
      </c>
      <c r="O153" s="13">
        <f>N153*VLOOKUP('Données projet'!$B$9,Paramètres!$A$1:$I$89,3,0)*VLOOKUP('Données projet'!$B$9,Paramètres!$A$1:$I$89,5,0)</f>
        <v>-3.177547114319168E-13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326.31232746914907</v>
      </c>
      <c r="T153" s="59">
        <f t="shared" si="142"/>
        <v>330.17137761430297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0.4242462715144365</v>
      </c>
      <c r="AA153" s="21">
        <f>EXP(-LN(2)/25)*AA152+(1-EXP(-LN(2)/25))/(LN(2)/25)*Calculateur!V153*Calculateur!X153*VLOOKUP('Données projet'!$B$9,Paramètres!$A$1:$I$89,3,0)*0.475*44/12</f>
        <v>1.0831130012961754</v>
      </c>
      <c r="AB153" s="21">
        <f>EXP(-LN(2)/2)*AB152+(1-EXP(-LN(2)/2))/(LN(2)/2)*V153*Y153*VLOOKUP('Données projet'!$B$9,Paramètres!$A$1:$I$89,3,0)*0.475*44/12</f>
        <v>2.8208415091993158E-17</v>
      </c>
      <c r="AC153" s="22">
        <f t="shared" si="111"/>
        <v>1.507359272810612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-1.0286385077051818E-13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237.22177246688199</v>
      </c>
      <c r="AO153" s="59">
        <f t="shared" si="144"/>
        <v>149.27472147904302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0.111493314670677</v>
      </c>
      <c r="AW153" s="21">
        <f>EXP(-LN(2)/2)*AW152+(1-EXP(-LN(2)/2))/(LN(2)/2)*AQ153*AT153*VLOOKUP('Données projet'!$B$10,Paramètres!$A$1:$I$89,3,0)*0.475*44/12</f>
        <v>5.3684035120318372E-18</v>
      </c>
      <c r="AX153" s="21">
        <f t="shared" si="114"/>
        <v>0.111493314670677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210.04871822652808</v>
      </c>
      <c r="BJ153" s="59">
        <f t="shared" si="146"/>
        <v>250.17540614049324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0.67807649316049401</v>
      </c>
      <c r="BQ153" s="21">
        <f>EXP(-LN(2)/25)*BQ152+(1-EXP(-LN(2)/25))/(LN(2)/25)*Calculateur!BL153*Calculateur!BN153*VLOOKUP('Données projet'!$B$11,Paramètres!$A$1:$I$89,3,0)*0.475*44/12</f>
        <v>0.99903421601610198</v>
      </c>
      <c r="BR153" s="21">
        <f>EXP(-LN(2)/2)*BR152+(1-EXP(-LN(2)/2))/(LN(2)/2)*BL153*BO153*VLOOKUP('Données projet'!$B$11,Paramètres!$A$1:$I$89,3,0)*0.475*44/12</f>
        <v>1.8695018395638049E-17</v>
      </c>
      <c r="BS153" s="22">
        <f t="shared" si="117"/>
        <v>1.677110709176596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-5.6843418860808015E-13</v>
      </c>
      <c r="O154" s="13">
        <f>N154*VLOOKUP('Données projet'!$B$9,Paramètres!$A$1:$I$89,3,0)*VLOOKUP('Données projet'!$B$9,Paramètres!$A$1:$I$89,5,0)</f>
        <v>-3.177547114319168E-13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326.31232746914907</v>
      </c>
      <c r="T154" s="59">
        <f t="shared" si="142"/>
        <v>330.17137761430297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0.41592706089471315</v>
      </c>
      <c r="AA154" s="21">
        <f>EXP(-LN(2)/25)*AA153+(1-EXP(-LN(2)/25))/(LN(2)/25)*Calculateur!V154*Calculateur!X154*VLOOKUP('Données projet'!$B$9,Paramètres!$A$1:$I$89,3,0)*0.475*44/12</f>
        <v>1.0534952193172942</v>
      </c>
      <c r="AB154" s="21">
        <f>EXP(-LN(2)/2)*AB153+(1-EXP(-LN(2)/2))/(LN(2)/2)*V154*Y154*VLOOKUP('Données projet'!$B$9,Paramètres!$A$1:$I$89,3,0)*0.475*44/12</f>
        <v>1.9946361598073311E-17</v>
      </c>
      <c r="AC154" s="22">
        <f t="shared" ref="AC154:AC203" si="163">SUM(Z154:AB154)</f>
        <v>1.4694222802120074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-1.0286385077051818E-13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237.22177246688199</v>
      </c>
      <c r="AO154" s="59">
        <f t="shared" si="144"/>
        <v>149.27472147904302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0.10844452411782873</v>
      </c>
      <c r="AW154" s="21">
        <f>EXP(-LN(2)/2)*AW153+(1-EXP(-LN(2)/2))/(LN(2)/2)*AQ154*AT154*VLOOKUP('Données projet'!$B$10,Paramètres!$A$1:$I$89,3,0)*0.475*44/12</f>
        <v>3.7960345275033895E-18</v>
      </c>
      <c r="AX154" s="21">
        <f t="shared" ref="AX154:AX203" si="166">SUM(AU154:AW154)</f>
        <v>0.10844452411782873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210.04871822652808</v>
      </c>
      <c r="BJ154" s="59">
        <f t="shared" si="146"/>
        <v>250.17540614049324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0.66477982671543934</v>
      </c>
      <c r="BQ154" s="21">
        <f>EXP(-LN(2)/25)*BQ153+(1-EXP(-LN(2)/25))/(LN(2)/25)*Calculateur!BL154*Calculateur!BN154*VLOOKUP('Données projet'!$B$11,Paramètres!$A$1:$I$89,3,0)*0.475*44/12</f>
        <v>0.97171557284221555</v>
      </c>
      <c r="BR154" s="21">
        <f>EXP(-LN(2)/2)*BR153+(1-EXP(-LN(2)/2))/(LN(2)/2)*BL154*BO154*VLOOKUP('Données projet'!$B$11,Paramètres!$A$1:$I$89,3,0)*0.475*44/12</f>
        <v>1.3219374281962915E-17</v>
      </c>
      <c r="BS154" s="22">
        <f t="shared" ref="BS154:BS203" si="169">SUM(BP154:BR154)</f>
        <v>1.636495399557655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-5.6843418860808015E-13</v>
      </c>
      <c r="O155" s="13">
        <f>N155*VLOOKUP('Données projet'!$B$9,Paramètres!$A$1:$I$89,3,0)*VLOOKUP('Données projet'!$B$9,Paramètres!$A$1:$I$89,5,0)</f>
        <v>-3.177547114319168E-13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326.31232746914907</v>
      </c>
      <c r="T155" s="59">
        <f t="shared" si="142"/>
        <v>330.17137761430297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0.40777098492102515</v>
      </c>
      <c r="AA155" s="21">
        <f>EXP(-LN(2)/25)*AA154+(1-EXP(-LN(2)/25))/(LN(2)/25)*Calculateur!V155*Calculateur!X155*VLOOKUP('Données projet'!$B$9,Paramètres!$A$1:$I$89,3,0)*0.475*44/12</f>
        <v>1.0246873371441569</v>
      </c>
      <c r="AB155" s="21">
        <f>EXP(-LN(2)/2)*AB154+(1-EXP(-LN(2)/2))/(LN(2)/2)*V155*Y155*VLOOKUP('Données projet'!$B$9,Paramètres!$A$1:$I$89,3,0)*0.475*44/12</f>
        <v>1.4104207545996579E-17</v>
      </c>
      <c r="AC155" s="22">
        <f t="shared" si="163"/>
        <v>1.4324583220651821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-1.0286385077051818E-13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237.22177246688199</v>
      </c>
      <c r="AO155" s="59">
        <f t="shared" si="144"/>
        <v>149.27472147904302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0.10547910290297703</v>
      </c>
      <c r="AW155" s="21">
        <f>EXP(-LN(2)/2)*AW154+(1-EXP(-LN(2)/2))/(LN(2)/2)*AQ155*AT155*VLOOKUP('Données projet'!$B$10,Paramètres!$A$1:$I$89,3,0)*0.475*44/12</f>
        <v>2.6842017560159186E-18</v>
      </c>
      <c r="AX155" s="21">
        <f t="shared" si="166"/>
        <v>0.10547910290297703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210.04871822652808</v>
      </c>
      <c r="BJ155" s="59">
        <f t="shared" si="146"/>
        <v>250.17540614049324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0.65174389978920644</v>
      </c>
      <c r="BQ155" s="21">
        <f>EXP(-LN(2)/25)*BQ154+(1-EXP(-LN(2)/25))/(LN(2)/25)*Calculateur!BL155*Calculateur!BN155*VLOOKUP('Données projet'!$B$11,Paramètres!$A$1:$I$89,3,0)*0.475*44/12</f>
        <v>0.94514395940254403</v>
      </c>
      <c r="BR155" s="21">
        <f>EXP(-LN(2)/2)*BR154+(1-EXP(-LN(2)/2))/(LN(2)/2)*BL155*BO155*VLOOKUP('Données projet'!$B$11,Paramètres!$A$1:$I$89,3,0)*0.475*44/12</f>
        <v>9.3475091978190246E-18</v>
      </c>
      <c r="BS155" s="22">
        <f t="shared" si="169"/>
        <v>1.5968878591917504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-5.6843418860808015E-13</v>
      </c>
      <c r="O156" s="13">
        <f>N156*VLOOKUP('Données projet'!$B$9,Paramètres!$A$1:$I$89,3,0)*VLOOKUP('Données projet'!$B$9,Paramètres!$A$1:$I$89,5,0)</f>
        <v>-3.177547114319168E-13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326.31232746914907</v>
      </c>
      <c r="T156" s="59">
        <f t="shared" si="142"/>
        <v>330.17137761430297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0.39977484462246599</v>
      </c>
      <c r="AA156" s="21">
        <f>EXP(-LN(2)/25)*AA155+(1-EXP(-LN(2)/25))/(LN(2)/25)*Calculateur!V156*Calculateur!X156*VLOOKUP('Données projet'!$B$9,Paramètres!$A$1:$I$89,3,0)*0.475*44/12</f>
        <v>0.9966672080239849</v>
      </c>
      <c r="AB156" s="21">
        <f>EXP(-LN(2)/2)*AB155+(1-EXP(-LN(2)/2))/(LN(2)/2)*V156*Y156*VLOOKUP('Données projet'!$B$9,Paramètres!$A$1:$I$89,3,0)*0.475*44/12</f>
        <v>9.9731807990366554E-18</v>
      </c>
      <c r="AC156" s="22">
        <f t="shared" si="163"/>
        <v>1.3964420526464509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-1.0286385077051818E-13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237.22177246688199</v>
      </c>
      <c r="AO156" s="59">
        <f t="shared" si="144"/>
        <v>149.27472147904302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0.10259477128719018</v>
      </c>
      <c r="AW156" s="21">
        <f>EXP(-LN(2)/2)*AW155+(1-EXP(-LN(2)/2))/(LN(2)/2)*AQ156*AT156*VLOOKUP('Données projet'!$B$10,Paramètres!$A$1:$I$89,3,0)*0.475*44/12</f>
        <v>1.8980172637516947E-18</v>
      </c>
      <c r="AX156" s="21">
        <f t="shared" si="166"/>
        <v>0.10259477128719018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210.04871822652808</v>
      </c>
      <c r="BJ156" s="59">
        <f t="shared" si="146"/>
        <v>250.17540614049324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0.63896359943886671</v>
      </c>
      <c r="BQ156" s="21">
        <f>EXP(-LN(2)/25)*BQ155+(1-EXP(-LN(2)/25))/(LN(2)/25)*Calculateur!BL156*Calculateur!BN156*VLOOKUP('Données projet'!$B$11,Paramètres!$A$1:$I$89,3,0)*0.475*44/12</f>
        <v>0.91929894812972079</v>
      </c>
      <c r="BR156" s="21">
        <f>EXP(-LN(2)/2)*BR155+(1-EXP(-LN(2)/2))/(LN(2)/2)*BL156*BO156*VLOOKUP('Données projet'!$B$11,Paramètres!$A$1:$I$89,3,0)*0.475*44/12</f>
        <v>6.6096871409814575E-18</v>
      </c>
      <c r="BS156" s="22">
        <f t="shared" si="169"/>
        <v>1.5582625475685874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-5.6843418860808015E-13</v>
      </c>
      <c r="O157" s="13">
        <f>N157*VLOOKUP('Données projet'!$B$9,Paramètres!$A$1:$I$89,3,0)*VLOOKUP('Données projet'!$B$9,Paramètres!$A$1:$I$89,5,0)</f>
        <v>-3.177547114319168E-13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326.31232746914907</v>
      </c>
      <c r="T157" s="59">
        <f t="shared" si="142"/>
        <v>330.17137761430297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0.39193550375799757</v>
      </c>
      <c r="AA157" s="21">
        <f>EXP(-LN(2)/25)*AA156+(1-EXP(-LN(2)/25))/(LN(2)/25)*Calculateur!V157*Calculateur!X157*VLOOKUP('Données projet'!$B$9,Paramètres!$A$1:$I$89,3,0)*0.475*44/12</f>
        <v>0.96941329080811844</v>
      </c>
      <c r="AB157" s="21">
        <f>EXP(-LN(2)/2)*AB156+(1-EXP(-LN(2)/2))/(LN(2)/2)*V157*Y157*VLOOKUP('Données projet'!$B$9,Paramètres!$A$1:$I$89,3,0)*0.475*44/12</f>
        <v>7.0521037729982895E-18</v>
      </c>
      <c r="AC157" s="22">
        <f t="shared" si="163"/>
        <v>1.361348794566116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-1.0286385077051818E-13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237.22177246688199</v>
      </c>
      <c r="AO157" s="59">
        <f t="shared" si="144"/>
        <v>149.27472147904302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9.978931187111742E-2</v>
      </c>
      <c r="AW157" s="21">
        <f>EXP(-LN(2)/2)*AW156+(1-EXP(-LN(2)/2))/(LN(2)/2)*AQ157*AT157*VLOOKUP('Données projet'!$B$10,Paramètres!$A$1:$I$89,3,0)*0.475*44/12</f>
        <v>1.3421008780079593E-18</v>
      </c>
      <c r="AX157" s="21">
        <f t="shared" si="166"/>
        <v>9.978931187111742E-2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210.04871822652808</v>
      </c>
      <c r="BJ157" s="59">
        <f t="shared" si="146"/>
        <v>250.17540614049324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0.62643391298318363</v>
      </c>
      <c r="BQ157" s="21">
        <f>EXP(-LN(2)/25)*BQ156+(1-EXP(-LN(2)/25))/(LN(2)/25)*Calculateur!BL157*Calculateur!BN157*VLOOKUP('Données projet'!$B$11,Paramètres!$A$1:$I$89,3,0)*0.475*44/12</f>
        <v>0.89416067004928301</v>
      </c>
      <c r="BR157" s="21">
        <f>EXP(-LN(2)/2)*BR156+(1-EXP(-LN(2)/2))/(LN(2)/2)*BL157*BO157*VLOOKUP('Données projet'!$B$11,Paramètres!$A$1:$I$89,3,0)*0.475*44/12</f>
        <v>4.6737545989095123E-18</v>
      </c>
      <c r="BS157" s="22">
        <f t="shared" si="169"/>
        <v>1.5205945830324668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-5.6843418860808015E-13</v>
      </c>
      <c r="O158" s="13">
        <f>N158*VLOOKUP('Données projet'!$B$9,Paramètres!$A$1:$I$89,3,0)*VLOOKUP('Données projet'!$B$9,Paramètres!$A$1:$I$89,5,0)</f>
        <v>-3.177547114319168E-13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326.31232746914907</v>
      </c>
      <c r="T158" s="59">
        <f t="shared" si="142"/>
        <v>330.17137761430297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0.38424988758635559</v>
      </c>
      <c r="AA158" s="21">
        <f>EXP(-LN(2)/25)*AA157+(1-EXP(-LN(2)/25))/(LN(2)/25)*Calculateur!V158*Calculateur!X158*VLOOKUP('Données projet'!$B$9,Paramètres!$A$1:$I$89,3,0)*0.475*44/12</f>
        <v>0.94290463339174113</v>
      </c>
      <c r="AB158" s="21">
        <f>EXP(-LN(2)/2)*AB157+(1-EXP(-LN(2)/2))/(LN(2)/2)*V158*Y158*VLOOKUP('Données projet'!$B$9,Paramètres!$A$1:$I$89,3,0)*0.475*44/12</f>
        <v>4.9865903995183277E-18</v>
      </c>
      <c r="AC158" s="22">
        <f t="shared" si="163"/>
        <v>1.3271545209780968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-1.0286385077051818E-13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237.22177246688199</v>
      </c>
      <c r="AO158" s="59">
        <f t="shared" si="144"/>
        <v>149.27472147904302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9.7060567890309868E-2</v>
      </c>
      <c r="AW158" s="21">
        <f>EXP(-LN(2)/2)*AW157+(1-EXP(-LN(2)/2))/(LN(2)/2)*AQ158*AT158*VLOOKUP('Données projet'!$B$10,Paramètres!$A$1:$I$89,3,0)*0.475*44/12</f>
        <v>9.4900863187584737E-19</v>
      </c>
      <c r="AX158" s="21">
        <f t="shared" si="166"/>
        <v>9.7060567890309868E-2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210.04871822652808</v>
      </c>
      <c r="BJ158" s="59">
        <f t="shared" si="146"/>
        <v>250.17540614049324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0.61414992603654239</v>
      </c>
      <c r="BQ158" s="21">
        <f>EXP(-LN(2)/25)*BQ157+(1-EXP(-LN(2)/25))/(LN(2)/25)*Calculateur!BL158*Calculateur!BN158*VLOOKUP('Données projet'!$B$11,Paramètres!$A$1:$I$89,3,0)*0.475*44/12</f>
        <v>0.86970979950491933</v>
      </c>
      <c r="BR158" s="21">
        <f>EXP(-LN(2)/2)*BR157+(1-EXP(-LN(2)/2))/(LN(2)/2)*BL158*BO158*VLOOKUP('Données projet'!$B$11,Paramètres!$A$1:$I$89,3,0)*0.475*44/12</f>
        <v>3.3048435704907287E-18</v>
      </c>
      <c r="BS158" s="22">
        <f t="shared" si="169"/>
        <v>1.4838597255414618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-5.6843418860808015E-13</v>
      </c>
      <c r="O159" s="13">
        <f>N159*VLOOKUP('Données projet'!$B$9,Paramètres!$A$1:$I$89,3,0)*VLOOKUP('Données projet'!$B$9,Paramètres!$A$1:$I$89,5,0)</f>
        <v>-3.177547114319168E-13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326.31232746914907</v>
      </c>
      <c r="T159" s="59">
        <f t="shared" si="142"/>
        <v>330.17137761430297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0.37671498166007655</v>
      </c>
      <c r="AA159" s="21">
        <f>EXP(-LN(2)/25)*AA158+(1-EXP(-LN(2)/25))/(LN(2)/25)*Calculateur!V159*Calculateur!X159*VLOOKUP('Données projet'!$B$9,Paramètres!$A$1:$I$89,3,0)*0.475*44/12</f>
        <v>0.91712085660644438</v>
      </c>
      <c r="AB159" s="21">
        <f>EXP(-LN(2)/2)*AB158+(1-EXP(-LN(2)/2))/(LN(2)/2)*V159*Y159*VLOOKUP('Données projet'!$B$9,Paramètres!$A$1:$I$89,3,0)*0.475*44/12</f>
        <v>3.5260518864991448E-18</v>
      </c>
      <c r="AC159" s="22">
        <f t="shared" si="163"/>
        <v>1.2938358382665209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-1.0286385077051818E-13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237.22177246688199</v>
      </c>
      <c r="AO159" s="59">
        <f t="shared" si="144"/>
        <v>149.27472147904302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9.4406441557155912E-2</v>
      </c>
      <c r="AW159" s="21">
        <f>EXP(-LN(2)/2)*AW158+(1-EXP(-LN(2)/2))/(LN(2)/2)*AQ159*AT159*VLOOKUP('Données projet'!$B$10,Paramètres!$A$1:$I$89,3,0)*0.475*44/12</f>
        <v>6.7105043900397965E-19</v>
      </c>
      <c r="AX159" s="21">
        <f t="shared" si="166"/>
        <v>9.4406441557155912E-2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210.04871822652808</v>
      </c>
      <c r="BJ159" s="59">
        <f t="shared" si="146"/>
        <v>250.17540614049324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0.6021068205814325</v>
      </c>
      <c r="BQ159" s="21">
        <f>EXP(-LN(2)/25)*BQ158+(1-EXP(-LN(2)/25))/(LN(2)/25)*Calculateur!BL159*Calculateur!BN159*VLOOKUP('Données projet'!$B$11,Paramètres!$A$1:$I$89,3,0)*0.475*44/12</f>
        <v>0.84592753930140674</v>
      </c>
      <c r="BR159" s="21">
        <f>EXP(-LN(2)/2)*BR158+(1-EXP(-LN(2)/2))/(LN(2)/2)*BL159*BO159*VLOOKUP('Données projet'!$B$11,Paramètres!$A$1:$I$89,3,0)*0.475*44/12</f>
        <v>2.3368772994547561E-18</v>
      </c>
      <c r="BS159" s="22">
        <f t="shared" si="169"/>
        <v>1.4480343598828394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-5.6843418860808015E-13</v>
      </c>
      <c r="O160" s="13">
        <f>N160*VLOOKUP('Données projet'!$B$9,Paramètres!$A$1:$I$89,3,0)*VLOOKUP('Données projet'!$B$9,Paramètres!$A$1:$I$89,5,0)</f>
        <v>-3.177547114319168E-13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326.31232746914907</v>
      </c>
      <c r="T160" s="59">
        <f t="shared" si="142"/>
        <v>330.17137761430297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0.36932783064317304</v>
      </c>
      <c r="AA160" s="21">
        <f>EXP(-LN(2)/25)*AA159+(1-EXP(-LN(2)/25))/(LN(2)/25)*Calculateur!V160*Calculateur!X160*VLOOKUP('Données projet'!$B$9,Paramètres!$A$1:$I$89,3,0)*0.475*44/12</f>
        <v>0.89204213855325143</v>
      </c>
      <c r="AB160" s="21">
        <f>EXP(-LN(2)/2)*AB159+(1-EXP(-LN(2)/2))/(LN(2)/2)*V160*Y160*VLOOKUP('Données projet'!$B$9,Paramètres!$A$1:$I$89,3,0)*0.475*44/12</f>
        <v>2.4932951997591639E-18</v>
      </c>
      <c r="AC160" s="22">
        <f t="shared" si="163"/>
        <v>1.2613699691964244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-1.0286385077051818E-13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237.22177246688199</v>
      </c>
      <c r="AO160" s="59">
        <f t="shared" si="144"/>
        <v>149.27472147904302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9.1824892448156489E-2</v>
      </c>
      <c r="AW160" s="21">
        <f>EXP(-LN(2)/2)*AW159+(1-EXP(-LN(2)/2))/(LN(2)/2)*AQ160*AT160*VLOOKUP('Données projet'!$B$10,Paramètres!$A$1:$I$89,3,0)*0.475*44/12</f>
        <v>4.7450431593792369E-19</v>
      </c>
      <c r="AX160" s="21">
        <f t="shared" si="166"/>
        <v>9.1824892448156489E-2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210.04871822652808</v>
      </c>
      <c r="BJ160" s="59">
        <f t="shared" si="146"/>
        <v>250.17540614049324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0.59029987307872833</v>
      </c>
      <c r="BQ160" s="21">
        <f>EXP(-LN(2)/25)*BQ159+(1-EXP(-LN(2)/25))/(LN(2)/25)*Calculateur!BL160*Calculateur!BN160*VLOOKUP('Données projet'!$B$11,Paramètres!$A$1:$I$89,3,0)*0.475*44/12</f>
        <v>0.82279560625381387</v>
      </c>
      <c r="BR160" s="21">
        <f>EXP(-LN(2)/2)*BR159+(1-EXP(-LN(2)/2))/(LN(2)/2)*BL160*BO160*VLOOKUP('Données projet'!$B$11,Paramètres!$A$1:$I$89,3,0)*0.475*44/12</f>
        <v>1.6524217852453644E-18</v>
      </c>
      <c r="BS160" s="22">
        <f t="shared" si="169"/>
        <v>1.4130954793325423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-5.6843418860808015E-13</v>
      </c>
      <c r="O161" s="13">
        <f>N161*VLOOKUP('Données projet'!$B$9,Paramètres!$A$1:$I$89,3,0)*VLOOKUP('Données projet'!$B$9,Paramètres!$A$1:$I$89,5,0)</f>
        <v>-3.177547114319168E-13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326.31232746914907</v>
      </c>
      <c r="T161" s="59">
        <f t="shared" si="142"/>
        <v>330.17137761430297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0.36208553715199376</v>
      </c>
      <c r="AA161" s="21">
        <f>EXP(-LN(2)/25)*AA160+(1-EXP(-LN(2)/25))/(LN(2)/25)*Calculateur!V161*Calculateur!X161*VLOOKUP('Données projet'!$B$9,Paramètres!$A$1:$I$89,3,0)*0.475*44/12</f>
        <v>0.86764919936405549</v>
      </c>
      <c r="AB161" s="21">
        <f>EXP(-LN(2)/2)*AB160+(1-EXP(-LN(2)/2))/(LN(2)/2)*V161*Y161*VLOOKUP('Données projet'!$B$9,Paramètres!$A$1:$I$89,3,0)*0.475*44/12</f>
        <v>1.7630259432495724E-18</v>
      </c>
      <c r="AC161" s="22">
        <f t="shared" si="163"/>
        <v>1.2297347365160491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-1.0286385077051818E-13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237.22177246688199</v>
      </c>
      <c r="AO161" s="59">
        <f t="shared" si="144"/>
        <v>149.27472147904302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8.9313935935300431E-2</v>
      </c>
      <c r="AW161" s="21">
        <f>EXP(-LN(2)/2)*AW160+(1-EXP(-LN(2)/2))/(LN(2)/2)*AQ161*AT161*VLOOKUP('Données projet'!$B$10,Paramètres!$A$1:$I$89,3,0)*0.475*44/12</f>
        <v>3.3552521950198982E-19</v>
      </c>
      <c r="AX161" s="21">
        <f t="shared" si="166"/>
        <v>8.9313935935300431E-2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210.04871822652808</v>
      </c>
      <c r="BJ161" s="59">
        <f t="shared" si="146"/>
        <v>250.17540614049324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0.57872445261502536</v>
      </c>
      <c r="BQ161" s="21">
        <f>EXP(-LN(2)/25)*BQ160+(1-EXP(-LN(2)/25))/(LN(2)/25)*Calculateur!BL161*Calculateur!BN161*VLOOKUP('Données projet'!$B$11,Paramètres!$A$1:$I$89,3,0)*0.475*44/12</f>
        <v>0.80029621713186294</v>
      </c>
      <c r="BR161" s="21">
        <f>EXP(-LN(2)/2)*BR160+(1-EXP(-LN(2)/2))/(LN(2)/2)*BL161*BO161*VLOOKUP('Données projet'!$B$11,Paramètres!$A$1:$I$89,3,0)*0.475*44/12</f>
        <v>1.1684386497273781E-18</v>
      </c>
      <c r="BS161" s="22">
        <f t="shared" si="169"/>
        <v>1.3790206697468883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-5.6843418860808015E-13</v>
      </c>
      <c r="O162" s="13">
        <f>N162*VLOOKUP('Données projet'!$B$9,Paramètres!$A$1:$I$89,3,0)*VLOOKUP('Données projet'!$B$9,Paramètres!$A$1:$I$89,5,0)</f>
        <v>-3.177547114319168E-13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326.31232746914907</v>
      </c>
      <c r="T162" s="59">
        <f t="shared" si="142"/>
        <v>330.17137761430297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0.35498526061881369</v>
      </c>
      <c r="AA162" s="21">
        <f>EXP(-LN(2)/25)*AA161+(1-EXP(-LN(2)/25))/(LN(2)/25)*Calculateur!V162*Calculateur!X162*VLOOKUP('Données projet'!$B$9,Paramètres!$A$1:$I$89,3,0)*0.475*44/12</f>
        <v>0.843923286379757</v>
      </c>
      <c r="AB162" s="21">
        <f>EXP(-LN(2)/2)*AB161+(1-EXP(-LN(2)/2))/(LN(2)/2)*V162*Y162*VLOOKUP('Données projet'!$B$9,Paramètres!$A$1:$I$89,3,0)*0.475*44/12</f>
        <v>1.2466475998795819E-18</v>
      </c>
      <c r="AC162" s="22">
        <f t="shared" si="163"/>
        <v>1.1989085469985707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-1.0286385077051818E-13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237.22177246688199</v>
      </c>
      <c r="AO162" s="59">
        <f t="shared" si="144"/>
        <v>149.27472147904302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8.6871641660333884E-2</v>
      </c>
      <c r="AW162" s="21">
        <f>EXP(-LN(2)/2)*AW161+(1-EXP(-LN(2)/2))/(LN(2)/2)*AQ162*AT162*VLOOKUP('Données projet'!$B$10,Paramètres!$A$1:$I$89,3,0)*0.475*44/12</f>
        <v>2.3725215796896184E-19</v>
      </c>
      <c r="AX162" s="21">
        <f t="shared" si="166"/>
        <v>8.6871641660333884E-2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210.04871822652808</v>
      </c>
      <c r="BJ162" s="59">
        <f t="shared" si="146"/>
        <v>250.17540614049324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0.56737601908630619</v>
      </c>
      <c r="BQ162" s="21">
        <f>EXP(-LN(2)/25)*BQ161+(1-EXP(-LN(2)/25))/(LN(2)/25)*Calculateur!BL162*Calculateur!BN162*VLOOKUP('Données projet'!$B$11,Paramètres!$A$1:$I$89,3,0)*0.475*44/12</f>
        <v>0.77841207498864318</v>
      </c>
      <c r="BR162" s="21">
        <f>EXP(-LN(2)/2)*BR161+(1-EXP(-LN(2)/2))/(LN(2)/2)*BL162*BO162*VLOOKUP('Données projet'!$B$11,Paramètres!$A$1:$I$89,3,0)*0.475*44/12</f>
        <v>8.2621089262268218E-19</v>
      </c>
      <c r="BS162" s="22">
        <f t="shared" si="169"/>
        <v>1.3457880940749494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-5.6843418860808015E-13</v>
      </c>
      <c r="O163" s="13">
        <f>N163*VLOOKUP('Données projet'!$B$9,Paramètres!$A$1:$I$89,3,0)*VLOOKUP('Données projet'!$B$9,Paramètres!$A$1:$I$89,5,0)</f>
        <v>-3.177547114319168E-13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326.31232746914907</v>
      </c>
      <c r="T163" s="59">
        <f t="shared" si="142"/>
        <v>330.17137761430297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0.34802421617770818</v>
      </c>
      <c r="AA163" s="21">
        <f>EXP(-LN(2)/25)*AA162+(1-EXP(-LN(2)/25))/(LN(2)/25)*Calculateur!V163*Calculateur!X163*VLOOKUP('Données projet'!$B$9,Paramètres!$A$1:$I$89,3,0)*0.475*44/12</f>
        <v>0.82084615973370567</v>
      </c>
      <c r="AB163" s="21">
        <f>EXP(-LN(2)/2)*AB162+(1-EXP(-LN(2)/2))/(LN(2)/2)*V163*Y163*VLOOKUP('Données projet'!$B$9,Paramètres!$A$1:$I$89,3,0)*0.475*44/12</f>
        <v>8.8151297162478619E-19</v>
      </c>
      <c r="AC163" s="22">
        <f t="shared" si="163"/>
        <v>1.1688703759114139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-1.0286385077051818E-13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237.22177246688199</v>
      </c>
      <c r="AO163" s="59">
        <f t="shared" si="144"/>
        <v>149.27472147904302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8.4496132050750961E-2</v>
      </c>
      <c r="AW163" s="21">
        <f>EXP(-LN(2)/2)*AW162+(1-EXP(-LN(2)/2))/(LN(2)/2)*AQ163*AT163*VLOOKUP('Données projet'!$B$10,Paramètres!$A$1:$I$89,3,0)*0.475*44/12</f>
        <v>1.6776260975099491E-19</v>
      </c>
      <c r="AX163" s="21">
        <f t="shared" si="166"/>
        <v>8.4496132050750961E-2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210.04871822652808</v>
      </c>
      <c r="BJ163" s="59">
        <f t="shared" si="146"/>
        <v>250.17540614049324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0.5562501214172243</v>
      </c>
      <c r="BQ163" s="21">
        <f>EXP(-LN(2)/25)*BQ162+(1-EXP(-LN(2)/25))/(LN(2)/25)*Calculateur!BL163*Calculateur!BN163*VLOOKUP('Données projet'!$B$11,Paramètres!$A$1:$I$89,3,0)*0.475*44/12</f>
        <v>0.75712635586316679</v>
      </c>
      <c r="BR163" s="21">
        <f>EXP(-LN(2)/2)*BR162+(1-EXP(-LN(2)/2))/(LN(2)/2)*BL163*BO163*VLOOKUP('Données projet'!$B$11,Paramètres!$A$1:$I$89,3,0)*0.475*44/12</f>
        <v>5.8421932486368904E-19</v>
      </c>
      <c r="BS163" s="22">
        <f t="shared" si="169"/>
        <v>1.3133764772803911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-5.6843418860808015E-13</v>
      </c>
      <c r="O164" s="13">
        <f>N164*VLOOKUP('Données projet'!$B$9,Paramètres!$A$1:$I$89,3,0)*VLOOKUP('Données projet'!$B$9,Paramètres!$A$1:$I$89,5,0)</f>
        <v>-3.177547114319168E-13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326.31232746914907</v>
      </c>
      <c r="T164" s="59">
        <f t="shared" si="142"/>
        <v>330.17137761430297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0.34119967357227488</v>
      </c>
      <c r="AA164" s="21">
        <f>EXP(-LN(2)/25)*AA163+(1-EXP(-LN(2)/25))/(LN(2)/25)*Calculateur!V164*Calculateur!X164*VLOOKUP('Données projet'!$B$9,Paramètres!$A$1:$I$89,3,0)*0.475*44/12</f>
        <v>0.79840007832936399</v>
      </c>
      <c r="AB164" s="21">
        <f>EXP(-LN(2)/2)*AB163+(1-EXP(-LN(2)/2))/(LN(2)/2)*V164*Y164*VLOOKUP('Données projet'!$B$9,Paramètres!$A$1:$I$89,3,0)*0.475*44/12</f>
        <v>6.2332379993979096E-19</v>
      </c>
      <c r="AC164" s="22">
        <f t="shared" si="163"/>
        <v>1.1395997519016388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-1.0286385077051818E-13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237.22177246688199</v>
      </c>
      <c r="AO164" s="59">
        <f t="shared" si="144"/>
        <v>149.27472147904302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8.2185580876364711E-2</v>
      </c>
      <c r="AW164" s="21">
        <f>EXP(-LN(2)/2)*AW163+(1-EXP(-LN(2)/2))/(LN(2)/2)*AQ164*AT164*VLOOKUP('Données projet'!$B$10,Paramètres!$A$1:$I$89,3,0)*0.475*44/12</f>
        <v>1.1862607898448092E-19</v>
      </c>
      <c r="AX164" s="21">
        <f t="shared" si="166"/>
        <v>8.2185580876364711E-2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210.04871822652808</v>
      </c>
      <c r="BJ164" s="59">
        <f t="shared" si="146"/>
        <v>250.17540614049324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0.54534239581530553</v>
      </c>
      <c r="BQ164" s="21">
        <f>EXP(-LN(2)/25)*BQ163+(1-EXP(-LN(2)/25))/(LN(2)/25)*Calculateur!BL164*Calculateur!BN164*VLOOKUP('Données projet'!$B$11,Paramètres!$A$1:$I$89,3,0)*0.475*44/12</f>
        <v>0.73642269584654385</v>
      </c>
      <c r="BR164" s="21">
        <f>EXP(-LN(2)/2)*BR163+(1-EXP(-LN(2)/2))/(LN(2)/2)*BL164*BO164*VLOOKUP('Données projet'!$B$11,Paramètres!$A$1:$I$89,3,0)*0.475*44/12</f>
        <v>4.1310544631134109E-19</v>
      </c>
      <c r="BS164" s="22">
        <f t="shared" si="169"/>
        <v>1.2817650916618493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-3.177547114319168E-13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326.31232746914907</v>
      </c>
      <c r="T165" s="59">
        <f t="shared" si="142"/>
        <v>330.17137761430297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0.33450895608477416</v>
      </c>
      <c r="AA165" s="21">
        <f>EXP(-LN(2)/25)*AA164+(1-EXP(-LN(2)/25))/(LN(2)/25)*Calculateur!V165*Calculateur!X165*VLOOKUP('Données projet'!$B$9,Paramètres!$A$1:$I$89,3,0)*0.475*44/12</f>
        <v>0.7765677862014122</v>
      </c>
      <c r="AB165" s="21">
        <f>EXP(-LN(2)/2)*AB164+(1-EXP(-LN(2)/2))/(LN(2)/2)*V165*Y165*VLOOKUP('Données projet'!$B$9,Paramètres!$A$1:$I$89,3,0)*0.475*44/12</f>
        <v>4.407564858123931E-19</v>
      </c>
      <c r="AC165" s="22">
        <f t="shared" si="163"/>
        <v>1.1110767422861865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-1.0286385077051818E-13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237.22177246688199</v>
      </c>
      <c r="AO165" s="59">
        <f t="shared" si="144"/>
        <v>149.27472147904302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7.9938211845348661E-2</v>
      </c>
      <c r="AW165" s="21">
        <f>EXP(-LN(2)/2)*AW164+(1-EXP(-LN(2)/2))/(LN(2)/2)*AQ165*AT165*VLOOKUP('Données projet'!$B$10,Paramètres!$A$1:$I$89,3,0)*0.475*44/12</f>
        <v>8.3881304875497456E-20</v>
      </c>
      <c r="AX165" s="21">
        <f t="shared" si="166"/>
        <v>7.9938211845348661E-2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210.04871822652808</v>
      </c>
      <c r="BJ165" s="59">
        <f t="shared" si="146"/>
        <v>250.17540614049324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0.53464856405938477</v>
      </c>
      <c r="BQ165" s="21">
        <f>EXP(-LN(2)/25)*BQ164+(1-EXP(-LN(2)/25))/(LN(2)/25)*Calculateur!BL165*Calculateur!BN165*VLOOKUP('Données projet'!$B$11,Paramètres!$A$1:$I$89,3,0)*0.475*44/12</f>
        <v>0.7162851785018336</v>
      </c>
      <c r="BR165" s="21">
        <f>EXP(-LN(2)/2)*BR164+(1-EXP(-LN(2)/2))/(LN(2)/2)*BL165*BO165*VLOOKUP('Données projet'!$B$11,Paramètres!$A$1:$I$89,3,0)*0.475*44/12</f>
        <v>2.9210966243184452E-19</v>
      </c>
      <c r="BS165" s="22">
        <f t="shared" si="169"/>
        <v>1.2509337425612184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-3.177547114319168E-13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326.31232746914907</v>
      </c>
      <c r="T166" s="59">
        <f t="shared" si="142"/>
        <v>330.17137761430297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0.32794943948626865</v>
      </c>
      <c r="AA166" s="21">
        <f>EXP(-LN(2)/25)*AA165+(1-EXP(-LN(2)/25))/(LN(2)/25)*Calculateur!V166*Calculateur!X166*VLOOKUP('Données projet'!$B$9,Paramètres!$A$1:$I$89,3,0)*0.475*44/12</f>
        <v>0.75533249924980961</v>
      </c>
      <c r="AB166" s="21">
        <f>EXP(-LN(2)/2)*AB165+(1-EXP(-LN(2)/2))/(LN(2)/2)*V166*Y166*VLOOKUP('Données projet'!$B$9,Paramètres!$A$1:$I$89,3,0)*0.475*44/12</f>
        <v>3.1166189996989548E-19</v>
      </c>
      <c r="AC166" s="22">
        <f t="shared" si="163"/>
        <v>1.0832819387360781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-1.0286385077051818E-13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237.22177246688199</v>
      </c>
      <c r="AO166" s="59">
        <f t="shared" si="144"/>
        <v>149.27472147904302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7.7752297238669749E-2</v>
      </c>
      <c r="AW166" s="21">
        <f>EXP(-LN(2)/2)*AW165+(1-EXP(-LN(2)/2))/(LN(2)/2)*AQ166*AT166*VLOOKUP('Données projet'!$B$10,Paramètres!$A$1:$I$89,3,0)*0.475*44/12</f>
        <v>5.9313039492240461E-20</v>
      </c>
      <c r="AX166" s="21">
        <f t="shared" si="166"/>
        <v>7.7752297238669749E-2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210.04871822652808</v>
      </c>
      <c r="BJ166" s="59">
        <f t="shared" si="146"/>
        <v>250.17540614049324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0.52416443182160422</v>
      </c>
      <c r="BQ166" s="21">
        <f>EXP(-LN(2)/25)*BQ165+(1-EXP(-LN(2)/25))/(LN(2)/25)*Calculateur!BL166*Calculateur!BN166*VLOOKUP('Données projet'!$B$11,Paramètres!$A$1:$I$89,3,0)*0.475*44/12</f>
        <v>0.69669832262790055</v>
      </c>
      <c r="BR166" s="21">
        <f>EXP(-LN(2)/2)*BR165+(1-EXP(-LN(2)/2))/(LN(2)/2)*BL166*BO166*VLOOKUP('Données projet'!$B$11,Paramètres!$A$1:$I$89,3,0)*0.475*44/12</f>
        <v>2.0655272315567055E-19</v>
      </c>
      <c r="BS166" s="22">
        <f t="shared" si="169"/>
        <v>1.2208627544495048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-3.177547114319168E-13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326.31232746914907</v>
      </c>
      <c r="T167" s="59">
        <f t="shared" si="142"/>
        <v>330.17137761430297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0.32151855100734972</v>
      </c>
      <c r="AA167" s="21">
        <f>EXP(-LN(2)/25)*AA166+(1-EXP(-LN(2)/25))/(LN(2)/25)*Calculateur!V167*Calculateur!X167*VLOOKUP('Données projet'!$B$9,Paramètres!$A$1:$I$89,3,0)*0.475*44/12</f>
        <v>0.73467789233661374</v>
      </c>
      <c r="AB167" s="21">
        <f>EXP(-LN(2)/2)*AB166+(1-EXP(-LN(2)/2))/(LN(2)/2)*V167*Y167*VLOOKUP('Données projet'!$B$9,Paramètres!$A$1:$I$89,3,0)*0.475*44/12</f>
        <v>2.2037824290619655E-19</v>
      </c>
      <c r="AC167" s="22">
        <f t="shared" si="163"/>
        <v>1.0561964433439635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-1.0286385077051818E-13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237.22177246688199</v>
      </c>
      <c r="AO167" s="59">
        <f t="shared" si="144"/>
        <v>149.27472147904302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7.5626156581862725E-2</v>
      </c>
      <c r="AW167" s="21">
        <f>EXP(-LN(2)/2)*AW166+(1-EXP(-LN(2)/2))/(LN(2)/2)*AQ167*AT167*VLOOKUP('Données projet'!$B$10,Paramètres!$A$1:$I$89,3,0)*0.475*44/12</f>
        <v>4.1940652437748728E-20</v>
      </c>
      <c r="AX167" s="21">
        <f t="shared" si="166"/>
        <v>7.5626156581862725E-2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210.04871822652808</v>
      </c>
      <c r="BJ167" s="59">
        <f t="shared" si="146"/>
        <v>250.17540614049324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0.5138858870223173</v>
      </c>
      <c r="BQ167" s="21">
        <f>EXP(-LN(2)/25)*BQ166+(1-EXP(-LN(2)/25))/(LN(2)/25)*Calculateur!BL167*Calculateur!BN167*VLOOKUP('Données projet'!$B$11,Paramètres!$A$1:$I$89,3,0)*0.475*44/12</f>
        <v>0.6776470703578682</v>
      </c>
      <c r="BR167" s="21">
        <f>EXP(-LN(2)/2)*BR166+(1-EXP(-LN(2)/2))/(LN(2)/2)*BL167*BO167*VLOOKUP('Données projet'!$B$11,Paramètres!$A$1:$I$89,3,0)*0.475*44/12</f>
        <v>1.4605483121592226E-19</v>
      </c>
      <c r="BS167" s="22">
        <f t="shared" si="169"/>
        <v>1.1915329573801854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-3.177547114319168E-13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326.31232746914907</v>
      </c>
      <c r="T168" s="59">
        <f t="shared" si="142"/>
        <v>330.17137761430297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0.31521376832904774</v>
      </c>
      <c r="AA168" s="21">
        <f>EXP(-LN(2)/25)*AA167+(1-EXP(-LN(2)/25))/(LN(2)/25)*Calculateur!V168*Calculateur!X168*VLOOKUP('Données projet'!$B$9,Paramètres!$A$1:$I$89,3,0)*0.475*44/12</f>
        <v>0.71458808673563778</v>
      </c>
      <c r="AB168" s="21">
        <f>EXP(-LN(2)/2)*AB167+(1-EXP(-LN(2)/2))/(LN(2)/2)*V168*Y168*VLOOKUP('Données projet'!$B$9,Paramètres!$A$1:$I$89,3,0)*0.475*44/12</f>
        <v>1.5583094998494774E-19</v>
      </c>
      <c r="AC168" s="22">
        <f t="shared" si="163"/>
        <v>1.0298018550646855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-1.0286385077051818E-13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237.22177246688199</v>
      </c>
      <c r="AO168" s="59">
        <f t="shared" si="144"/>
        <v>149.27472147904302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7.355815535312496E-2</v>
      </c>
      <c r="AW168" s="21">
        <f>EXP(-LN(2)/2)*AW167+(1-EXP(-LN(2)/2))/(LN(2)/2)*AQ168*AT168*VLOOKUP('Données projet'!$B$10,Paramètres!$A$1:$I$89,3,0)*0.475*44/12</f>
        <v>2.965651974612023E-20</v>
      </c>
      <c r="AX168" s="21">
        <f t="shared" si="166"/>
        <v>7.355815535312496E-2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210.04871822652808</v>
      </c>
      <c r="BJ168" s="59">
        <f t="shared" si="146"/>
        <v>250.17540614049324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0.50380889821725117</v>
      </c>
      <c r="BQ168" s="21">
        <f>EXP(-LN(2)/25)*BQ167+(1-EXP(-LN(2)/25))/(LN(2)/25)*Calculateur!BL168*Calculateur!BN168*VLOOKUP('Données projet'!$B$11,Paramètres!$A$1:$I$89,3,0)*0.475*44/12</f>
        <v>0.65911677558302162</v>
      </c>
      <c r="BR168" s="21">
        <f>EXP(-LN(2)/2)*BR167+(1-EXP(-LN(2)/2))/(LN(2)/2)*BL168*BO168*VLOOKUP('Données projet'!$B$11,Paramètres!$A$1:$I$89,3,0)*0.475*44/12</f>
        <v>1.0327636157783527E-19</v>
      </c>
      <c r="BS168" s="22">
        <f t="shared" si="169"/>
        <v>1.1629256738002729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-3.177547114319168E-13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326.31232746914907</v>
      </c>
      <c r="T169" s="59">
        <f t="shared" si="142"/>
        <v>330.17137761430297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0.30903261859352954</v>
      </c>
      <c r="AA169" s="21">
        <f>EXP(-LN(2)/25)*AA168+(1-EXP(-LN(2)/25))/(LN(2)/25)*Calculateur!V169*Calculateur!X169*VLOOKUP('Données projet'!$B$9,Paramètres!$A$1:$I$89,3,0)*0.475*44/12</f>
        <v>0.69504763792529745</v>
      </c>
      <c r="AB169" s="21">
        <f>EXP(-LN(2)/2)*AB168+(1-EXP(-LN(2)/2))/(LN(2)/2)*V169*Y169*VLOOKUP('Données projet'!$B$9,Paramètres!$A$1:$I$89,3,0)*0.475*44/12</f>
        <v>1.1018912145309827E-19</v>
      </c>
      <c r="AC169" s="22">
        <f t="shared" si="163"/>
        <v>1.0040802565188269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-1.0286385077051818E-13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237.22177246688199</v>
      </c>
      <c r="AO169" s="59">
        <f t="shared" si="144"/>
        <v>149.27472147904302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7.1546703726738492E-2</v>
      </c>
      <c r="AW169" s="21">
        <f>EXP(-LN(2)/2)*AW168+(1-EXP(-LN(2)/2))/(LN(2)/2)*AQ169*AT169*VLOOKUP('Données projet'!$B$10,Paramètres!$A$1:$I$89,3,0)*0.475*44/12</f>
        <v>2.0970326218874364E-20</v>
      </c>
      <c r="AX169" s="21">
        <f t="shared" si="166"/>
        <v>7.1546703726738492E-2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210.04871822652808</v>
      </c>
      <c r="BJ169" s="59">
        <f t="shared" si="146"/>
        <v>250.17540614049324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0.49392951301629612</v>
      </c>
      <c r="BQ169" s="21">
        <f>EXP(-LN(2)/25)*BQ168+(1-EXP(-LN(2)/25))/(LN(2)/25)*Calculateur!BL169*Calculateur!BN169*VLOOKUP('Données projet'!$B$11,Paramètres!$A$1:$I$89,3,0)*0.475*44/12</f>
        <v>0.64109319269325915</v>
      </c>
      <c r="BR169" s="21">
        <f>EXP(-LN(2)/2)*BR168+(1-EXP(-LN(2)/2))/(LN(2)/2)*BL169*BO169*VLOOKUP('Données projet'!$B$11,Paramètres!$A$1:$I$89,3,0)*0.475*44/12</f>
        <v>7.302741560796113E-20</v>
      </c>
      <c r="BS169" s="22">
        <f t="shared" si="169"/>
        <v>1.1350227057095552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-3.177547114319168E-13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326.31232746914907</v>
      </c>
      <c r="T170" s="59">
        <f t="shared" si="142"/>
        <v>330.17137761430297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0.30297267743419581</v>
      </c>
      <c r="AA170" s="21">
        <f>EXP(-LN(2)/25)*AA169+(1-EXP(-LN(2)/25))/(LN(2)/25)*Calculateur!V170*Calculateur!X170*VLOOKUP('Données projet'!$B$9,Paramètres!$A$1:$I$89,3,0)*0.475*44/12</f>
        <v>0.67604152371526349</v>
      </c>
      <c r="AB170" s="21">
        <f>EXP(-LN(2)/2)*AB169+(1-EXP(-LN(2)/2))/(LN(2)/2)*V170*Y170*VLOOKUP('Données projet'!$B$9,Paramètres!$A$1:$I$89,3,0)*0.475*44/12</f>
        <v>7.791547499247387E-20</v>
      </c>
      <c r="AC170" s="22">
        <f t="shared" si="163"/>
        <v>0.97901420114945936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-1.0286385077051818E-13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237.22177246688199</v>
      </c>
      <c r="AO170" s="59">
        <f t="shared" si="144"/>
        <v>149.27472147904302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6.9590255350853197E-2</v>
      </c>
      <c r="AW170" s="21">
        <f>EXP(-LN(2)/2)*AW169+(1-EXP(-LN(2)/2))/(LN(2)/2)*AQ170*AT170*VLOOKUP('Données projet'!$B$10,Paramètres!$A$1:$I$89,3,0)*0.475*44/12</f>
        <v>1.4828259873060115E-20</v>
      </c>
      <c r="AX170" s="21">
        <f t="shared" si="166"/>
        <v>6.9590255350853197E-2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210.04871822652808</v>
      </c>
      <c r="BJ170" s="59">
        <f t="shared" si="146"/>
        <v>250.17540614049324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0.48424385653330182</v>
      </c>
      <c r="BQ170" s="21">
        <f>EXP(-LN(2)/25)*BQ169+(1-EXP(-LN(2)/25))/(LN(2)/25)*Calculateur!BL170*Calculateur!BN170*VLOOKUP('Données projet'!$B$11,Paramètres!$A$1:$I$89,3,0)*0.475*44/12</f>
        <v>0.62356246562543627</v>
      </c>
      <c r="BR170" s="21">
        <f>EXP(-LN(2)/2)*BR169+(1-EXP(-LN(2)/2))/(LN(2)/2)*BL170*BO170*VLOOKUP('Données projet'!$B$11,Paramètres!$A$1:$I$89,3,0)*0.475*44/12</f>
        <v>5.1638180788917637E-20</v>
      </c>
      <c r="BS170" s="22">
        <f t="shared" si="169"/>
        <v>1.107806322158738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-3.177547114319168E-13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326.31232746914907</v>
      </c>
      <c r="T171" s="59">
        <f t="shared" si="142"/>
        <v>330.17137761430297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0.29703156802479747</v>
      </c>
      <c r="AA171" s="21">
        <f>EXP(-LN(2)/25)*AA170+(1-EXP(-LN(2)/25))/(LN(2)/25)*Calculateur!V171*Calculateur!X171*VLOOKUP('Données projet'!$B$9,Paramètres!$A$1:$I$89,3,0)*0.475*44/12</f>
        <v>0.65755513269779098</v>
      </c>
      <c r="AB171" s="21">
        <f>EXP(-LN(2)/2)*AB170+(1-EXP(-LN(2)/2))/(LN(2)/2)*V171*Y171*VLOOKUP('Données projet'!$B$9,Paramètres!$A$1:$I$89,3,0)*0.475*44/12</f>
        <v>5.5094560726549137E-20</v>
      </c>
      <c r="AC171" s="22">
        <f t="shared" si="163"/>
        <v>0.95458670072258844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-1.0286385077051818E-13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237.22177246688199</v>
      </c>
      <c r="AO171" s="59">
        <f t="shared" si="144"/>
        <v>149.27472147904302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6.7687306158691632E-2</v>
      </c>
      <c r="AW171" s="21">
        <f>EXP(-LN(2)/2)*AW170+(1-EXP(-LN(2)/2))/(LN(2)/2)*AQ171*AT171*VLOOKUP('Données projet'!$B$10,Paramètres!$A$1:$I$89,3,0)*0.475*44/12</f>
        <v>1.0485163109437182E-20</v>
      </c>
      <c r="AX171" s="21">
        <f t="shared" si="166"/>
        <v>6.7687306158691632E-2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210.04871822652808</v>
      </c>
      <c r="BJ171" s="59">
        <f t="shared" si="146"/>
        <v>250.17540614049324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0.47474812986627191</v>
      </c>
      <c r="BQ171" s="21">
        <f>EXP(-LN(2)/25)*BQ170+(1-EXP(-LN(2)/25))/(LN(2)/25)*Calculateur!BL171*Calculateur!BN171*VLOOKUP('Données projet'!$B$11,Paramètres!$A$1:$I$89,3,0)*0.475*44/12</f>
        <v>0.60651111721118378</v>
      </c>
      <c r="BR171" s="21">
        <f>EXP(-LN(2)/2)*BR170+(1-EXP(-LN(2)/2))/(LN(2)/2)*BL171*BO171*VLOOKUP('Données projet'!$B$11,Paramètres!$A$1:$I$89,3,0)*0.475*44/12</f>
        <v>3.6513707803980565E-20</v>
      </c>
      <c r="BS171" s="22">
        <f t="shared" si="169"/>
        <v>1.0812592470774556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-3.177547114319168E-13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326.31232746914907</v>
      </c>
      <c r="T172" s="59">
        <f t="shared" si="142"/>
        <v>330.17137761430297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0.29120696014719849</v>
      </c>
      <c r="AA172" s="21">
        <f>EXP(-LN(2)/25)*AA171+(1-EXP(-LN(2)/25))/(LN(2)/25)*Calculateur!V172*Calculateur!X172*VLOOKUP('Données projet'!$B$9,Paramètres!$A$1:$I$89,3,0)*0.475*44/12</f>
        <v>0.63957425301484827</v>
      </c>
      <c r="AB172" s="21">
        <f>EXP(-LN(2)/2)*AB171+(1-EXP(-LN(2)/2))/(LN(2)/2)*V172*Y172*VLOOKUP('Données projet'!$B$9,Paramètres!$A$1:$I$89,3,0)*0.475*44/12</f>
        <v>3.8957737496236935E-20</v>
      </c>
      <c r="AC172" s="22">
        <f t="shared" si="163"/>
        <v>0.93078121316204676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-1.0286385077051818E-13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237.22177246688199</v>
      </c>
      <c r="AO172" s="59">
        <f t="shared" si="144"/>
        <v>149.27472147904302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6.5836393212261479E-2</v>
      </c>
      <c r="AW172" s="21">
        <f>EXP(-LN(2)/2)*AW171+(1-EXP(-LN(2)/2))/(LN(2)/2)*AQ172*AT172*VLOOKUP('Données projet'!$B$10,Paramètres!$A$1:$I$89,3,0)*0.475*44/12</f>
        <v>7.4141299365300576E-21</v>
      </c>
      <c r="AX172" s="21">
        <f t="shared" si="166"/>
        <v>6.5836393212261479E-2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210.04871822652808</v>
      </c>
      <c r="BJ172" s="59">
        <f t="shared" si="146"/>
        <v>250.17540614049324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0.46543860860736108</v>
      </c>
      <c r="BQ172" s="21">
        <f>EXP(-LN(2)/25)*BQ171+(1-EXP(-LN(2)/25))/(LN(2)/25)*Calculateur!BL172*Calculateur!BN172*VLOOKUP('Données projet'!$B$11,Paramètres!$A$1:$I$89,3,0)*0.475*44/12</f>
        <v>0.58992603881601047</v>
      </c>
      <c r="BR172" s="21">
        <f>EXP(-LN(2)/2)*BR171+(1-EXP(-LN(2)/2))/(LN(2)/2)*BL172*BO172*VLOOKUP('Données projet'!$B$11,Paramètres!$A$1:$I$89,3,0)*0.475*44/12</f>
        <v>2.5819090394458818E-20</v>
      </c>
      <c r="BS172" s="22">
        <f t="shared" si="169"/>
        <v>1.0553646474233715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-3.177547114319168E-13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326.31232746914907</v>
      </c>
      <c r="T173" s="59">
        <f t="shared" si="142"/>
        <v>330.17137761430297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0.28549656927741923</v>
      </c>
      <c r="AA173" s="21">
        <f>EXP(-LN(2)/25)*AA172+(1-EXP(-LN(2)/25))/(LN(2)/25)*Calculateur!V173*Calculateur!X173*VLOOKUP('Données projet'!$B$9,Paramètres!$A$1:$I$89,3,0)*0.475*44/12</f>
        <v>0.62208506143240905</v>
      </c>
      <c r="AB173" s="21">
        <f>EXP(-LN(2)/2)*AB172+(1-EXP(-LN(2)/2))/(LN(2)/2)*V173*Y173*VLOOKUP('Données projet'!$B$9,Paramètres!$A$1:$I$89,3,0)*0.475*44/12</f>
        <v>2.7547280363274569E-20</v>
      </c>
      <c r="AC173" s="22">
        <f t="shared" si="163"/>
        <v>0.90758163070982834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-1.0286385077051818E-13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237.22177246688199</v>
      </c>
      <c r="AO173" s="59">
        <f t="shared" si="144"/>
        <v>149.27472147904302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6.4036093577686748E-2</v>
      </c>
      <c r="AW173" s="21">
        <f>EXP(-LN(2)/2)*AW172+(1-EXP(-LN(2)/2))/(LN(2)/2)*AQ173*AT173*VLOOKUP('Données projet'!$B$10,Paramètres!$A$1:$I$89,3,0)*0.475*44/12</f>
        <v>5.242581554718591E-21</v>
      </c>
      <c r="AX173" s="21">
        <f t="shared" si="166"/>
        <v>6.4036093577686748E-2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210.04871822652808</v>
      </c>
      <c r="BJ173" s="59">
        <f t="shared" si="146"/>
        <v>250.17540614049324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0.45631164138209024</v>
      </c>
      <c r="BQ173" s="21">
        <f>EXP(-LN(2)/25)*BQ172+(1-EXP(-LN(2)/25))/(LN(2)/25)*Calculateur!BL173*Calculateur!BN173*VLOOKUP('Données projet'!$B$11,Paramètres!$A$1:$I$89,3,0)*0.475*44/12</f>
        <v>0.57379448026172453</v>
      </c>
      <c r="BR173" s="21">
        <f>EXP(-LN(2)/2)*BR172+(1-EXP(-LN(2)/2))/(LN(2)/2)*BL173*BO173*VLOOKUP('Données projet'!$B$11,Paramètres!$A$1:$I$89,3,0)*0.475*44/12</f>
        <v>1.8256853901990282E-20</v>
      </c>
      <c r="BS173" s="22">
        <f t="shared" si="169"/>
        <v>1.0301061216438148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-3.177547114319168E-13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326.31232746914907</v>
      </c>
      <c r="T174" s="59">
        <f t="shared" si="142"/>
        <v>330.17137761430297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0.2798981556896018</v>
      </c>
      <c r="AA174" s="21">
        <f>EXP(-LN(2)/25)*AA173+(1-EXP(-LN(2)/25))/(LN(2)/25)*Calculateur!V174*Calculateur!X174*VLOOKUP('Données projet'!$B$9,Paramètres!$A$1:$I$89,3,0)*0.475*44/12</f>
        <v>0.60507411271350819</v>
      </c>
      <c r="AB174" s="21">
        <f>EXP(-LN(2)/2)*AB173+(1-EXP(-LN(2)/2))/(LN(2)/2)*V174*Y174*VLOOKUP('Données projet'!$B$9,Paramètres!$A$1:$I$89,3,0)*0.475*44/12</f>
        <v>1.9478868748118468E-20</v>
      </c>
      <c r="AC174" s="22">
        <f t="shared" si="163"/>
        <v>0.88497226840311005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-1.0286385077051818E-13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237.22177246688199</v>
      </c>
      <c r="AO174" s="59">
        <f t="shared" si="144"/>
        <v>149.27472147904302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6.2285023231293098E-2</v>
      </c>
      <c r="AW174" s="21">
        <f>EXP(-LN(2)/2)*AW173+(1-EXP(-LN(2)/2))/(LN(2)/2)*AQ174*AT174*VLOOKUP('Données projet'!$B$10,Paramètres!$A$1:$I$89,3,0)*0.475*44/12</f>
        <v>3.7070649682650288E-21</v>
      </c>
      <c r="AX174" s="21">
        <f t="shared" si="166"/>
        <v>6.2285023231293098E-2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210.04871822652808</v>
      </c>
      <c r="BJ174" s="59">
        <f t="shared" si="146"/>
        <v>250.17540614049324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0.44736364841720661</v>
      </c>
      <c r="BQ174" s="21">
        <f>EXP(-LN(2)/25)*BQ173+(1-EXP(-LN(2)/25))/(LN(2)/25)*Calculateur!BL174*Calculateur!BN174*VLOOKUP('Données projet'!$B$11,Paramètres!$A$1:$I$89,3,0)*0.475*44/12</f>
        <v>0.55810404002442737</v>
      </c>
      <c r="BR174" s="21">
        <f>EXP(-LN(2)/2)*BR173+(1-EXP(-LN(2)/2))/(LN(2)/2)*BL174*BO174*VLOOKUP('Données projet'!$B$11,Paramètres!$A$1:$I$89,3,0)*0.475*44/12</f>
        <v>1.2909545197229409E-20</v>
      </c>
      <c r="BS174" s="22">
        <f t="shared" si="169"/>
        <v>1.005467688441634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-3.177547114319168E-13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326.31232746914907</v>
      </c>
      <c r="T175" s="59">
        <f t="shared" si="142"/>
        <v>330.17137761430297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0.27440952357754639</v>
      </c>
      <c r="AA175" s="21">
        <f>EXP(-LN(2)/25)*AA174+(1-EXP(-LN(2)/25))/(LN(2)/25)*Calculateur!V175*Calculateur!X175*VLOOKUP('Données projet'!$B$9,Paramètres!$A$1:$I$89,3,0)*0.475*44/12</f>
        <v>0.58852832928189269</v>
      </c>
      <c r="AB175" s="21">
        <f>EXP(-LN(2)/2)*AB174+(1-EXP(-LN(2)/2))/(LN(2)/2)*V175*Y175*VLOOKUP('Données projet'!$B$9,Paramètres!$A$1:$I$89,3,0)*0.475*44/12</f>
        <v>1.3773640181637284E-20</v>
      </c>
      <c r="AC175" s="22">
        <f t="shared" si="163"/>
        <v>0.86293785285943914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-1.0286385077051818E-13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237.22177246688199</v>
      </c>
      <c r="AO175" s="59">
        <f t="shared" si="144"/>
        <v>149.27472147904302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6.0581835995606369E-2</v>
      </c>
      <c r="AW175" s="21">
        <f>EXP(-LN(2)/2)*AW174+(1-EXP(-LN(2)/2))/(LN(2)/2)*AQ175*AT175*VLOOKUP('Données projet'!$B$10,Paramètres!$A$1:$I$89,3,0)*0.475*44/12</f>
        <v>2.6212907773592955E-21</v>
      </c>
      <c r="AX175" s="21">
        <f t="shared" si="166"/>
        <v>6.0581835995606369E-2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210.04871822652808</v>
      </c>
      <c r="BJ175" s="59">
        <f t="shared" si="146"/>
        <v>250.17540614049324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0.43859112013662754</v>
      </c>
      <c r="BQ175" s="21">
        <f>EXP(-LN(2)/25)*BQ174+(1-EXP(-LN(2)/25))/(LN(2)/25)*Calculateur!BL175*Calculateur!BN175*VLOOKUP('Données projet'!$B$11,Paramètres!$A$1:$I$89,3,0)*0.475*44/12</f>
        <v>0.54284265570054346</v>
      </c>
      <c r="BR175" s="21">
        <f>EXP(-LN(2)/2)*BR174+(1-EXP(-LN(2)/2))/(LN(2)/2)*BL175*BO175*VLOOKUP('Données projet'!$B$11,Paramètres!$A$1:$I$89,3,0)*0.475*44/12</f>
        <v>9.1284269509951412E-21</v>
      </c>
      <c r="BS175" s="22">
        <f t="shared" si="169"/>
        <v>0.98143377583717095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-3.177547114319168E-13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326.31232746914907</v>
      </c>
      <c r="T176" s="59">
        <f t="shared" si="142"/>
        <v>330.17137761430297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0.26902852019347334</v>
      </c>
      <c r="AA176" s="21">
        <f>EXP(-LN(2)/25)*AA175+(1-EXP(-LN(2)/25))/(LN(2)/25)*Calculateur!V176*Calculateur!X176*VLOOKUP('Données projet'!$B$9,Paramètres!$A$1:$I$89,3,0)*0.475*44/12</f>
        <v>0.57243499116831964</v>
      </c>
      <c r="AB176" s="21">
        <f>EXP(-LN(2)/2)*AB175+(1-EXP(-LN(2)/2))/(LN(2)/2)*V176*Y176*VLOOKUP('Données projet'!$B$9,Paramètres!$A$1:$I$89,3,0)*0.475*44/12</f>
        <v>9.7394343740592338E-21</v>
      </c>
      <c r="AC176" s="22">
        <f t="shared" si="163"/>
        <v>0.84146351136179298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-1.0286385077051818E-13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237.22177246688199</v>
      </c>
      <c r="AO176" s="59">
        <f t="shared" si="144"/>
        <v>149.27472147904302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5.892522250444622E-2</v>
      </c>
      <c r="AW176" s="21">
        <f>EXP(-LN(2)/2)*AW175+(1-EXP(-LN(2)/2))/(LN(2)/2)*AQ176*AT176*VLOOKUP('Données projet'!$B$10,Paramètres!$A$1:$I$89,3,0)*0.475*44/12</f>
        <v>1.8535324841325144E-21</v>
      </c>
      <c r="AX176" s="21">
        <f t="shared" si="166"/>
        <v>5.892522250444622E-2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210.04871822652808</v>
      </c>
      <c r="BJ176" s="59">
        <f t="shared" si="146"/>
        <v>250.17540614049324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0.42999061578491671</v>
      </c>
      <c r="BQ176" s="21">
        <f>EXP(-LN(2)/25)*BQ175+(1-EXP(-LN(2)/25))/(LN(2)/25)*Calculateur!BL176*Calculateur!BN176*VLOOKUP('Données projet'!$B$11,Paramètres!$A$1:$I$89,3,0)*0.475*44/12</f>
        <v>0.52799859473355748</v>
      </c>
      <c r="BR176" s="21">
        <f>EXP(-LN(2)/2)*BR175+(1-EXP(-LN(2)/2))/(LN(2)/2)*BL176*BO176*VLOOKUP('Données projet'!$B$11,Paramètres!$A$1:$I$89,3,0)*0.475*44/12</f>
        <v>6.4547725986147046E-21</v>
      </c>
      <c r="BS176" s="22">
        <f t="shared" si="169"/>
        <v>0.95798921051847419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-3.177547114319168E-13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326.31232746914907</v>
      </c>
      <c r="T177" s="59">
        <f t="shared" si="142"/>
        <v>330.17137761430297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0.26375303500367397</v>
      </c>
      <c r="AA177" s="21">
        <f>EXP(-LN(2)/25)*AA176+(1-EXP(-LN(2)/25))/(LN(2)/25)*Calculateur!V177*Calculateur!X177*VLOOKUP('Données projet'!$B$9,Paramètres!$A$1:$I$89,3,0)*0.475*44/12</f>
        <v>0.55678172623177402</v>
      </c>
      <c r="AB177" s="21">
        <f>EXP(-LN(2)/2)*AB176+(1-EXP(-LN(2)/2))/(LN(2)/2)*V177*Y177*VLOOKUP('Données projet'!$B$9,Paramètres!$A$1:$I$89,3,0)*0.475*44/12</f>
        <v>6.8868200908186421E-21</v>
      </c>
      <c r="AC177" s="22">
        <f t="shared" si="163"/>
        <v>0.820534761235448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-1.0286385077051818E-13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237.22177246688199</v>
      </c>
      <c r="AO177" s="59">
        <f t="shared" si="144"/>
        <v>149.27472147904302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5.731390919631936E-2</v>
      </c>
      <c r="AW177" s="21">
        <f>EXP(-LN(2)/2)*AW176+(1-EXP(-LN(2)/2))/(LN(2)/2)*AQ177*AT177*VLOOKUP('Données projet'!$B$10,Paramètres!$A$1:$I$89,3,0)*0.475*44/12</f>
        <v>1.3106453886796478E-21</v>
      </c>
      <c r="AX177" s="21">
        <f t="shared" si="166"/>
        <v>5.731390919631936E-2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210.04871822652808</v>
      </c>
      <c r="BJ177" s="59">
        <f t="shared" si="146"/>
        <v>250.17540614049324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0.42155876207775328</v>
      </c>
      <c r="BQ177" s="21">
        <f>EXP(-LN(2)/25)*BQ176+(1-EXP(-LN(2)/25))/(LN(2)/25)*Calculateur!BL177*Calculateur!BN177*VLOOKUP('Données projet'!$B$11,Paramètres!$A$1:$I$89,3,0)*0.475*44/12</f>
        <v>0.51356044539432899</v>
      </c>
      <c r="BR177" s="21">
        <f>EXP(-LN(2)/2)*BR176+(1-EXP(-LN(2)/2))/(LN(2)/2)*BL177*BO177*VLOOKUP('Données projet'!$B$11,Paramètres!$A$1:$I$89,3,0)*0.475*44/12</f>
        <v>4.5642134754975706E-21</v>
      </c>
      <c r="BS177" s="22">
        <f t="shared" si="169"/>
        <v>0.93511920747208221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-3.177547114319168E-13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326.31232746914907</v>
      </c>
      <c r="T178" s="59">
        <f t="shared" si="142"/>
        <v>330.17137761430297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0.25858099886071834</v>
      </c>
      <c r="AA178" s="21">
        <f>EXP(-LN(2)/25)*AA177+(1-EXP(-LN(2)/25))/(LN(2)/25)*Calculateur!V178*Calculateur!X178*VLOOKUP('Données projet'!$B$9,Paramètres!$A$1:$I$89,3,0)*0.475*44/12</f>
        <v>0.54155650064808769</v>
      </c>
      <c r="AB178" s="21">
        <f>EXP(-LN(2)/2)*AB177+(1-EXP(-LN(2)/2))/(LN(2)/2)*V178*Y178*VLOOKUP('Données projet'!$B$9,Paramètres!$A$1:$I$89,3,0)*0.475*44/12</f>
        <v>4.8697171870296169E-21</v>
      </c>
      <c r="AC178" s="22">
        <f t="shared" si="163"/>
        <v>0.80013749950880597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-1.0286385077051818E-13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237.22177246688199</v>
      </c>
      <c r="AO178" s="59">
        <f t="shared" si="144"/>
        <v>149.27472147904302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5.5746657335338512E-2</v>
      </c>
      <c r="AW178" s="21">
        <f>EXP(-LN(2)/2)*AW177+(1-EXP(-LN(2)/2))/(LN(2)/2)*AQ178*AT178*VLOOKUP('Données projet'!$B$10,Paramètres!$A$1:$I$89,3,0)*0.475*44/12</f>
        <v>9.267662420662572E-22</v>
      </c>
      <c r="AX178" s="21">
        <f t="shared" si="166"/>
        <v>5.5746657335338512E-2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210.04871822652808</v>
      </c>
      <c r="BJ178" s="59">
        <f t="shared" si="146"/>
        <v>250.17540614049324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0.41329225187886437</v>
      </c>
      <c r="BQ178" s="21">
        <f>EXP(-LN(2)/25)*BQ177+(1-EXP(-LN(2)/25))/(LN(2)/25)*Calculateur!BL178*Calculateur!BN178*VLOOKUP('Données projet'!$B$11,Paramètres!$A$1:$I$89,3,0)*0.475*44/12</f>
        <v>0.49951710800805099</v>
      </c>
      <c r="BR178" s="21">
        <f>EXP(-LN(2)/2)*BR177+(1-EXP(-LN(2)/2))/(LN(2)/2)*BL178*BO178*VLOOKUP('Données projet'!$B$11,Paramètres!$A$1:$I$89,3,0)*0.475*44/12</f>
        <v>3.2273862993073523E-21</v>
      </c>
      <c r="BS178" s="22">
        <f t="shared" si="169"/>
        <v>0.91280935988691536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-3.177547114319168E-13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326.31232746914907</v>
      </c>
      <c r="T179" s="59">
        <f t="shared" si="142"/>
        <v>330.17137761430297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0.25351038319189551</v>
      </c>
      <c r="AA179" s="21">
        <f>EXP(-LN(2)/25)*AA178+(1-EXP(-LN(2)/25))/(LN(2)/25)*Calculateur!V179*Calculateur!X179*VLOOKUP('Données projet'!$B$9,Paramètres!$A$1:$I$89,3,0)*0.475*44/12</f>
        <v>0.52674760965864709</v>
      </c>
      <c r="AB179" s="21">
        <f>EXP(-LN(2)/2)*AB178+(1-EXP(-LN(2)/2))/(LN(2)/2)*V179*Y179*VLOOKUP('Données projet'!$B$9,Paramètres!$A$1:$I$89,3,0)*0.475*44/12</f>
        <v>3.4434100454093211E-21</v>
      </c>
      <c r="AC179" s="22">
        <f t="shared" si="163"/>
        <v>0.78025799285054265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-1.0286385077051818E-13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237.22177246688199</v>
      </c>
      <c r="AO179" s="59">
        <f t="shared" si="144"/>
        <v>149.27472147904302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5.4222262058914381E-2</v>
      </c>
      <c r="AW179" s="21">
        <f>EXP(-LN(2)/2)*AW178+(1-EXP(-LN(2)/2))/(LN(2)/2)*AQ179*AT179*VLOOKUP('Données projet'!$B$10,Paramètres!$A$1:$I$89,3,0)*0.475*44/12</f>
        <v>6.5532269433982388E-22</v>
      </c>
      <c r="AX179" s="21">
        <f t="shared" si="166"/>
        <v>5.4222262058914381E-2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210.04871822652808</v>
      </c>
      <c r="BJ179" s="59">
        <f t="shared" si="146"/>
        <v>250.17540614049324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0.40518784290290233</v>
      </c>
      <c r="BQ179" s="21">
        <f>EXP(-LN(2)/25)*BQ178+(1-EXP(-LN(2)/25))/(LN(2)/25)*Calculateur!BL179*Calculateur!BN179*VLOOKUP('Données projet'!$B$11,Paramètres!$A$1:$I$89,3,0)*0.475*44/12</f>
        <v>0.48585778642110777</v>
      </c>
      <c r="BR179" s="21">
        <f>EXP(-LN(2)/2)*BR178+(1-EXP(-LN(2)/2))/(LN(2)/2)*BL179*BO179*VLOOKUP('Données projet'!$B$11,Paramètres!$A$1:$I$89,3,0)*0.475*44/12</f>
        <v>2.2821067377487853E-21</v>
      </c>
      <c r="BS179" s="22">
        <f t="shared" si="169"/>
        <v>0.8910456293240101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-3.177547114319168E-13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326.31232746914907</v>
      </c>
      <c r="T180" s="59">
        <f t="shared" si="142"/>
        <v>330.17137761430297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0.24853919920356812</v>
      </c>
      <c r="AA180" s="21">
        <f>EXP(-LN(2)/25)*AA179+(1-EXP(-LN(2)/25))/(LN(2)/25)*Calculateur!V180*Calculateur!X180*VLOOKUP('Données projet'!$B$9,Paramètres!$A$1:$I$89,3,0)*0.475*44/12</f>
        <v>0.51234366857207847</v>
      </c>
      <c r="AB180" s="21">
        <f>EXP(-LN(2)/2)*AB179+(1-EXP(-LN(2)/2))/(LN(2)/2)*V180*Y180*VLOOKUP('Données projet'!$B$9,Paramètres!$A$1:$I$89,3,0)*0.475*44/12</f>
        <v>2.4348585935148085E-21</v>
      </c>
      <c r="AC180" s="22">
        <f t="shared" si="163"/>
        <v>0.76088286777564662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-1.0286385077051818E-13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237.22177246688199</v>
      </c>
      <c r="AO180" s="59">
        <f t="shared" si="144"/>
        <v>149.27472147904302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5.273955145148853E-2</v>
      </c>
      <c r="AW180" s="21">
        <f>EXP(-LN(2)/2)*AW179+(1-EXP(-LN(2)/2))/(LN(2)/2)*AQ180*AT180*VLOOKUP('Données projet'!$B$10,Paramètres!$A$1:$I$89,3,0)*0.475*44/12</f>
        <v>4.633831210331286E-22</v>
      </c>
      <c r="AX180" s="21">
        <f t="shared" si="166"/>
        <v>5.273955145148853E-2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210.04871822652808</v>
      </c>
      <c r="BJ180" s="59">
        <f t="shared" si="146"/>
        <v>250.17540614049324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0.39724235644375749</v>
      </c>
      <c r="BQ180" s="21">
        <f>EXP(-LN(2)/25)*BQ179+(1-EXP(-LN(2)/25))/(LN(2)/25)*Calculateur!BL180*Calculateur!BN180*VLOOKUP('Données projet'!$B$11,Paramètres!$A$1:$I$89,3,0)*0.475*44/12</f>
        <v>0.47257197970127202</v>
      </c>
      <c r="BR180" s="21">
        <f>EXP(-LN(2)/2)*BR179+(1-EXP(-LN(2)/2))/(LN(2)/2)*BL180*BO180*VLOOKUP('Données projet'!$B$11,Paramètres!$A$1:$I$89,3,0)*0.475*44/12</f>
        <v>1.6136931496536761E-21</v>
      </c>
      <c r="BS180" s="22">
        <f t="shared" si="169"/>
        <v>0.86981433614502945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-3.177547114319168E-13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326.31232746914907</v>
      </c>
      <c r="T181" s="59">
        <f t="shared" si="142"/>
        <v>330.17137761430297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0.243665497101129</v>
      </c>
      <c r="AA181" s="21">
        <f>EXP(-LN(2)/25)*AA180+(1-EXP(-LN(2)/25))/(LN(2)/25)*Calculateur!V181*Calculateur!X181*VLOOKUP('Données projet'!$B$9,Paramètres!$A$1:$I$89,3,0)*0.475*44/12</f>
        <v>0.49833360401199245</v>
      </c>
      <c r="AB181" s="21">
        <f>EXP(-LN(2)/2)*AB180+(1-EXP(-LN(2)/2))/(LN(2)/2)*V181*Y181*VLOOKUP('Données projet'!$B$9,Paramètres!$A$1:$I$89,3,0)*0.475*44/12</f>
        <v>1.7217050227046605E-21</v>
      </c>
      <c r="AC181" s="22">
        <f t="shared" si="163"/>
        <v>0.74199910111312151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-1.0286385077051818E-13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237.22177246688199</v>
      </c>
      <c r="AO181" s="59">
        <f t="shared" si="144"/>
        <v>149.27472147904302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5.1297385643595102E-2</v>
      </c>
      <c r="AW181" s="21">
        <f>EXP(-LN(2)/2)*AW180+(1-EXP(-LN(2)/2))/(LN(2)/2)*AQ181*AT181*VLOOKUP('Données projet'!$B$10,Paramètres!$A$1:$I$89,3,0)*0.475*44/12</f>
        <v>3.2766134716991194E-22</v>
      </c>
      <c r="AX181" s="21">
        <f t="shared" si="166"/>
        <v>5.1297385643595102E-2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210.04871822652808</v>
      </c>
      <c r="BJ181" s="59">
        <f t="shared" si="146"/>
        <v>250.17540614049324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0.38945267612780832</v>
      </c>
      <c r="BQ181" s="21">
        <f>EXP(-LN(2)/25)*BQ180+(1-EXP(-LN(2)/25))/(LN(2)/25)*Calculateur!BL181*Calculateur!BN181*VLOOKUP('Données projet'!$B$11,Paramètres!$A$1:$I$89,3,0)*0.475*44/12</f>
        <v>0.4596494740648604</v>
      </c>
      <c r="BR181" s="21">
        <f>EXP(-LN(2)/2)*BR180+(1-EXP(-LN(2)/2))/(LN(2)/2)*BL181*BO181*VLOOKUP('Données projet'!$B$11,Paramètres!$A$1:$I$89,3,0)*0.475*44/12</f>
        <v>1.1410533688743926E-21</v>
      </c>
      <c r="BS181" s="22">
        <f t="shared" si="169"/>
        <v>0.84910215019266877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-3.177547114319168E-13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326.31232746914907</v>
      </c>
      <c r="T182" s="59">
        <f t="shared" si="142"/>
        <v>330.17137761430297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0.23888736532425398</v>
      </c>
      <c r="AA182" s="21">
        <f>EXP(-LN(2)/25)*AA181+(1-EXP(-LN(2)/25))/(LN(2)/25)*Calculateur!V182*Calculateur!X182*VLOOKUP('Données projet'!$B$9,Paramètres!$A$1:$I$89,3,0)*0.475*44/12</f>
        <v>0.48470664540405922</v>
      </c>
      <c r="AB182" s="21">
        <f>EXP(-LN(2)/2)*AB181+(1-EXP(-LN(2)/2))/(LN(2)/2)*V182*Y182*VLOOKUP('Données projet'!$B$9,Paramètres!$A$1:$I$89,3,0)*0.475*44/12</f>
        <v>1.2174292967574042E-21</v>
      </c>
      <c r="AC182" s="22">
        <f t="shared" si="163"/>
        <v>0.7235940107283132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-1.0286385077051818E-13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237.22177246688199</v>
      </c>
      <c r="AO182" s="59">
        <f t="shared" si="144"/>
        <v>149.27472147904302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4.9894655935558724E-2</v>
      </c>
      <c r="AW182" s="21">
        <f>EXP(-LN(2)/2)*AW181+(1-EXP(-LN(2)/2))/(LN(2)/2)*AQ182*AT182*VLOOKUP('Données projet'!$B$10,Paramètres!$A$1:$I$89,3,0)*0.475*44/12</f>
        <v>2.316915605165643E-22</v>
      </c>
      <c r="AX182" s="21">
        <f t="shared" si="166"/>
        <v>4.9894655935558724E-2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210.04871822652808</v>
      </c>
      <c r="BJ182" s="59">
        <f t="shared" si="146"/>
        <v>250.17540614049324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0.38181574669161905</v>
      </c>
      <c r="BQ182" s="21">
        <f>EXP(-LN(2)/25)*BQ181+(1-EXP(-LN(2)/25))/(LN(2)/25)*Calculateur!BL182*Calculateur!BN182*VLOOKUP('Données projet'!$B$11,Paramètres!$A$1:$I$89,3,0)*0.475*44/12</f>
        <v>0.44708033502464151</v>
      </c>
      <c r="BR182" s="21">
        <f>EXP(-LN(2)/2)*BR181+(1-EXP(-LN(2)/2))/(LN(2)/2)*BL182*BO182*VLOOKUP('Données projet'!$B$11,Paramètres!$A$1:$I$89,3,0)*0.475*44/12</f>
        <v>8.0684657482683807E-22</v>
      </c>
      <c r="BS182" s="22">
        <f t="shared" si="169"/>
        <v>0.8288960817162605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-3.177547114319168E-13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326.31232746914907</v>
      </c>
      <c r="T183" s="59">
        <f t="shared" si="142"/>
        <v>330.17137761430297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0.23420292979715085</v>
      </c>
      <c r="AA183" s="21">
        <f>EXP(-LN(2)/25)*AA182+(1-EXP(-LN(2)/25))/(LN(2)/25)*Calculateur!V183*Calculateur!X183*VLOOKUP('Données projet'!$B$9,Paramètres!$A$1:$I$89,3,0)*0.475*44/12</f>
        <v>0.47145231669587057</v>
      </c>
      <c r="AB183" s="21">
        <f>EXP(-LN(2)/2)*AB182+(1-EXP(-LN(2)/2))/(LN(2)/2)*V183*Y183*VLOOKUP('Données projet'!$B$9,Paramètres!$A$1:$I$89,3,0)*0.475*44/12</f>
        <v>8.6085251135233027E-22</v>
      </c>
      <c r="AC183" s="22">
        <f t="shared" si="163"/>
        <v>0.70565524649302147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-1.0286385077051818E-13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237.22177246688199</v>
      </c>
      <c r="AO183" s="59">
        <f t="shared" si="144"/>
        <v>149.27472147904302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4.8530283945154948E-2</v>
      </c>
      <c r="AW183" s="21">
        <f>EXP(-LN(2)/2)*AW182+(1-EXP(-LN(2)/2))/(LN(2)/2)*AQ183*AT183*VLOOKUP('Données projet'!$B$10,Paramètres!$A$1:$I$89,3,0)*0.475*44/12</f>
        <v>1.6383067358495597E-22</v>
      </c>
      <c r="AX183" s="21">
        <f t="shared" si="166"/>
        <v>4.8530283945154948E-2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210.04871822652808</v>
      </c>
      <c r="BJ183" s="59">
        <f t="shared" si="146"/>
        <v>250.17540614049324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0.37432857278360643</v>
      </c>
      <c r="BQ183" s="21">
        <f>EXP(-LN(2)/25)*BQ182+(1-EXP(-LN(2)/25))/(LN(2)/25)*Calculateur!BL183*Calculateur!BN183*VLOOKUP('Données projet'!$B$11,Paramètres!$A$1:$I$89,3,0)*0.475*44/12</f>
        <v>0.43485489975245967</v>
      </c>
      <c r="BR183" s="21">
        <f>EXP(-LN(2)/2)*BR182+(1-EXP(-LN(2)/2))/(LN(2)/2)*BL183*BO183*VLOOKUP('Données projet'!$B$11,Paramètres!$A$1:$I$89,3,0)*0.475*44/12</f>
        <v>5.7052668443719632E-22</v>
      </c>
      <c r="BS183" s="22">
        <f t="shared" si="169"/>
        <v>0.80918347253606604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-3.177547114319168E-13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326.31232746914907</v>
      </c>
      <c r="T184" s="59">
        <f t="shared" si="142"/>
        <v>330.17137761430297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0.22961035319351067</v>
      </c>
      <c r="AA184" s="21">
        <f>EXP(-LN(2)/25)*AA183+(1-EXP(-LN(2)/25))/(LN(2)/25)*Calculateur!V184*Calculateur!X184*VLOOKUP('Données projet'!$B$9,Paramètres!$A$1:$I$89,3,0)*0.475*44/12</f>
        <v>0.45856042830322219</v>
      </c>
      <c r="AB184" s="21">
        <f>EXP(-LN(2)/2)*AB183+(1-EXP(-LN(2)/2))/(LN(2)/2)*V184*Y184*VLOOKUP('Données projet'!$B$9,Paramètres!$A$1:$I$89,3,0)*0.475*44/12</f>
        <v>6.0871464837870211E-22</v>
      </c>
      <c r="AC184" s="22">
        <f t="shared" si="163"/>
        <v>0.68817078149673283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-1.0286385077051818E-13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237.22177246688199</v>
      </c>
      <c r="AO184" s="59">
        <f t="shared" si="144"/>
        <v>149.27472147904302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4.720322077857797E-2</v>
      </c>
      <c r="AW184" s="21">
        <f>EXP(-LN(2)/2)*AW183+(1-EXP(-LN(2)/2))/(LN(2)/2)*AQ184*AT184*VLOOKUP('Données projet'!$B$10,Paramètres!$A$1:$I$89,3,0)*0.475*44/12</f>
        <v>1.1584578025828215E-22</v>
      </c>
      <c r="AX184" s="21">
        <f t="shared" si="166"/>
        <v>4.720322077857797E-2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210.04871822652808</v>
      </c>
      <c r="BJ184" s="59">
        <f t="shared" si="146"/>
        <v>250.17540614049324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0.36698821778920476</v>
      </c>
      <c r="BQ184" s="21">
        <f>EXP(-LN(2)/25)*BQ183+(1-EXP(-LN(2)/25))/(LN(2)/25)*Calculateur!BL184*Calculateur!BN184*VLOOKUP('Données projet'!$B$11,Paramètres!$A$1:$I$89,3,0)*0.475*44/12</f>
        <v>0.42296376965070337</v>
      </c>
      <c r="BR184" s="21">
        <f>EXP(-LN(2)/2)*BR183+(1-EXP(-LN(2)/2))/(LN(2)/2)*BL184*BO184*VLOOKUP('Données projet'!$B$11,Paramètres!$A$1:$I$89,3,0)*0.475*44/12</f>
        <v>4.0342328741341904E-22</v>
      </c>
      <c r="BS184" s="22">
        <f t="shared" si="169"/>
        <v>0.78995198743990813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-3.177547114319168E-13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326.31232746914907</v>
      </c>
      <c r="T185" s="59">
        <f t="shared" si="142"/>
        <v>330.17137761430297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0.22510783421587274</v>
      </c>
      <c r="AA185" s="21">
        <f>EXP(-LN(2)/25)*AA184+(1-EXP(-LN(2)/25))/(LN(2)/25)*Calculateur!V185*Calculateur!X185*VLOOKUP('Données projet'!$B$9,Paramètres!$A$1:$I$89,3,0)*0.475*44/12</f>
        <v>0.44602106927662571</v>
      </c>
      <c r="AB185" s="21">
        <f>EXP(-LN(2)/2)*AB184+(1-EXP(-LN(2)/2))/(LN(2)/2)*V185*Y185*VLOOKUP('Données projet'!$B$9,Paramètres!$A$1:$I$89,3,0)*0.475*44/12</f>
        <v>4.3042625567616513E-22</v>
      </c>
      <c r="AC185" s="22">
        <f t="shared" si="163"/>
        <v>0.67112890349249843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-1.0286385077051818E-13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237.22177246688199</v>
      </c>
      <c r="AO185" s="59">
        <f t="shared" si="144"/>
        <v>149.27472147904302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4.5912446224078259E-2</v>
      </c>
      <c r="AW185" s="21">
        <f>EXP(-LN(2)/2)*AW184+(1-EXP(-LN(2)/2))/(LN(2)/2)*AQ185*AT185*VLOOKUP('Données projet'!$B$10,Paramètres!$A$1:$I$89,3,0)*0.475*44/12</f>
        <v>8.1915336792477985E-23</v>
      </c>
      <c r="AX185" s="21">
        <f t="shared" si="166"/>
        <v>4.5912446224078259E-2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210.04871822652808</v>
      </c>
      <c r="BJ185" s="59">
        <f t="shared" si="146"/>
        <v>250.17540614049324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0.35979180267906885</v>
      </c>
      <c r="BQ185" s="21">
        <f>EXP(-LN(2)/25)*BQ184+(1-EXP(-LN(2)/25))/(LN(2)/25)*Calculateur!BL185*Calculateur!BN185*VLOOKUP('Données projet'!$B$11,Paramètres!$A$1:$I$89,3,0)*0.475*44/12</f>
        <v>0.41139780312690694</v>
      </c>
      <c r="BR185" s="21">
        <f>EXP(-LN(2)/2)*BR184+(1-EXP(-LN(2)/2))/(LN(2)/2)*BL185*BO185*VLOOKUP('Données projet'!$B$11,Paramètres!$A$1:$I$89,3,0)*0.475*44/12</f>
        <v>2.8526334221859816E-22</v>
      </c>
      <c r="BS185" s="22">
        <f t="shared" si="169"/>
        <v>0.77118960580597573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-3.177547114319168E-13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326.31232746914907</v>
      </c>
      <c r="T186" s="59">
        <f t="shared" si="142"/>
        <v>330.17137761430297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0.22069360688912087</v>
      </c>
      <c r="AA186" s="21">
        <f>EXP(-LN(2)/25)*AA185+(1-EXP(-LN(2)/25))/(LN(2)/25)*Calculateur!V186*Calculateur!X186*VLOOKUP('Données projet'!$B$9,Paramètres!$A$1:$I$89,3,0)*0.475*44/12</f>
        <v>0.43382459968202775</v>
      </c>
      <c r="AB186" s="21">
        <f>EXP(-LN(2)/2)*AB185+(1-EXP(-LN(2)/2))/(LN(2)/2)*V186*Y186*VLOOKUP('Données projet'!$B$9,Paramètres!$A$1:$I$89,3,0)*0.475*44/12</f>
        <v>3.0435732418935106E-22</v>
      </c>
      <c r="AC186" s="22">
        <f t="shared" si="163"/>
        <v>0.65451820657114856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-1.0286385077051818E-13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237.22177246688199</v>
      </c>
      <c r="AO186" s="59">
        <f t="shared" si="144"/>
        <v>149.27472147904302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4.4656967967650223E-2</v>
      </c>
      <c r="AW186" s="21">
        <f>EXP(-LN(2)/2)*AW185+(1-EXP(-LN(2)/2))/(LN(2)/2)*AQ186*AT186*VLOOKUP('Données projet'!$B$10,Paramètres!$A$1:$I$89,3,0)*0.475*44/12</f>
        <v>5.7922890129141075E-23</v>
      </c>
      <c r="AX186" s="21">
        <f t="shared" si="166"/>
        <v>4.4656967967650223E-2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210.04871822652808</v>
      </c>
      <c r="BJ186" s="59">
        <f t="shared" si="146"/>
        <v>250.17540614049324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0.35273650487986291</v>
      </c>
      <c r="BQ186" s="21">
        <f>EXP(-LN(2)/25)*BQ185+(1-EXP(-LN(2)/25))/(LN(2)/25)*Calculateur!BL186*Calculateur!BN186*VLOOKUP('Données projet'!$B$11,Paramètres!$A$1:$I$89,3,0)*0.475*44/12</f>
        <v>0.40014810856593147</v>
      </c>
      <c r="BR186" s="21">
        <f>EXP(-LN(2)/2)*BR185+(1-EXP(-LN(2)/2))/(LN(2)/2)*BL186*BO186*VLOOKUP('Données projet'!$B$11,Paramètres!$A$1:$I$89,3,0)*0.475*44/12</f>
        <v>2.0171164370670952E-22</v>
      </c>
      <c r="BS186" s="22">
        <f t="shared" si="169"/>
        <v>0.75288461344579438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-3.177547114319168E-13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326.31232746914907</v>
      </c>
      <c r="T187" s="59">
        <f t="shared" si="142"/>
        <v>330.17137761430297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0.21636593986783381</v>
      </c>
      <c r="AA187" s="21">
        <f>EXP(-LN(2)/25)*AA186+(1-EXP(-LN(2)/25))/(LN(2)/25)*Calculateur!V187*Calculateur!X187*VLOOKUP('Données projet'!$B$9,Paramètres!$A$1:$I$89,3,0)*0.475*44/12</f>
        <v>0.4219616431898785</v>
      </c>
      <c r="AB187" s="21">
        <f>EXP(-LN(2)/2)*AB186+(1-EXP(-LN(2)/2))/(LN(2)/2)*V187*Y187*VLOOKUP('Données projet'!$B$9,Paramètres!$A$1:$I$89,3,0)*0.475*44/12</f>
        <v>2.1521312783808257E-22</v>
      </c>
      <c r="AC187" s="22">
        <f t="shared" si="163"/>
        <v>0.63832758305771231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-1.0286385077051818E-13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237.22177246688199</v>
      </c>
      <c r="AO187" s="59">
        <f t="shared" si="144"/>
        <v>149.27472147904302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4.3435820830166949E-2</v>
      </c>
      <c r="AW187" s="21">
        <f>EXP(-LN(2)/2)*AW186+(1-EXP(-LN(2)/2))/(LN(2)/2)*AQ187*AT187*VLOOKUP('Données projet'!$B$10,Paramètres!$A$1:$I$89,3,0)*0.475*44/12</f>
        <v>4.0957668396238992E-23</v>
      </c>
      <c r="AX187" s="21">
        <f t="shared" si="166"/>
        <v>4.3435820830166949E-2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210.04871822652808</v>
      </c>
      <c r="BJ187" s="59">
        <f t="shared" si="146"/>
        <v>250.17540614049324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0.34581955716719265</v>
      </c>
      <c r="BQ187" s="21">
        <f>EXP(-LN(2)/25)*BQ186+(1-EXP(-LN(2)/25))/(LN(2)/25)*Calculateur!BL187*Calculateur!BN187*VLOOKUP('Données projet'!$B$11,Paramètres!$A$1:$I$89,3,0)*0.475*44/12</f>
        <v>0.38920603749432159</v>
      </c>
      <c r="BR187" s="21">
        <f>EXP(-LN(2)/2)*BR186+(1-EXP(-LN(2)/2))/(LN(2)/2)*BL187*BO187*VLOOKUP('Données projet'!$B$11,Paramètres!$A$1:$I$89,3,0)*0.475*44/12</f>
        <v>1.4263167110929908E-22</v>
      </c>
      <c r="BS187" s="22">
        <f t="shared" si="169"/>
        <v>0.73502559466151429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-3.177547114319168E-13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326.31232746914907</v>
      </c>
      <c r="T188" s="59">
        <f t="shared" si="142"/>
        <v>330.17137761430297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0.21212313575721795</v>
      </c>
      <c r="AA188" s="21">
        <f>EXP(-LN(2)/25)*AA187+(1-EXP(-LN(2)/25))/(LN(2)/25)*Calculateur!V188*Calculateur!X188*VLOOKUP('Données projet'!$B$9,Paramètres!$A$1:$I$89,3,0)*0.475*44/12</f>
        <v>0.41042307986685284</v>
      </c>
      <c r="AB188" s="21">
        <f>EXP(-LN(2)/2)*AB187+(1-EXP(-LN(2)/2))/(LN(2)/2)*V188*Y188*VLOOKUP('Données projet'!$B$9,Paramètres!$A$1:$I$89,3,0)*0.475*44/12</f>
        <v>1.5217866209467553E-22</v>
      </c>
      <c r="AC188" s="22">
        <f t="shared" si="163"/>
        <v>0.62254621562407075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-1.0286385077051818E-13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237.22177246688199</v>
      </c>
      <c r="AO188" s="59">
        <f t="shared" si="144"/>
        <v>149.27472147904302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4.2248066025375487E-2</v>
      </c>
      <c r="AW188" s="21">
        <f>EXP(-LN(2)/2)*AW187+(1-EXP(-LN(2)/2))/(LN(2)/2)*AQ188*AT188*VLOOKUP('Données projet'!$B$10,Paramètres!$A$1:$I$89,3,0)*0.475*44/12</f>
        <v>2.8961445064570538E-23</v>
      </c>
      <c r="AX188" s="21">
        <f t="shared" si="166"/>
        <v>4.2248066025375487E-2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210.04871822652808</v>
      </c>
      <c r="BJ188" s="59">
        <f t="shared" si="146"/>
        <v>250.17540614049324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0.33903824658024634</v>
      </c>
      <c r="BQ188" s="21">
        <f>EXP(-LN(2)/25)*BQ187+(1-EXP(-LN(2)/25))/(LN(2)/25)*Calculateur!BL188*Calculateur!BN188*VLOOKUP('Données projet'!$B$11,Paramètres!$A$1:$I$89,3,0)*0.475*44/12</f>
        <v>0.37856317793158339</v>
      </c>
      <c r="BR188" s="21">
        <f>EXP(-LN(2)/2)*BR187+(1-EXP(-LN(2)/2))/(LN(2)/2)*BL188*BO188*VLOOKUP('Données projet'!$B$11,Paramètres!$A$1:$I$89,3,0)*0.475*44/12</f>
        <v>1.0085582185335476E-22</v>
      </c>
      <c r="BS188" s="22">
        <f t="shared" si="169"/>
        <v>0.71760142451182973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-3.177547114319168E-13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326.31232746914907</v>
      </c>
      <c r="T189" s="59">
        <f t="shared" si="142"/>
        <v>330.17137761430297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0.20796353044735627</v>
      </c>
      <c r="AA189" s="21">
        <f>EXP(-LN(2)/25)*AA188+(1-EXP(-LN(2)/25))/(LN(2)/25)*Calculateur!V189*Calculateur!X189*VLOOKUP('Données projet'!$B$9,Paramètres!$A$1:$I$89,3,0)*0.475*44/12</f>
        <v>0.399200039164682</v>
      </c>
      <c r="AB189" s="21">
        <f>EXP(-LN(2)/2)*AB188+(1-EXP(-LN(2)/2))/(LN(2)/2)*V189*Y189*VLOOKUP('Données projet'!$B$9,Paramètres!$A$1:$I$89,3,0)*0.475*44/12</f>
        <v>1.0760656391904128E-22</v>
      </c>
      <c r="AC189" s="22">
        <f t="shared" si="163"/>
        <v>0.60716356961203832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-1.0286385077051818E-13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237.22177246688199</v>
      </c>
      <c r="AO189" s="59">
        <f t="shared" si="144"/>
        <v>149.27472147904302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4.1092790438182362E-2</v>
      </c>
      <c r="AW189" s="21">
        <f>EXP(-LN(2)/2)*AW188+(1-EXP(-LN(2)/2))/(LN(2)/2)*AQ189*AT189*VLOOKUP('Données projet'!$B$10,Paramètres!$A$1:$I$89,3,0)*0.475*44/12</f>
        <v>2.0478834198119496E-23</v>
      </c>
      <c r="AX189" s="21">
        <f t="shared" si="166"/>
        <v>4.1092790438182362E-2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210.04871822652808</v>
      </c>
      <c r="BJ189" s="59">
        <f t="shared" si="146"/>
        <v>250.17540614049324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0.332389913357719</v>
      </c>
      <c r="BQ189" s="21">
        <f>EXP(-LN(2)/25)*BQ188+(1-EXP(-LN(2)/25))/(LN(2)/25)*Calculateur!BL189*Calculateur!BN189*VLOOKUP('Données projet'!$B$11,Paramètres!$A$1:$I$89,3,0)*0.475*44/12</f>
        <v>0.36821134792327193</v>
      </c>
      <c r="BR189" s="21">
        <f>EXP(-LN(2)/2)*BR188+(1-EXP(-LN(2)/2))/(LN(2)/2)*BL189*BO189*VLOOKUP('Données projet'!$B$11,Paramètres!$A$1:$I$89,3,0)*0.475*44/12</f>
        <v>7.1315835554649541E-23</v>
      </c>
      <c r="BS189" s="22">
        <f t="shared" si="169"/>
        <v>0.70060126128099087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-3.177547114319168E-13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326.31232746914907</v>
      </c>
      <c r="T190" s="59">
        <f t="shared" si="142"/>
        <v>330.17137761430297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0.20388549246051227</v>
      </c>
      <c r="AA190" s="21">
        <f>EXP(-LN(2)/25)*AA189+(1-EXP(-LN(2)/25))/(LN(2)/25)*Calculateur!V190*Calculateur!X190*VLOOKUP('Données projet'!$B$9,Paramètres!$A$1:$I$89,3,0)*0.475*44/12</f>
        <v>0.3882838931007061</v>
      </c>
      <c r="AB190" s="21">
        <f>EXP(-LN(2)/2)*AB189+(1-EXP(-LN(2)/2))/(LN(2)/2)*V190*Y190*VLOOKUP('Données projet'!$B$9,Paramètres!$A$1:$I$89,3,0)*0.475*44/12</f>
        <v>7.6089331047337764E-23</v>
      </c>
      <c r="AC190" s="22">
        <f t="shared" si="163"/>
        <v>0.59216938556121834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-1.0286385077051818E-13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237.22177246688199</v>
      </c>
      <c r="AO190" s="59">
        <f t="shared" si="144"/>
        <v>149.27472147904302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3.9969105922674338E-2</v>
      </c>
      <c r="AW190" s="21">
        <f>EXP(-LN(2)/2)*AW189+(1-EXP(-LN(2)/2))/(LN(2)/2)*AQ190*AT190*VLOOKUP('Données projet'!$B$10,Paramètres!$A$1:$I$89,3,0)*0.475*44/12</f>
        <v>1.4480722532285269E-23</v>
      </c>
      <c r="AX190" s="21">
        <f t="shared" si="166"/>
        <v>3.9969105922674338E-2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210.04871822652808</v>
      </c>
      <c r="BJ190" s="59">
        <f t="shared" si="146"/>
        <v>250.17540614049324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0.32587194989460261</v>
      </c>
      <c r="BQ190" s="21">
        <f>EXP(-LN(2)/25)*BQ189+(1-EXP(-LN(2)/25))/(LN(2)/25)*Calculateur!BL190*Calculateur!BN190*VLOOKUP('Données projet'!$B$11,Paramètres!$A$1:$I$89,3,0)*0.475*44/12</f>
        <v>0.3581425892509168</v>
      </c>
      <c r="BR190" s="21">
        <f>EXP(-LN(2)/2)*BR189+(1-EXP(-LN(2)/2))/(LN(2)/2)*BL190*BO190*VLOOKUP('Données projet'!$B$11,Paramètres!$A$1:$I$89,3,0)*0.475*44/12</f>
        <v>5.0427910926677379E-23</v>
      </c>
      <c r="BS190" s="22">
        <f t="shared" si="169"/>
        <v>0.68401453914551946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-3.177547114319168E-13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326.31232746914907</v>
      </c>
      <c r="T191" s="59">
        <f t="shared" si="142"/>
        <v>330.17137761430297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0.19988742231123272</v>
      </c>
      <c r="AA191" s="21">
        <f>EXP(-LN(2)/25)*AA190+(1-EXP(-LN(2)/25))/(LN(2)/25)*Calculateur!V191*Calculateur!X191*VLOOKUP('Données projet'!$B$9,Paramètres!$A$1:$I$89,3,0)*0.475*44/12</f>
        <v>0.3776662496249048</v>
      </c>
      <c r="AB191" s="21">
        <f>EXP(-LN(2)/2)*AB190+(1-EXP(-LN(2)/2))/(LN(2)/2)*V191*Y191*VLOOKUP('Données projet'!$B$9,Paramètres!$A$1:$I$89,3,0)*0.475*44/12</f>
        <v>5.3803281959520642E-23</v>
      </c>
      <c r="AC191" s="22">
        <f t="shared" si="163"/>
        <v>0.57755367193613749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-1.0286385077051818E-13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237.22177246688199</v>
      </c>
      <c r="AO191" s="59">
        <f t="shared" si="144"/>
        <v>149.27472147904302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3.8876148619334881E-2</v>
      </c>
      <c r="AW191" s="21">
        <f>EXP(-LN(2)/2)*AW190+(1-EXP(-LN(2)/2))/(LN(2)/2)*AQ191*AT191*VLOOKUP('Données projet'!$B$10,Paramètres!$A$1:$I$89,3,0)*0.475*44/12</f>
        <v>1.0239417099059748E-23</v>
      </c>
      <c r="AX191" s="21">
        <f t="shared" si="166"/>
        <v>3.8876148619334881E-2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210.04871822652808</v>
      </c>
      <c r="BJ191" s="59">
        <f t="shared" si="146"/>
        <v>250.17540614049324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0.31948179971943275</v>
      </c>
      <c r="BQ191" s="21">
        <f>EXP(-LN(2)/25)*BQ190+(1-EXP(-LN(2)/25))/(LN(2)/25)*Calculateur!BL191*Calculateur!BN191*VLOOKUP('Données projet'!$B$11,Paramètres!$A$1:$I$89,3,0)*0.475*44/12</f>
        <v>0.34834916131395027</v>
      </c>
      <c r="BR191" s="21">
        <f>EXP(-LN(2)/2)*BR190+(1-EXP(-LN(2)/2))/(LN(2)/2)*BL191*BO191*VLOOKUP('Données projet'!$B$11,Paramètres!$A$1:$I$89,3,0)*0.475*44/12</f>
        <v>3.565791777732477E-23</v>
      </c>
      <c r="BS191" s="22">
        <f t="shared" si="169"/>
        <v>0.66783096103338302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-3.177547114319168E-13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326.31232746914907</v>
      </c>
      <c r="T192" s="59">
        <f t="shared" si="142"/>
        <v>330.17137761430297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0.19596775187899851</v>
      </c>
      <c r="AA192" s="21">
        <f>EXP(-LN(2)/25)*AA191+(1-EXP(-LN(2)/25))/(LN(2)/25)*Calculateur!V192*Calculateur!X192*VLOOKUP('Données projet'!$B$9,Paramètres!$A$1:$I$89,3,0)*0.475*44/12</f>
        <v>0.36733894616830687</v>
      </c>
      <c r="AB192" s="21">
        <f>EXP(-LN(2)/2)*AB191+(1-EXP(-LN(2)/2))/(LN(2)/2)*V192*Y192*VLOOKUP('Données projet'!$B$9,Paramètres!$A$1:$I$89,3,0)*0.475*44/12</f>
        <v>3.8044665523668882E-23</v>
      </c>
      <c r="AC192" s="22">
        <f t="shared" si="163"/>
        <v>0.56330669804730538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-1.0286385077051818E-13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237.22177246688199</v>
      </c>
      <c r="AO192" s="59">
        <f t="shared" si="144"/>
        <v>149.27472147904302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3.7813078290931362E-2</v>
      </c>
      <c r="AW192" s="21">
        <f>EXP(-LN(2)/2)*AW191+(1-EXP(-LN(2)/2))/(LN(2)/2)*AQ192*AT192*VLOOKUP('Données projet'!$B$10,Paramètres!$A$1:$I$89,3,0)*0.475*44/12</f>
        <v>7.2403612661426344E-24</v>
      </c>
      <c r="AX192" s="21">
        <f t="shared" si="166"/>
        <v>3.7813078290931362E-2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210.04871822652808</v>
      </c>
      <c r="BJ192" s="59">
        <f t="shared" si="146"/>
        <v>250.17540614049324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0.3132169564915912</v>
      </c>
      <c r="BQ192" s="21">
        <f>EXP(-LN(2)/25)*BQ191+(1-EXP(-LN(2)/25))/(LN(2)/25)*Calculateur!BL192*Calculateur!BN192*VLOOKUP('Données projet'!$B$11,Paramètres!$A$1:$I$89,3,0)*0.475*44/12</f>
        <v>0.3388235351789341</v>
      </c>
      <c r="BR192" s="21">
        <f>EXP(-LN(2)/2)*BR191+(1-EXP(-LN(2)/2))/(LN(2)/2)*BL192*BO192*VLOOKUP('Données projet'!$B$11,Paramètres!$A$1:$I$89,3,0)*0.475*44/12</f>
        <v>2.521395546333869E-23</v>
      </c>
      <c r="BS192" s="22">
        <f t="shared" si="169"/>
        <v>0.65204049167052536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-3.177547114319168E-13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326.31232746914907</v>
      </c>
      <c r="T193" s="59">
        <f t="shared" si="142"/>
        <v>330.17137761430297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0.19212494379317754</v>
      </c>
      <c r="AA193" s="21">
        <f>EXP(-LN(2)/25)*AA192+(1-EXP(-LN(2)/25))/(LN(2)/25)*Calculateur!V193*Calculateur!X193*VLOOKUP('Données projet'!$B$9,Paramètres!$A$1:$I$89,3,0)*0.475*44/12</f>
        <v>0.35729404336781889</v>
      </c>
      <c r="AB193" s="21">
        <f>EXP(-LN(2)/2)*AB192+(1-EXP(-LN(2)/2))/(LN(2)/2)*V193*Y193*VLOOKUP('Données projet'!$B$9,Paramètres!$A$1:$I$89,3,0)*0.475*44/12</f>
        <v>2.6901640979760321E-23</v>
      </c>
      <c r="AC193" s="22">
        <f t="shared" si="163"/>
        <v>0.54941898716099646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-1.0286385077051818E-13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237.22177246688199</v>
      </c>
      <c r="AO193" s="59">
        <f t="shared" si="144"/>
        <v>149.27472147904302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3.677907767656248E-2</v>
      </c>
      <c r="AW193" s="21">
        <f>EXP(-LN(2)/2)*AW192+(1-EXP(-LN(2)/2))/(LN(2)/2)*AQ193*AT193*VLOOKUP('Données projet'!$B$10,Paramètres!$A$1:$I$89,3,0)*0.475*44/12</f>
        <v>5.119708549529874E-24</v>
      </c>
      <c r="AX193" s="21">
        <f t="shared" si="166"/>
        <v>3.677907767656248E-2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210.04871822652808</v>
      </c>
      <c r="BJ193" s="59">
        <f t="shared" si="146"/>
        <v>250.17540614049324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0.30707496301827059</v>
      </c>
      <c r="BQ193" s="21">
        <f>EXP(-LN(2)/25)*BQ192+(1-EXP(-LN(2)/25))/(LN(2)/25)*Calculateur!BL193*Calculateur!BN193*VLOOKUP('Données projet'!$B$11,Paramètres!$A$1:$I$89,3,0)*0.475*44/12</f>
        <v>0.32955838779151081</v>
      </c>
      <c r="BR193" s="21">
        <f>EXP(-LN(2)/2)*BR192+(1-EXP(-LN(2)/2))/(LN(2)/2)*BL193*BO193*VLOOKUP('Données projet'!$B$11,Paramètres!$A$1:$I$89,3,0)*0.475*44/12</f>
        <v>1.7828958888662385E-23</v>
      </c>
      <c r="BS193" s="22">
        <f t="shared" si="169"/>
        <v>0.63663335080978145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-3.177547114319168E-13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326.31232746914907</v>
      </c>
      <c r="T194" s="59">
        <f t="shared" si="142"/>
        <v>330.17137761430297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0.18835749083003803</v>
      </c>
      <c r="AA194" s="21">
        <f>EXP(-LN(2)/25)*AA193+(1-EXP(-LN(2)/25))/(LN(2)/25)*Calculateur!V194*Calculateur!X194*VLOOKUP('Données projet'!$B$9,Paramètres!$A$1:$I$89,3,0)*0.475*44/12</f>
        <v>0.34752381896264872</v>
      </c>
      <c r="AB194" s="21">
        <f>EXP(-LN(2)/2)*AB193+(1-EXP(-LN(2)/2))/(LN(2)/2)*V194*Y194*VLOOKUP('Données projet'!$B$9,Paramètres!$A$1:$I$89,3,0)*0.475*44/12</f>
        <v>1.9022332761834441E-23</v>
      </c>
      <c r="AC194" s="22">
        <f t="shared" si="163"/>
        <v>0.53588130979268678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-1.0286385077051818E-13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237.22177246688199</v>
      </c>
      <c r="AO194" s="59">
        <f t="shared" si="144"/>
        <v>149.27472147904302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3.5773351863369246E-2</v>
      </c>
      <c r="AW194" s="21">
        <f>EXP(-LN(2)/2)*AW193+(1-EXP(-LN(2)/2))/(LN(2)/2)*AQ194*AT194*VLOOKUP('Données projet'!$B$10,Paramètres!$A$1:$I$89,3,0)*0.475*44/12</f>
        <v>3.6201806330713172E-24</v>
      </c>
      <c r="AX194" s="21">
        <f t="shared" si="166"/>
        <v>3.5773351863369246E-2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210.04871822652808</v>
      </c>
      <c r="BJ194" s="59">
        <f t="shared" si="146"/>
        <v>250.17540614049324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0.3010534102907157</v>
      </c>
      <c r="BQ194" s="21">
        <f>EXP(-LN(2)/25)*BQ193+(1-EXP(-LN(2)/25))/(LN(2)/25)*Calculateur!BL194*Calculateur!BN194*VLOOKUP('Données projet'!$B$11,Paramètres!$A$1:$I$89,3,0)*0.475*44/12</f>
        <v>0.32054659634662958</v>
      </c>
      <c r="BR194" s="21">
        <f>EXP(-LN(2)/2)*BR193+(1-EXP(-LN(2)/2))/(LN(2)/2)*BL194*BO194*VLOOKUP('Données projet'!$B$11,Paramètres!$A$1:$I$89,3,0)*0.475*44/12</f>
        <v>1.2606977731669345E-23</v>
      </c>
      <c r="BS194" s="22">
        <f t="shared" si="169"/>
        <v>0.62160000663734527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-3.177547114319168E-13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326.31232746914907</v>
      </c>
      <c r="T195" s="59">
        <f t="shared" si="142"/>
        <v>330.17137761430297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0.18466391532158627</v>
      </c>
      <c r="AA195" s="21">
        <f>EXP(-LN(2)/25)*AA194+(1-EXP(-LN(2)/25))/(LN(2)/25)*Calculateur!V195*Calculateur!X195*VLOOKUP('Données projet'!$B$9,Paramètres!$A$1:$I$89,3,0)*0.475*44/12</f>
        <v>0.33802076185763175</v>
      </c>
      <c r="AB195" s="21">
        <f>EXP(-LN(2)/2)*AB194+(1-EXP(-LN(2)/2))/(LN(2)/2)*V195*Y195*VLOOKUP('Données projet'!$B$9,Paramètres!$A$1:$I$89,3,0)*0.475*44/12</f>
        <v>1.345082048988016E-23</v>
      </c>
      <c r="AC195" s="22">
        <f t="shared" si="163"/>
        <v>0.52268467717921796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-1.0286385077051818E-13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237.22177246688199</v>
      </c>
      <c r="AO195" s="59">
        <f t="shared" si="144"/>
        <v>149.27472147904302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3.4795127675426599E-2</v>
      </c>
      <c r="AW195" s="21">
        <f>EXP(-LN(2)/2)*AW194+(1-EXP(-LN(2)/2))/(LN(2)/2)*AQ195*AT195*VLOOKUP('Données projet'!$B$10,Paramètres!$A$1:$I$89,3,0)*0.475*44/12</f>
        <v>2.559854274764937E-24</v>
      </c>
      <c r="AX195" s="21">
        <f t="shared" si="166"/>
        <v>3.4795127675426599E-2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210.04871822652808</v>
      </c>
      <c r="BJ195" s="59">
        <f t="shared" si="146"/>
        <v>250.17540614049324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0.29514993653936361</v>
      </c>
      <c r="BQ195" s="21">
        <f>EXP(-LN(2)/25)*BQ194+(1-EXP(-LN(2)/25))/(LN(2)/25)*Calculateur!BL195*Calculateur!BN195*VLOOKUP('Données projet'!$B$11,Paramètres!$A$1:$I$89,3,0)*0.475*44/12</f>
        <v>0.31178123281271813</v>
      </c>
      <c r="BR195" s="21">
        <f>EXP(-LN(2)/2)*BR194+(1-EXP(-LN(2)/2))/(LN(2)/2)*BL195*BO195*VLOOKUP('Données projet'!$B$11,Paramètres!$A$1:$I$89,3,0)*0.475*44/12</f>
        <v>8.9144794443311926E-24</v>
      </c>
      <c r="BS195" s="22">
        <f t="shared" si="169"/>
        <v>0.6069311693520818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-3.177547114319168E-13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326.31232746914907</v>
      </c>
      <c r="T196" s="59">
        <f t="shared" si="142"/>
        <v>330.17137761430297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0.18104276857599663</v>
      </c>
      <c r="AA196" s="21">
        <f>EXP(-LN(2)/25)*AA195+(1-EXP(-LN(2)/25))/(LN(2)/25)*Calculateur!V196*Calculateur!X196*VLOOKUP('Données projet'!$B$9,Paramètres!$A$1:$I$89,3,0)*0.475*44/12</f>
        <v>0.32877756634889549</v>
      </c>
      <c r="AB196" s="21">
        <f>EXP(-LN(2)/2)*AB195+(1-EXP(-LN(2)/2))/(LN(2)/2)*V196*Y196*VLOOKUP('Données projet'!$B$9,Paramètres!$A$1:$I$89,3,0)*0.475*44/12</f>
        <v>9.5111663809172205E-24</v>
      </c>
      <c r="AC196" s="22">
        <f t="shared" si="163"/>
        <v>0.50982033492489209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-1.0286385077051818E-13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237.22177246688199</v>
      </c>
      <c r="AO196" s="59">
        <f t="shared" si="144"/>
        <v>149.27472147904302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3.3843653079345816E-2</v>
      </c>
      <c r="AW196" s="21">
        <f>EXP(-LN(2)/2)*AW195+(1-EXP(-LN(2)/2))/(LN(2)/2)*AQ196*AT196*VLOOKUP('Données projet'!$B$10,Paramètres!$A$1:$I$89,3,0)*0.475*44/12</f>
        <v>1.8100903165356586E-24</v>
      </c>
      <c r="AX196" s="21">
        <f t="shared" si="166"/>
        <v>3.3843653079345816E-2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210.04871822652808</v>
      </c>
      <c r="BJ196" s="59">
        <f t="shared" si="146"/>
        <v>250.17540614049324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0.28936222630751213</v>
      </c>
      <c r="BQ196" s="21">
        <f>EXP(-LN(2)/25)*BQ195+(1-EXP(-LN(2)/25))/(LN(2)/25)*Calculateur!BL196*Calculateur!BN196*VLOOKUP('Données projet'!$B$11,Paramètres!$A$1:$I$89,3,0)*0.475*44/12</f>
        <v>0.30325555860559189</v>
      </c>
      <c r="BR196" s="21">
        <f>EXP(-LN(2)/2)*BR195+(1-EXP(-LN(2)/2))/(LN(2)/2)*BL196*BO196*VLOOKUP('Données projet'!$B$11,Paramètres!$A$1:$I$89,3,0)*0.475*44/12</f>
        <v>6.3034888658346724E-24</v>
      </c>
      <c r="BS196" s="22">
        <f t="shared" si="169"/>
        <v>0.59261778491310402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-3.177547114319168E-13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326.31232746914907</v>
      </c>
      <c r="T197" s="59">
        <f t="shared" ref="T197:T203" si="204">$T$3</f>
        <v>330.17137761430297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0.1774926303094066</v>
      </c>
      <c r="AA197" s="21">
        <f>EXP(-LN(2)/25)*AA196+(1-EXP(-LN(2)/25))/(LN(2)/25)*Calculateur!V197*Calculateur!X197*VLOOKUP('Données projet'!$B$9,Paramètres!$A$1:$I$89,3,0)*0.475*44/12</f>
        <v>0.31978712650742414</v>
      </c>
      <c r="AB197" s="21">
        <f>EXP(-LN(2)/2)*AB196+(1-EXP(-LN(2)/2))/(LN(2)/2)*V197*Y197*VLOOKUP('Données projet'!$B$9,Paramètres!$A$1:$I$89,3,0)*0.475*44/12</f>
        <v>6.7254102449400802E-24</v>
      </c>
      <c r="AC197" s="22">
        <f t="shared" si="163"/>
        <v>0.49727975681683073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-1.0286385077051818E-13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237.22177246688199</v>
      </c>
      <c r="AO197" s="59">
        <f t="shared" ref="AO197:AO203" si="205">$AO$3</f>
        <v>149.27472147904302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3.291819660613074E-2</v>
      </c>
      <c r="AW197" s="21">
        <f>EXP(-LN(2)/2)*AW196+(1-EXP(-LN(2)/2))/(LN(2)/2)*AQ197*AT197*VLOOKUP('Données projet'!$B$10,Paramètres!$A$1:$I$89,3,0)*0.475*44/12</f>
        <v>1.2799271373824685E-24</v>
      </c>
      <c r="AX197" s="21">
        <f t="shared" si="166"/>
        <v>3.291819660613074E-2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210.04871822652808</v>
      </c>
      <c r="BJ197" s="59">
        <f t="shared" ref="BJ197:BJ203" si="206">$BJ$3</f>
        <v>250.17540614049324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0.2836880095431526</v>
      </c>
      <c r="BQ197" s="21">
        <f>EXP(-LN(2)/25)*BQ196+(1-EXP(-LN(2)/25))/(LN(2)/25)*Calculateur!BL197*Calculateur!BN197*VLOOKUP('Données projet'!$B$11,Paramètres!$A$1:$I$89,3,0)*0.475*44/12</f>
        <v>0.29496301940800523</v>
      </c>
      <c r="BR197" s="21">
        <f>EXP(-LN(2)/2)*BR196+(1-EXP(-LN(2)/2))/(LN(2)/2)*BL197*BO197*VLOOKUP('Données projet'!$B$11,Paramètres!$A$1:$I$89,3,0)*0.475*44/12</f>
        <v>4.4572397221655963E-24</v>
      </c>
      <c r="BS197" s="22">
        <f t="shared" si="169"/>
        <v>0.57865102895115783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-3.177547114319168E-13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326.31232746914907</v>
      </c>
      <c r="T198" s="59">
        <f t="shared" si="204"/>
        <v>330.17137761430297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0.17401210808885384</v>
      </c>
      <c r="AA198" s="21">
        <f>EXP(-LN(2)/25)*AA197+(1-EXP(-LN(2)/25))/(LN(2)/25)*Calculateur!V198*Calculateur!X198*VLOOKUP('Données projet'!$B$9,Paramètres!$A$1:$I$89,3,0)*0.475*44/12</f>
        <v>0.31104253071620452</v>
      </c>
      <c r="AB198" s="21">
        <f>EXP(-LN(2)/2)*AB197+(1-EXP(-LN(2)/2))/(LN(2)/2)*V198*Y198*VLOOKUP('Données projet'!$B$9,Paramètres!$A$1:$I$89,3,0)*0.475*44/12</f>
        <v>4.7555831904586103E-24</v>
      </c>
      <c r="AC198" s="22">
        <f t="shared" si="163"/>
        <v>0.48505463880505839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-1.0286385077051818E-13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237.22177246688199</v>
      </c>
      <c r="AO198" s="59">
        <f t="shared" si="205"/>
        <v>149.27472147904302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3.2018046788843374E-2</v>
      </c>
      <c r="AW198" s="21">
        <f>EXP(-LN(2)/2)*AW197+(1-EXP(-LN(2)/2))/(LN(2)/2)*AQ198*AT198*VLOOKUP('Données projet'!$B$10,Paramètres!$A$1:$I$89,3,0)*0.475*44/12</f>
        <v>9.050451582678293E-25</v>
      </c>
      <c r="AX198" s="21">
        <f t="shared" si="166"/>
        <v>3.2018046788843374E-2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210.04871822652808</v>
      </c>
      <c r="BJ198" s="59">
        <f t="shared" si="206"/>
        <v>250.17540614049324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0.27812506070861165</v>
      </c>
      <c r="BQ198" s="21">
        <f>EXP(-LN(2)/25)*BQ197+(1-EXP(-LN(2)/25))/(LN(2)/25)*Calculateur!BL198*Calculateur!BN198*VLOOKUP('Données projet'!$B$11,Paramètres!$A$1:$I$89,3,0)*0.475*44/12</f>
        <v>0.28689724013086226</v>
      </c>
      <c r="BR198" s="21">
        <f>EXP(-LN(2)/2)*BR197+(1-EXP(-LN(2)/2))/(LN(2)/2)*BL198*BO198*VLOOKUP('Données projet'!$B$11,Paramètres!$A$1:$I$89,3,0)*0.475*44/12</f>
        <v>3.1517444329173362E-24</v>
      </c>
      <c r="BS198" s="22">
        <f t="shared" si="169"/>
        <v>0.56502230083947391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-3.177547114319168E-13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326.31232746914907</v>
      </c>
      <c r="T199" s="59">
        <f t="shared" si="204"/>
        <v>330.17137761430297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0.17059983678613719</v>
      </c>
      <c r="AA199" s="21">
        <f>EXP(-LN(2)/25)*AA198+(1-EXP(-LN(2)/25))/(LN(2)/25)*Calculateur!V199*Calculateur!X199*VLOOKUP('Données projet'!$B$9,Paramètres!$A$1:$I$89,3,0)*0.475*44/12</f>
        <v>0.3025370563567541</v>
      </c>
      <c r="AB199" s="21">
        <f>EXP(-LN(2)/2)*AB198+(1-EXP(-LN(2)/2))/(LN(2)/2)*V199*Y199*VLOOKUP('Données projet'!$B$9,Paramètres!$A$1:$I$89,3,0)*0.475*44/12</f>
        <v>3.3627051224700401E-24</v>
      </c>
      <c r="AC199" s="22">
        <f t="shared" si="163"/>
        <v>0.47313689314289131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-1.0286385077051818E-13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237.22177246688199</v>
      </c>
      <c r="AO199" s="59">
        <f t="shared" si="205"/>
        <v>149.27472147904302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3.1142511615646549E-2</v>
      </c>
      <c r="AW199" s="21">
        <f>EXP(-LN(2)/2)*AW198+(1-EXP(-LN(2)/2))/(LN(2)/2)*AQ199*AT199*VLOOKUP('Données projet'!$B$10,Paramètres!$A$1:$I$89,3,0)*0.475*44/12</f>
        <v>6.3996356869123425E-25</v>
      </c>
      <c r="AX199" s="21">
        <f t="shared" si="166"/>
        <v>3.1142511615646549E-2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210.04871822652808</v>
      </c>
      <c r="BJ199" s="59">
        <f t="shared" si="206"/>
        <v>250.17540614049324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0.27267119790765232</v>
      </c>
      <c r="BQ199" s="21">
        <f>EXP(-LN(2)/25)*BQ198+(1-EXP(-LN(2)/25))/(LN(2)/25)*Calculateur!BL199*Calculateur!BN199*VLOOKUP('Données projet'!$B$11,Paramètres!$A$1:$I$89,3,0)*0.475*44/12</f>
        <v>0.27905202001221369</v>
      </c>
      <c r="BR199" s="21">
        <f>EXP(-LN(2)/2)*BR198+(1-EXP(-LN(2)/2))/(LN(2)/2)*BL199*BO199*VLOOKUP('Données projet'!$B$11,Paramètres!$A$1:$I$89,3,0)*0.475*44/12</f>
        <v>2.2286198610827981E-24</v>
      </c>
      <c r="BS199" s="22">
        <f t="shared" si="169"/>
        <v>0.551723217919866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-3.177547114319168E-13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326.31232746914907</v>
      </c>
      <c r="T200" s="59">
        <f t="shared" si="204"/>
        <v>330.17137761430297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0.16725447804238683</v>
      </c>
      <c r="AA200" s="21">
        <f>EXP(-LN(2)/25)*AA199+(1-EXP(-LN(2)/25))/(LN(2)/25)*Calculateur!V200*Calculateur!X200*VLOOKUP('Données projet'!$B$9,Paramètres!$A$1:$I$89,3,0)*0.475*44/12</f>
        <v>0.29426416464094635</v>
      </c>
      <c r="AB200" s="21">
        <f>EXP(-LN(2)/2)*AB199+(1-EXP(-LN(2)/2))/(LN(2)/2)*V200*Y200*VLOOKUP('Données projet'!$B$9,Paramètres!$A$1:$I$89,3,0)*0.475*44/12</f>
        <v>2.3777915952293051E-24</v>
      </c>
      <c r="AC200" s="22">
        <f t="shared" si="163"/>
        <v>0.4615186426833332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-1.0286385077051818E-13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237.22177246688199</v>
      </c>
      <c r="AO200" s="59">
        <f t="shared" si="205"/>
        <v>149.27472147904302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3.0290917997803184E-2</v>
      </c>
      <c r="AW200" s="21">
        <f>EXP(-LN(2)/2)*AW199+(1-EXP(-LN(2)/2))/(LN(2)/2)*AQ200*AT200*VLOOKUP('Données projet'!$B$10,Paramètres!$A$1:$I$89,3,0)*0.475*44/12</f>
        <v>4.5252257913391465E-25</v>
      </c>
      <c r="AX200" s="21">
        <f t="shared" si="166"/>
        <v>3.0290917997803184E-2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210.04871822652808</v>
      </c>
      <c r="BJ200" s="59">
        <f t="shared" si="206"/>
        <v>250.17540614049324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0.26732428202969194</v>
      </c>
      <c r="BQ200" s="21">
        <f>EXP(-LN(2)/25)*BQ199+(1-EXP(-LN(2)/25))/(LN(2)/25)*Calculateur!BL200*Calculateur!BN200*VLOOKUP('Données projet'!$B$11,Paramètres!$A$1:$I$89,3,0)*0.475*44/12</f>
        <v>0.27142132785027173</v>
      </c>
      <c r="BR200" s="21">
        <f>EXP(-LN(2)/2)*BR199+(1-EXP(-LN(2)/2))/(LN(2)/2)*BL200*BO200*VLOOKUP('Données projet'!$B$11,Paramètres!$A$1:$I$89,3,0)*0.475*44/12</f>
        <v>1.5758722164586681E-24</v>
      </c>
      <c r="BS200" s="22">
        <f t="shared" si="169"/>
        <v>0.53874560987996367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-3.177547114319168E-13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326.31232746914907</v>
      </c>
      <c r="T201" s="59">
        <f t="shared" si="204"/>
        <v>330.17137761430297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0.16397471974313407</v>
      </c>
      <c r="AA201" s="21">
        <f>EXP(-LN(2)/25)*AA200+(1-EXP(-LN(2)/25))/(LN(2)/25)*Calculateur!V201*Calculateur!X201*VLOOKUP('Données projet'!$B$9,Paramètres!$A$1:$I$89,3,0)*0.475*44/12</f>
        <v>0.28621749558415982</v>
      </c>
      <c r="AB201" s="21">
        <f>EXP(-LN(2)/2)*AB200+(1-EXP(-LN(2)/2))/(LN(2)/2)*V201*Y201*VLOOKUP('Données projet'!$B$9,Paramètres!$A$1:$I$89,3,0)*0.475*44/12</f>
        <v>1.6813525612350201E-24</v>
      </c>
      <c r="AC201" s="22">
        <f t="shared" si="163"/>
        <v>0.45019221532729392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-1.0286385077051818E-13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237.22177246688199</v>
      </c>
      <c r="AO201" s="59">
        <f t="shared" si="205"/>
        <v>149.27472147904302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2.946261125222311E-2</v>
      </c>
      <c r="AW201" s="21">
        <f>EXP(-LN(2)/2)*AW200+(1-EXP(-LN(2)/2))/(LN(2)/2)*AQ201*AT201*VLOOKUP('Données projet'!$B$10,Paramètres!$A$1:$I$89,3,0)*0.475*44/12</f>
        <v>3.1998178434561713E-25</v>
      </c>
      <c r="AX201" s="21">
        <f t="shared" si="166"/>
        <v>2.946261125222311E-2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210.04871822652808</v>
      </c>
      <c r="BJ201" s="59">
        <f t="shared" si="206"/>
        <v>250.17540614049324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0.26208221591080172</v>
      </c>
      <c r="BQ201" s="21">
        <f>EXP(-LN(2)/25)*BQ200+(1-EXP(-LN(2)/25))/(LN(2)/25)*Calculateur!BL201*Calculateur!BN201*VLOOKUP('Données projet'!$B$11,Paramètres!$A$1:$I$89,3,0)*0.475*44/12</f>
        <v>0.26399929736677874</v>
      </c>
      <c r="BR201" s="21">
        <f>EXP(-LN(2)/2)*BR200+(1-EXP(-LN(2)/2))/(LN(2)/2)*BL201*BO201*VLOOKUP('Données projet'!$B$11,Paramètres!$A$1:$I$89,3,0)*0.475*44/12</f>
        <v>1.1143099305413991E-24</v>
      </c>
      <c r="BS201" s="22">
        <f t="shared" si="169"/>
        <v>0.52608151327758046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-3.177547114319168E-13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326.31232746914907</v>
      </c>
      <c r="T202" s="59">
        <f t="shared" si="204"/>
        <v>330.17137761430297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0.16075927550367464</v>
      </c>
      <c r="AA202" s="21">
        <f>EXP(-LN(2)/25)*AA201+(1-EXP(-LN(2)/25))/(LN(2)/25)*Calculateur!V202*Calculateur!X202*VLOOKUP('Données projet'!$B$9,Paramètres!$A$1:$I$89,3,0)*0.475*44/12</f>
        <v>0.27839086311588701</v>
      </c>
      <c r="AB202" s="21">
        <f>EXP(-LN(2)/2)*AB201+(1-EXP(-LN(2)/2))/(LN(2)/2)*V202*Y202*VLOOKUP('Données projet'!$B$9,Paramètres!$A$1:$I$89,3,0)*0.475*44/12</f>
        <v>1.1888957976146526E-24</v>
      </c>
      <c r="AC202" s="22">
        <f t="shared" si="163"/>
        <v>0.43915013861956165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-1.0286385077051818E-13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237.22177246688199</v>
      </c>
      <c r="AO202" s="59">
        <f t="shared" si="205"/>
        <v>149.27472147904302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2.865695459815968E-2</v>
      </c>
      <c r="AW202" s="21">
        <f>EXP(-LN(2)/2)*AW201+(1-EXP(-LN(2)/2))/(LN(2)/2)*AQ202*AT202*VLOOKUP('Données projet'!$B$10,Paramètres!$A$1:$I$89,3,0)*0.475*44/12</f>
        <v>2.2626128956695732E-25</v>
      </c>
      <c r="AX202" s="21">
        <f t="shared" si="166"/>
        <v>2.865695459815968E-2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210.04871822652808</v>
      </c>
      <c r="BJ202" s="59">
        <f t="shared" si="206"/>
        <v>250.17540614049324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0.25694294351115832</v>
      </c>
      <c r="BQ202" s="21">
        <f>EXP(-LN(2)/25)*BQ201+(1-EXP(-LN(2)/25))/(LN(2)/25)*Calculateur!BL202*Calculateur!BN202*VLOOKUP('Données projet'!$B$11,Paramètres!$A$1:$I$89,3,0)*0.475*44/12</f>
        <v>0.2567802226971645</v>
      </c>
      <c r="BR202" s="21">
        <f>EXP(-LN(2)/2)*BR201+(1-EXP(-LN(2)/2))/(LN(2)/2)*BL202*BO202*VLOOKUP('Données projet'!$B$11,Paramètres!$A$1:$I$89,3,0)*0.475*44/12</f>
        <v>7.8793610822933405E-25</v>
      </c>
      <c r="BS202" s="22">
        <f t="shared" si="169"/>
        <v>0.51372316620832281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-3.177547114319168E-13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326.31232746914907</v>
      </c>
      <c r="T203" s="59">
        <f t="shared" si="204"/>
        <v>330.17137761430297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0.15760688416452365</v>
      </c>
      <c r="AA203" s="21">
        <f>EXP(-LN(2)/25)*AA202+(1-EXP(-LN(2)/25))/(LN(2)/25)*Calculateur!V203*Calculateur!X203*VLOOKUP('Données projet'!$B$9,Paramètres!$A$1:$I$89,3,0)*0.475*44/12</f>
        <v>0.27077825032404385</v>
      </c>
      <c r="AB203" s="21">
        <f>EXP(-LN(2)/2)*AB202+(1-EXP(-LN(2)/2))/(LN(2)/2)*V203*Y203*VLOOKUP('Données projet'!$B$9,Paramètres!$A$1:$I$89,3,0)*0.475*44/12</f>
        <v>8.4067628061751003E-25</v>
      </c>
      <c r="AC203" s="22">
        <f t="shared" si="163"/>
        <v>0.42838513448856752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-1.0286385077051818E-13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237.22177246688199</v>
      </c>
      <c r="AO203" s="59">
        <f t="shared" si="205"/>
        <v>149.27472147904302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2.7873328667669256E-2</v>
      </c>
      <c r="AW203" s="21">
        <f>EXP(-LN(2)/2)*AW202+(1-EXP(-LN(2)/2))/(LN(2)/2)*AQ203*AT203*VLOOKUP('Données projet'!$B$10,Paramètres!$A$1:$I$89,3,0)*0.475*44/12</f>
        <v>1.5999089217280856E-25</v>
      </c>
      <c r="AX203" s="21">
        <f t="shared" si="166"/>
        <v>2.7873328667669256E-2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210.04871822652808</v>
      </c>
      <c r="BJ203" s="59">
        <f t="shared" si="206"/>
        <v>250.17540614049324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0.25190444910862525</v>
      </c>
      <c r="BQ203" s="21">
        <f>EXP(-LN(2)/25)*BQ202+(1-EXP(-LN(2)/25))/(LN(2)/25)*Calculateur!BL203*Calculateur!BN203*VLOOKUP('Données projet'!$B$11,Paramètres!$A$1:$I$89,3,0)*0.475*44/12</f>
        <v>0.2497585540040255</v>
      </c>
      <c r="BR203" s="21">
        <f>EXP(-LN(2)/2)*BR202+(1-EXP(-LN(2)/2))/(LN(2)/2)*BL203*BO203*VLOOKUP('Données projet'!$B$11,Paramètres!$A$1:$I$89,3,0)*0.475*44/12</f>
        <v>5.5715496527069954E-25</v>
      </c>
      <c r="BS203" s="22">
        <f t="shared" si="169"/>
        <v>0.50166300311265077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1.2820888539868154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1.4309690811052556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4.6580000000000004</v>
      </c>
      <c r="C6" s="147">
        <f ca="1">IF(OR('Données projet'!B9="",'Données projet'!C9="",'Données projet'!C9=0%),0,Calculateur!S3)</f>
        <v>326.31232746914907</v>
      </c>
      <c r="D6" s="147">
        <f>IF(OR('Données projet'!B9="",'Données projet'!C9="",'Données projet'!C9=0%),0,Calculateur!T3)</f>
        <v>330.17137761430297</v>
      </c>
      <c r="E6" s="147">
        <f ca="1">MIN(C6,D6)</f>
        <v>326.31232746914907</v>
      </c>
      <c r="F6" s="147">
        <f ca="1">E6*B6</f>
        <v>1519.9628213512965</v>
      </c>
      <c r="G6" s="147">
        <f ca="1">F6*(100%-'Données projet'!$C$24)*(100%-'Données projet'!$C$25)*(100%-'Données projet'!$C$26)*(100%-'Données projet'!$C$27)</f>
        <v>1367.9665392161669</v>
      </c>
      <c r="H6" s="148">
        <f>IF(OR('Données projet'!B9="",'Données projet'!C9="",'Données projet'!C9=0%),0,AVERAGE(Calculateur!$AC$3:$AC$33)*B6)</f>
        <v>37.041711144102315</v>
      </c>
      <c r="I6" s="149">
        <f>H6*(100%-'Données projet'!$C$24)*(100%-'Données projet'!$C$25)*(100%-'Données projet'!$C$26)*(100%-'Données projet'!$C$27)</f>
        <v>33.337540029692086</v>
      </c>
      <c r="J6" s="150">
        <f>IF(OR('Données projet'!B9="",'Données projet'!C9="",'Données projet'!C9=0%),0,SUM(Calculateur!$V$3:$V$33)*VLOOKUP('Données projet'!$B$9,Paramètres!$A$1:$I$89,9,0)*B6)</f>
        <v>350.51450000000006</v>
      </c>
      <c r="K6" s="151">
        <f>J6*(100%-'Données projet'!$C$24)*(100%-'Données projet'!$C$25)*(100%-'Données projet'!$C$26)*(100%-'Données projet'!$C$27)</f>
        <v>315.46305000000007</v>
      </c>
      <c r="L6" s="152">
        <f ca="1">G6+I6+K6</f>
        <v>1716.767129245859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0.89049999999999996</v>
      </c>
      <c r="C7" s="147">
        <f ca="1">IF(OR('Données projet'!B10="",'Données projet'!C10="",'Données projet'!C10=0%),0,Calculateur!AN3)</f>
        <v>237.22177246688199</v>
      </c>
      <c r="D7" s="147">
        <f>IF(OR('Données projet'!B10="",'Données projet'!C10="",'Données projet'!C10=0%),0,Calculateur!AO3)</f>
        <v>149.27472147904302</v>
      </c>
      <c r="E7" s="147">
        <f t="shared" ref="E7:E15" ca="1" si="0">MIN(C7,D7)</f>
        <v>149.27472147904302</v>
      </c>
      <c r="F7" s="147">
        <f t="shared" ref="F7:F15" ca="1" si="1">E7*B7</f>
        <v>132.9291394770878</v>
      </c>
      <c r="G7" s="147">
        <f ca="1">F7*(100%-'Données projet'!$C$24)*(100%-'Données projet'!$C$25)*(100%-'Données projet'!$C$26)*(100%-'Données projet'!$C$27)</f>
        <v>119.63622552937902</v>
      </c>
      <c r="H7" s="155">
        <f>IF(OR('Données projet'!B10="",'Données projet'!C10="",'Données projet'!C10=0%),0,AVERAGE(Calculateur!$AX$3:$AX$33)*B7)</f>
        <v>0.26701458732163791</v>
      </c>
      <c r="I7" s="149">
        <f>H7*(100%-'Données projet'!$C$24)*(100%-'Données projet'!$C$25)*(100%-'Données projet'!$C$26)*(100%-'Données projet'!$C$27)</f>
        <v>0.24031312858947412</v>
      </c>
      <c r="J7" s="150">
        <f>IF(OR('Données projet'!B10="",'Données projet'!C10="",'Données projet'!C10=0%),0,SUM(Calculateur!$AQ$3:$AQ$33)*VLOOKUP('Données projet'!$B$10,Paramètres!$A$1:$I$89,9,0)*B7)</f>
        <v>6.4561250000000001</v>
      </c>
      <c r="K7" s="151">
        <f>J7*(100%-'Données projet'!$C$24)*(100%-'Données projet'!$C$25)*(100%-'Données projet'!$C$26)*(100%-'Données projet'!$C$27)</f>
        <v>5.8105125000000006</v>
      </c>
      <c r="L7" s="152">
        <f t="shared" ref="L7:L15" ca="1" si="2">G7+I7+K7</f>
        <v>125.6870511579685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hybride</v>
      </c>
      <c r="B8" s="154">
        <f>'Données projet'!D11</f>
        <v>1.3014999999999999</v>
      </c>
      <c r="C8" s="147">
        <f ca="1">IF(OR('Données projet'!B11="",'Données projet'!C11="",'Données projet'!C11=0%),0,Calculateur!BI3)</f>
        <v>210.04871822652808</v>
      </c>
      <c r="D8" s="147">
        <f>IF(OR('Données projet'!B11="",'Données projet'!C11="",'Données projet'!C11=0%),0,Calculateur!BJ3)</f>
        <v>250.17540614049324</v>
      </c>
      <c r="E8" s="147">
        <f t="shared" ca="1" si="0"/>
        <v>210.04871822652808</v>
      </c>
      <c r="F8" s="147">
        <f t="shared" ca="1" si="1"/>
        <v>273.37840677182629</v>
      </c>
      <c r="G8" s="147">
        <f ca="1">F8*(100%-'Données projet'!$C$24)*(100%-'Données projet'!$C$25)*(100%-'Données projet'!$C$26)*(100%-'Données projet'!$C$27)</f>
        <v>246.04056609464368</v>
      </c>
      <c r="H8" s="155">
        <f>IF(OR('Données projet'!B11="",'Données projet'!C11="",'Données projet'!C11=0%),0,AVERAGE(Calculateur!$BS$3:$BS$33)*B8)</f>
        <v>12.374180519221262</v>
      </c>
      <c r="I8" s="149">
        <f>H8*(100%-'Données projet'!$C$24)*(100%-'Données projet'!$C$25)*(100%-'Données projet'!$C$26)*(100%-'Données projet'!$C$27)</f>
        <v>11.136762467299137</v>
      </c>
      <c r="J8" s="150">
        <f>IF(OR('Données projet'!B11="",'Données projet'!C11="",'Données projet'!C11=0%),0,SUM(Calculateur!$BL$3:$BL$33)*VLOOKUP('Données projet'!$B$11,Paramètres!$A$1:$I$89,9,0)*B8)</f>
        <v>92.341425000000001</v>
      </c>
      <c r="K8" s="151">
        <f>J8*(100%-'Données projet'!$C$24)*(100%-'Données projet'!$C$25)*(100%-'Données projet'!$C$26)*(100%-'Données projet'!$C$27)</f>
        <v>83.107282499999997</v>
      </c>
      <c r="L8" s="152">
        <f t="shared" ca="1" si="2"/>
        <v>340.28461106194283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1926.2703676002106</v>
      </c>
      <c r="G16" s="166">
        <f t="shared" ca="1" si="3"/>
        <v>1733.6433308401897</v>
      </c>
      <c r="H16" s="167">
        <f t="shared" si="3"/>
        <v>49.682906250645217</v>
      </c>
      <c r="I16" s="167">
        <f t="shared" si="3"/>
        <v>44.714615625580699</v>
      </c>
      <c r="J16" s="168">
        <f t="shared" si="3"/>
        <v>449.31205000000006</v>
      </c>
      <c r="K16" s="168">
        <f t="shared" si="3"/>
        <v>404.38084500000008</v>
      </c>
      <c r="L16" s="169">
        <f t="shared" ca="1" si="3"/>
        <v>2182.7387914657702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F90" sqref="F9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2964.2927392045385</v>
      </c>
      <c r="U10" s="178">
        <f>'Données projet'!D9</f>
        <v>4.6580000000000004</v>
      </c>
      <c r="V10" s="177">
        <f>U10*T10</f>
        <v>13807.675579214741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-1997.1792043225591</v>
      </c>
      <c r="U11" s="178">
        <f>'Données projet'!D10</f>
        <v>0.89049999999999996</v>
      </c>
      <c r="V11" s="177">
        <f t="shared" ref="V11" si="0">U11*T11</f>
        <v>-1778.4880814492387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113.6343289763355</v>
      </c>
      <c r="U12" s="178">
        <f>'Données projet'!D11</f>
        <v>1.3014999999999999</v>
      </c>
      <c r="V12" s="177">
        <f t="shared" ref="V12:V19" si="1">U12*T12</f>
        <v>147.89507916270063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1909.6</f>
        <v>1909.6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2000.0000000000027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650+60</f>
        <v>710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550+60</f>
        <v>610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 t="shared" ref="I22:I23" si="2">550+60</f>
        <v>610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 t="shared" si="2"/>
        <v>610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-11210.784641245578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63</v>
      </c>
      <c r="C24" s="193">
        <v>12</v>
      </c>
      <c r="D24" s="182">
        <f t="shared" ref="D24:D42" si="3">B24*C24</f>
        <v>756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404.96485212917537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112</v>
      </c>
      <c r="C25" s="193">
        <v>35</v>
      </c>
      <c r="D25" s="182">
        <f t="shared" si="3"/>
        <v>3920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-11615.749493374753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112</v>
      </c>
      <c r="C26" s="193">
        <v>45</v>
      </c>
      <c r="D26" s="182">
        <f t="shared" si="3"/>
        <v>5040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108</v>
      </c>
      <c r="C27" s="193">
        <v>50</v>
      </c>
      <c r="D27" s="182">
        <f t="shared" si="3"/>
        <v>5400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83</v>
      </c>
      <c r="C28" s="193">
        <v>55</v>
      </c>
      <c r="D28" s="182">
        <f t="shared" si="3"/>
        <v>4565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67</v>
      </c>
      <c r="C29" s="193">
        <v>60</v>
      </c>
      <c r="D29" s="182">
        <f t="shared" si="3"/>
        <v>4020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651</v>
      </c>
      <c r="C30" s="193">
        <v>80</v>
      </c>
      <c r="D30" s="182">
        <f t="shared" si="3"/>
        <v>52080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3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2728</f>
        <v>2728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29</v>
      </c>
      <c r="C55" s="191">
        <v>12</v>
      </c>
      <c r="D55" s="179">
        <f t="shared" ref="D55:D73" si="5">B55*C55</f>
        <v>348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42</v>
      </c>
      <c r="C56" s="191">
        <v>15</v>
      </c>
      <c r="D56" s="179">
        <f t="shared" si="5"/>
        <v>630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42</v>
      </c>
      <c r="C57" s="191">
        <v>20</v>
      </c>
      <c r="D57" s="179">
        <f t="shared" si="5"/>
        <v>840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5"/>
        <v>1050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42</v>
      </c>
      <c r="C59" s="191">
        <v>30</v>
      </c>
      <c r="D59" s="179">
        <f t="shared" si="5"/>
        <v>1260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42</v>
      </c>
      <c r="C60" s="191">
        <v>35</v>
      </c>
      <c r="D60" s="179">
        <f t="shared" si="5"/>
        <v>1470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42</v>
      </c>
      <c r="C61" s="191">
        <v>40</v>
      </c>
      <c r="D61" s="179">
        <f t="shared" si="5"/>
        <v>1680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42</v>
      </c>
      <c r="C62" s="191">
        <v>50</v>
      </c>
      <c r="D62" s="179">
        <f t="shared" si="5"/>
        <v>2100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39</v>
      </c>
      <c r="C63" s="191">
        <v>60</v>
      </c>
      <c r="D63" s="179">
        <f t="shared" si="5"/>
        <v>2340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303</v>
      </c>
      <c r="C64" s="191">
        <v>180</v>
      </c>
      <c r="D64" s="179">
        <f t="shared" si="5"/>
        <v>54540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2482.48</f>
        <v>2482.48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81</v>
      </c>
      <c r="C86" s="191">
        <v>10</v>
      </c>
      <c r="D86" s="179">
        <f t="shared" ref="D86:D104" si="7">B86*C86</f>
        <v>810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84</v>
      </c>
      <c r="C87" s="191">
        <v>25</v>
      </c>
      <c r="D87" s="179">
        <f t="shared" si="7"/>
        <v>2100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80</v>
      </c>
      <c r="C88" s="191">
        <v>30</v>
      </c>
      <c r="D88" s="179">
        <f t="shared" si="7"/>
        <v>2400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65</v>
      </c>
      <c r="C89" s="191">
        <v>35</v>
      </c>
      <c r="D89" s="179">
        <f t="shared" si="7"/>
        <v>2275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56</v>
      </c>
      <c r="C90" s="191">
        <v>40</v>
      </c>
      <c r="D90" s="179">
        <f t="shared" si="7"/>
        <v>2240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6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52</v>
      </c>
      <c r="C91" s="191">
        <v>45</v>
      </c>
      <c r="D91" s="179">
        <f t="shared" si="7"/>
        <v>2340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6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433</v>
      </c>
      <c r="C92" s="191">
        <v>60</v>
      </c>
      <c r="D92" s="179">
        <f t="shared" si="7"/>
        <v>25980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6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6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6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6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6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8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8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8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8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>
        <v>81</v>
      </c>
      <c r="I101" s="191">
        <v>60</v>
      </c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8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>
        <v>82</v>
      </c>
      <c r="I102" s="191">
        <v>60</v>
      </c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8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>
        <v>83</v>
      </c>
      <c r="I103" s="191">
        <v>60</v>
      </c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8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>
        <v>84</v>
      </c>
      <c r="I104" s="191">
        <v>60</v>
      </c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8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>
        <v>85</v>
      </c>
      <c r="I105" s="191">
        <v>60</v>
      </c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8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>
        <v>86</v>
      </c>
      <c r="I106" s="191">
        <v>60</v>
      </c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8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>
        <v>87</v>
      </c>
      <c r="I107" s="191">
        <v>60</v>
      </c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8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>
        <v>88</v>
      </c>
      <c r="I108" s="191">
        <v>60</v>
      </c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8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89</v>
      </c>
      <c r="I109" s="191">
        <v>60</v>
      </c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8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>
        <v>90</v>
      </c>
      <c r="I110" s="191">
        <v>60</v>
      </c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8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91</v>
      </c>
      <c r="I111" s="191">
        <v>60</v>
      </c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8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>
        <v>92</v>
      </c>
      <c r="I112" s="191">
        <v>60</v>
      </c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8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93</v>
      </c>
      <c r="I113" s="191">
        <v>60</v>
      </c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8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94</v>
      </c>
      <c r="I114" s="191">
        <v>60</v>
      </c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95</v>
      </c>
      <c r="I115" s="191">
        <v>60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>
        <v>96</v>
      </c>
      <c r="I116" s="191">
        <v>60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>
        <v>97</v>
      </c>
      <c r="I117" s="191">
        <v>60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>
        <v>98</v>
      </c>
      <c r="I118" s="191">
        <v>60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>
        <v>99</v>
      </c>
      <c r="I119" s="191">
        <v>60</v>
      </c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>
        <v>100</v>
      </c>
      <c r="I120" s="191">
        <v>60</v>
      </c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>
        <v>101</v>
      </c>
      <c r="I121" s="191">
        <v>60</v>
      </c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>
        <v>102</v>
      </c>
      <c r="I122" s="191">
        <v>60</v>
      </c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>
        <v>103</v>
      </c>
      <c r="I123" s="191">
        <v>60</v>
      </c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>
        <v>104</v>
      </c>
      <c r="I124" s="191">
        <v>60</v>
      </c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>
        <v>105</v>
      </c>
      <c r="I125" s="191">
        <v>60</v>
      </c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>
        <v>106</v>
      </c>
      <c r="I126" s="191">
        <v>60</v>
      </c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>
        <v>107</v>
      </c>
      <c r="I127" s="191">
        <v>60</v>
      </c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>
        <v>108</v>
      </c>
      <c r="I128" s="191">
        <v>60</v>
      </c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>
        <v>109</v>
      </c>
      <c r="I129" s="191">
        <v>60</v>
      </c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>
        <v>110</v>
      </c>
      <c r="I130" s="191">
        <v>60</v>
      </c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>
        <v>111</v>
      </c>
      <c r="I131" s="191">
        <v>60</v>
      </c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>
        <v>112</v>
      </c>
      <c r="I132" s="191">
        <v>60</v>
      </c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>
        <v>113</v>
      </c>
      <c r="I133" s="191">
        <v>60</v>
      </c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>
        <v>114</v>
      </c>
      <c r="I134" s="191">
        <v>60</v>
      </c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>
        <v>115</v>
      </c>
      <c r="I135" s="191">
        <v>60</v>
      </c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>
        <v>116</v>
      </c>
      <c r="I136" s="191">
        <v>60</v>
      </c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>
        <v>117</v>
      </c>
      <c r="I137" s="191">
        <v>60</v>
      </c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>
        <v>118</v>
      </c>
      <c r="I138" s="191">
        <v>60</v>
      </c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>
        <v>119</v>
      </c>
      <c r="I139" s="191">
        <v>60</v>
      </c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>
        <v>120</v>
      </c>
      <c r="I140" s="191">
        <v>60</v>
      </c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2024-08-02T12:43:10Z</dcterms:modified>
</cp:coreProperties>
</file>