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Arbo_hors_CDA/Documents partages/General/Dossier_labellisation_2023/Carbon&amp;Co Occitanie n°1/Laurent Belorgey/"/>
    </mc:Choice>
  </mc:AlternateContent>
  <xr:revisionPtr revIDLastSave="436" documentId="11_1CE14A1D5F0FC88F8D2BBDF19ECA667DF235344D" xr6:coauthVersionLast="47" xr6:coauthVersionMax="47" xr10:uidLastSave="{09AC57CA-CB17-4D1F-990D-4B9BDDB150E4}"/>
  <bookViews>
    <workbookView xWindow="-108" yWindow="-108" windowWidth="23256" windowHeight="1257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  <c r="F25" i="9" l="1"/>
  <c r="G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H140" i="5" l="1"/>
  <c r="J86" i="5"/>
  <c r="H59" i="5"/>
  <c r="D59" i="5"/>
  <c r="L59" i="5"/>
  <c r="K59" i="5"/>
  <c r="K140" i="5"/>
  <c r="I140" i="5"/>
  <c r="E140" i="5"/>
  <c r="F86" i="5"/>
  <c r="G59" i="5"/>
  <c r="K86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H25" i="9" s="1"/>
  <c r="I5" i="9"/>
  <c r="I25" i="9" s="1"/>
  <c r="J5" i="9"/>
  <c r="J25" i="9" s="1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E25" i="9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D127" i="5" l="1"/>
  <c r="D130" i="5" s="1"/>
  <c r="D141" i="5" s="1"/>
  <c r="E127" i="5"/>
  <c r="E130" i="5" s="1"/>
  <c r="E141" i="5" s="1"/>
  <c r="F127" i="5"/>
  <c r="F130" i="5" s="1"/>
  <c r="F141" i="5" s="1"/>
  <c r="G127" i="5"/>
  <c r="G130" i="5" s="1"/>
  <c r="G141" i="5" s="1"/>
  <c r="H127" i="5"/>
  <c r="H130" i="5" s="1"/>
  <c r="H141" i="5" s="1"/>
  <c r="I127" i="5"/>
  <c r="I130" i="5" s="1"/>
  <c r="I141" i="5" s="1"/>
  <c r="J127" i="5"/>
  <c r="J130" i="5" s="1"/>
  <c r="J141" i="5" s="1"/>
  <c r="K127" i="5"/>
  <c r="K130" i="5" s="1"/>
  <c r="K141" i="5" s="1"/>
  <c r="L127" i="5"/>
  <c r="L130" i="5" s="1"/>
  <c r="L141" i="5" s="1"/>
  <c r="C127" i="5"/>
  <c r="C130" i="5" s="1"/>
  <c r="C141" i="5" s="1"/>
  <c r="D100" i="5"/>
  <c r="D103" i="5" s="1"/>
  <c r="D114" i="5" s="1"/>
  <c r="E100" i="5"/>
  <c r="E103" i="5" s="1"/>
  <c r="E114" i="5" s="1"/>
  <c r="F100" i="5"/>
  <c r="F103" i="5" s="1"/>
  <c r="F114" i="5" s="1"/>
  <c r="G100" i="5"/>
  <c r="G103" i="5" s="1"/>
  <c r="G114" i="5" s="1"/>
  <c r="H100" i="5"/>
  <c r="H103" i="5" s="1"/>
  <c r="H114" i="5" s="1"/>
  <c r="I100" i="5"/>
  <c r="I103" i="5" s="1"/>
  <c r="I114" i="5" s="1"/>
  <c r="J100" i="5"/>
  <c r="J103" i="5" s="1"/>
  <c r="J114" i="5" s="1"/>
  <c r="K100" i="5"/>
  <c r="K103" i="5" s="1"/>
  <c r="K114" i="5" s="1"/>
  <c r="L100" i="5"/>
  <c r="L103" i="5" s="1"/>
  <c r="L114" i="5" s="1"/>
  <c r="C100" i="5"/>
  <c r="C103" i="5" s="1"/>
  <c r="C114" i="5" s="1"/>
  <c r="D73" i="5"/>
  <c r="D76" i="5" s="1"/>
  <c r="D87" i="5" s="1"/>
  <c r="E73" i="5"/>
  <c r="E76" i="5" s="1"/>
  <c r="E87" i="5" s="1"/>
  <c r="F73" i="5"/>
  <c r="F76" i="5" s="1"/>
  <c r="F87" i="5" s="1"/>
  <c r="G73" i="5"/>
  <c r="G76" i="5" s="1"/>
  <c r="G87" i="5" s="1"/>
  <c r="H73" i="5"/>
  <c r="H76" i="5" s="1"/>
  <c r="H87" i="5" s="1"/>
  <c r="I73" i="5"/>
  <c r="I76" i="5" s="1"/>
  <c r="I87" i="5" s="1"/>
  <c r="J73" i="5"/>
  <c r="J76" i="5" s="1"/>
  <c r="J87" i="5" s="1"/>
  <c r="K73" i="5"/>
  <c r="K76" i="5" s="1"/>
  <c r="K87" i="5" s="1"/>
  <c r="L73" i="5"/>
  <c r="L76" i="5" s="1"/>
  <c r="L87" i="5" s="1"/>
  <c r="C73" i="5"/>
  <c r="C76" i="5" s="1"/>
  <c r="C87" i="5" s="1"/>
  <c r="D46" i="5"/>
  <c r="D49" i="5" s="1"/>
  <c r="D60" i="5" s="1"/>
  <c r="E46" i="5"/>
  <c r="E49" i="5" s="1"/>
  <c r="E60" i="5" s="1"/>
  <c r="F46" i="5"/>
  <c r="F49" i="5" s="1"/>
  <c r="F60" i="5" s="1"/>
  <c r="G46" i="5"/>
  <c r="G49" i="5" s="1"/>
  <c r="G60" i="5" s="1"/>
  <c r="H46" i="5"/>
  <c r="H49" i="5" s="1"/>
  <c r="H60" i="5" s="1"/>
  <c r="I46" i="5"/>
  <c r="I49" i="5" s="1"/>
  <c r="I60" i="5" s="1"/>
  <c r="J46" i="5"/>
  <c r="J49" i="5" s="1"/>
  <c r="J60" i="5" s="1"/>
  <c r="K46" i="5"/>
  <c r="K49" i="5" s="1"/>
  <c r="K60" i="5" s="1"/>
  <c r="L46" i="5"/>
  <c r="L49" i="5" s="1"/>
  <c r="L60" i="5" s="1"/>
  <c r="C46" i="5"/>
  <c r="C49" i="5" s="1"/>
  <c r="C60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H19" i="5"/>
  <c r="H22" i="5" s="1"/>
  <c r="H33" i="5" s="1"/>
  <c r="I19" i="5"/>
  <c r="I22" i="5" s="1"/>
  <c r="I33" i="5" s="1"/>
  <c r="J19" i="5"/>
  <c r="J22" i="5" s="1"/>
  <c r="J33" i="5" s="1"/>
  <c r="K19" i="5"/>
  <c r="K22" i="5" s="1"/>
  <c r="K33" i="5" s="1"/>
  <c r="L19" i="5"/>
  <c r="L22" i="5" s="1"/>
  <c r="L33" i="5" s="1"/>
  <c r="C19" i="5"/>
  <c r="C22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I39" i="2" s="1"/>
  <c r="F38" i="2"/>
  <c r="F39" i="2" s="1"/>
  <c r="H38" i="2"/>
  <c r="H39" i="2" s="1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B43" i="2"/>
  <c r="C31" i="2"/>
  <c r="D31" i="2"/>
  <c r="E31" i="2"/>
  <c r="F31" i="2"/>
  <c r="G31" i="2"/>
  <c r="H31" i="2"/>
  <c r="I31" i="2"/>
  <c r="J31" i="2"/>
  <c r="K31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G27" i="2" s="1"/>
  <c r="G28" i="2" s="1"/>
  <c r="H26" i="2"/>
  <c r="H27" i="2" s="1"/>
  <c r="H28" i="2" s="1"/>
  <c r="I26" i="2"/>
  <c r="I27" i="2" s="1"/>
  <c r="I28" i="2" s="1"/>
  <c r="J26" i="2"/>
  <c r="J27" i="2" s="1"/>
  <c r="J28" i="2" s="1"/>
  <c r="K26" i="2"/>
  <c r="K27" i="2" s="1"/>
  <c r="K28" i="2" s="1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<sst xmlns="http://schemas.openxmlformats.org/spreadsheetml/2006/main" count="941" uniqueCount="347">
  <si>
    <t>Les cellules à remplir sont indiquées en jaune (si vous ne parvenez pas à supprimer une donnée, tappez sur Suppr)</t>
  </si>
  <si>
    <t>Ce calculateur a été élaboré par le Minitère de la Transition Ecologique et permet notamment de calculer les réductions d'émissions associés aux projets suivant la méthode "Plantation de vergers".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</si>
  <si>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</si>
  <si>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</si>
  <si>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</si>
  <si>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t>NON</t>
  </si>
  <si>
    <t>OUI</t>
  </si>
  <si>
    <t>INFORMATIONS (une seule espèce/parcelle)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</si>
  <si>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</si>
  <si>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</si>
  <si>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</si>
  <si>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</si>
  <si>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</si>
  <si>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</si>
  <si>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</si>
  <si>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</si>
  <si>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</si>
  <si>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</si>
  <si>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TOTAL</t>
  </si>
  <si>
    <t xml:space="preserve">Commune </t>
  </si>
  <si>
    <t>Surface parcelle (ha)</t>
  </si>
  <si>
    <t>Espèce plantée</t>
  </si>
  <si>
    <t>Espèce selon référentiel Agribalyse (à compléter si vous souhaitez planter des pommiers/pêchers/clémentiniers)</t>
  </si>
  <si>
    <t>Type de plantation</t>
  </si>
  <si>
    <t>Densité objectif de plantation (plants/ha)</t>
  </si>
  <si>
    <t>Climat de la zone de plantation</t>
  </si>
  <si>
    <t>Hors climat Mediterranéen</t>
  </si>
  <si>
    <t>Durée de vie prévue du verger (années)</t>
  </si>
  <si>
    <t>% enherbement prévu</t>
  </si>
  <si>
    <t>Usage de référence</t>
  </si>
  <si>
    <t>Grandes cultures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</si>
  <si>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</si>
  <si>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t>Blé tendre conventionnel, améliorant, 15% humidité</t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</si>
  <si>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</si>
  <si>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Maïs grain humide, conventionnel, 28% humidité – Moyenne nationale (France)</t>
  </si>
  <si>
    <t>Culture en place année n-3  (ou culture qui s'en rapproche le plus si elle n'est pas dans la liste, sauf cas extreme et contacter le service instructeur)</t>
  </si>
  <si>
    <t>Blé tendre conventionnel, panifiable, 15% humidité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</si>
  <si>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</si>
  <si>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</si>
  <si>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CRITERE D'ELIGIBILITE</t>
  </si>
  <si>
    <t>Critère d'éligibilité 1 - Densité minimale de plants</t>
  </si>
  <si>
    <t>Espèce - Type plantation</t>
  </si>
  <si>
    <t>Densité objectif minimale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</si>
  <si>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</si>
  <si>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Critère d'éligibilité 2 - Augmentation de la surface nette en culture fruitière</t>
  </si>
  <si>
    <t xml:space="preserve">Validation critère </t>
  </si>
  <si>
    <t>Critère d'éligibilité 3 - Augmentation du stock de carbone total</t>
  </si>
  <si>
    <t>Climat-Usage de référence</t>
  </si>
  <si>
    <t>Durée de vie - Usage de référence</t>
  </si>
  <si>
    <t>Estimation REC ANT_SOL (en teqCO2)</t>
  </si>
  <si>
    <t>Estimation REC ANT_BIOM (en teqCO2)</t>
  </si>
  <si>
    <t>Estimation REC ANT_SOL + REC ANT_BIOM (en teq CO2)</t>
  </si>
  <si>
    <t>Critère d'éligibilité 4 - Enherbement du verger sur au moins 50% de sa surface</t>
  </si>
  <si>
    <t>Rien n'est à compléter</t>
  </si>
  <si>
    <t>Somme des parcelles</t>
  </si>
  <si>
    <t>EGES ref (en teqCO2/ha/an)</t>
  </si>
  <si>
    <t>EGES projet (en teqCO2/ha/an)</t>
  </si>
  <si>
    <t>RE (en teqCO2)</t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</si>
  <si>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</si>
  <si>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EGESref (en teqCO2/ha/an)</t>
  </si>
  <si>
    <t>Année 1</t>
  </si>
  <si>
    <t>QNmin (en kgN/ha/an)</t>
  </si>
  <si>
    <t>QNorg (en kgN/ha/an)</t>
  </si>
  <si>
    <t>QNres (en kgN/ha/an)</t>
  </si>
  <si>
    <t>EN2O dir (kg N20-N/ha)</t>
  </si>
  <si>
    <t>EN2O vol (kg N20-N/ha)</t>
  </si>
  <si>
    <t>EN2O less (kg N20-N/ha)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</si>
  <si>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</si>
  <si>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</si>
  <si>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</si>
  <si>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</si>
  <si>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</si>
  <si>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</si>
  <si>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ECO2e engins (en teqCO2/ha/an)</t>
  </si>
  <si>
    <t>Consommation électricité pour l'irrigation (en kWh/ha/an)</t>
  </si>
  <si>
    <t>ECO2e irrigation (en teqCO2/ha/an)</t>
  </si>
  <si>
    <t>ECO2e energie (en teqCO2/ha/an)</t>
  </si>
  <si>
    <t>QP (en kgP2O5/ha/an)</t>
  </si>
  <si>
    <t>QK (en kgK2O/ha/an)</t>
  </si>
  <si>
    <t>ECO2engrais (en teqCO2/ha/an)</t>
  </si>
  <si>
    <t>ECO2plants</t>
  </si>
  <si>
    <t>MA = Matière Active</t>
  </si>
  <si>
    <t>Quantité MA Fongicides (kg/ha/an)</t>
  </si>
  <si>
    <t>Quantité MA Herbicides (kg/ha/an)</t>
  </si>
  <si>
    <t>Quantité MA Insecticides (kg/ha/an)</t>
  </si>
  <si>
    <t>Quantité MA Autres (kg/ha/an)</t>
  </si>
  <si>
    <t>ECO2phyto (en teqCO2/ha/an)</t>
  </si>
  <si>
    <t>ECO2e intrants (en teqCO2/ha/an)</t>
  </si>
  <si>
    <t>EGESprojet (en teqCO2/ha/an)</t>
  </si>
  <si>
    <t>Année 2</t>
  </si>
  <si>
    <t>attente modif texte méthode</t>
  </si>
  <si>
    <t>Année 3</t>
  </si>
  <si>
    <t>Année 4</t>
  </si>
  <si>
    <t>Année 5</t>
  </si>
  <si>
    <t>EGESprojet sur les 5 ans (en teqCO2/ha)</t>
  </si>
  <si>
    <t>RE sur 5 ans (en teqCO2/ha)</t>
  </si>
  <si>
    <t>EGESprojet sur les 5 ans (en teqCO2)</t>
  </si>
  <si>
    <t>Cet onglet est facultatif et n'est à remplir que si le porteur de projet fait le choix de valoriser des coproduits de son verger en énergie.</t>
  </si>
  <si>
    <t>Projet</t>
  </si>
  <si>
    <t>Pouvoir Calorifique Inférieur (PCI) du coproduit valorisé (en kWh PCI/ tonne)</t>
  </si>
  <si>
    <t>FE de l’énergie fossile substituée (en teq CO2/kWh PCI)</t>
  </si>
  <si>
    <t>EGES transport les émissions associées au transport du coproduit de son lieu de fabrication jusqu’au site énergétique (en teq CO2/tonne)</t>
  </si>
  <si>
    <t>Coefficient de substitution du coproduit du verger valorisé en phase de projet (en teq CO2/tonne)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</si>
  <si>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</si>
  <si>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</si>
  <si>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Référence pour une des 3 années précédant le projet</t>
  </si>
  <si>
    <t>Flux_CP ref, quantité de coproduits valorisées en énergie dans le scénario de référence (en tonnes)</t>
  </si>
  <si>
    <t>REIaval (teq CO2)</t>
  </si>
  <si>
    <t>Anthracite</t>
  </si>
  <si>
    <t>Butane - inclus maritime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</si>
  <si>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</si>
  <si>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</si>
  <si>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</si>
  <si>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</si>
  <si>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</si>
  <si>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</si>
  <si>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</si>
  <si>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</si>
  <si>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domestique</t>
  </si>
  <si>
    <t>Fioul lourd</t>
  </si>
  <si>
    <t>Gaz de cokerie</t>
  </si>
  <si>
    <t>Gaz de haut fourneau</t>
  </si>
  <si>
    <t>Gaz naturel</t>
  </si>
  <si>
    <t>Gazole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</si>
  <si>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</si>
  <si>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</si>
  <si>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</si>
  <si>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</si>
  <si>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</si>
  <si>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</si>
  <si>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</si>
  <si>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</si>
  <si>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</si>
  <si>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</si>
  <si>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</si>
  <si>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</si>
  <si>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</si>
  <si>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 xml:space="preserve">Energie fossile substituée </t>
  </si>
  <si>
    <t>FE (en teq CO2/kWh PCI)</t>
  </si>
  <si>
    <t>Combustibles fossiles liquides usage source fixe</t>
  </si>
  <si>
    <t>Combustible haute viscosité</t>
  </si>
  <si>
    <t>Fioul à base de carbone recyclé - VALORTEC - Basse teneur en soufre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</si>
  <si>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</si>
  <si>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</si>
  <si>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</si>
  <si>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</si>
  <si>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</si>
  <si>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</si>
  <si>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</si>
  <si>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</si>
  <si>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</si>
  <si>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</si>
  <si>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</si>
  <si>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</si>
  <si>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</si>
  <si>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</si>
  <si>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</si>
  <si>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>Combustibles fossiles liquides Usage sources mobiles Usage aérien</t>
  </si>
  <si>
    <t xml:space="preserve">Carbureacteur - large coupe (jet B) </t>
  </si>
  <si>
    <t xml:space="preserve">Essence aviation (AvGas) </t>
  </si>
  <si>
    <t xml:space="preserve">Kérosène - jet A1 ou A </t>
  </si>
  <si>
    <t>Combustibles fossiles liquides Usage sources mobiles autres usages</t>
  </si>
  <si>
    <t xml:space="preserve">Gazole non routier 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</si>
  <si>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</si>
  <si>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</si>
  <si>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</si>
  <si>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</si>
  <si>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</si>
  <si>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Si vous ne trouvez pas le FE correspondant, vous pouvez les retrouver dans le guide GESTIM+ ou la Base Carbone de l'Ademe.</t>
  </si>
  <si>
    <t>Année</t>
  </si>
  <si>
    <t>Stock_biomasse (en tC/ha)</t>
  </si>
  <si>
    <t>Stock_biomasse_projet (en tC/ha)</t>
  </si>
  <si>
    <t>Référence</t>
  </si>
  <si>
    <t>Stock_biomasse_référence (en tC/ha)</t>
  </si>
  <si>
    <t>Durée de vie de l’espèce fruitière + 1 an</t>
  </si>
  <si>
    <t>RECant_biom (teqCO2)</t>
  </si>
  <si>
    <t>Stock sol ref (teq CO2/ha)</t>
  </si>
  <si>
    <t>Stock sol projet (teq CO2/ha)</t>
  </si>
  <si>
    <t>Part enherbée (%)</t>
  </si>
  <si>
    <t>Durée de vie de l'espèce fruitière (années)</t>
  </si>
  <si>
    <t>RECant_sol (teq CO2)</t>
  </si>
  <si>
    <t>Rien n'est à compléter mais certaines valeurs doivent être reprises dans le Document Description de Projet (DDP)</t>
  </si>
  <si>
    <t>Avant rabais</t>
  </si>
  <si>
    <t>Option 1 (si non choisie, ne pas tenir compte du calcul)</t>
  </si>
  <si>
    <t>RECeff + REIamont (teq CO2)</t>
  </si>
  <si>
    <t>Option 2</t>
  </si>
  <si>
    <t>RECant_biom (teq CO2)</t>
  </si>
  <si>
    <t>RE (teq CO2)</t>
  </si>
  <si>
    <t>Avec rabais</t>
  </si>
  <si>
    <t>Variable</t>
  </si>
  <si>
    <t>Climat</t>
  </si>
  <si>
    <t>Climat_Usage</t>
  </si>
  <si>
    <t>Valeur</t>
  </si>
  <si>
    <t>Stock C sol (tC/ha)</t>
  </si>
  <si>
    <t>Prairies permanentes</t>
  </si>
  <si>
    <t>Viticulture</t>
  </si>
  <si>
    <t>Vergers</t>
  </si>
  <si>
    <t>Climat Sec Mediterranéen</t>
  </si>
  <si>
    <t>Friche herbacée</t>
  </si>
  <si>
    <t>Variation annuelle (tC/ha/an)</t>
  </si>
  <si>
    <t>Espèce fruitière</t>
  </si>
  <si>
    <t>Espèce -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</si>
  <si>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</si>
  <si>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</si>
  <si>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</si>
  <si>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</si>
  <si>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</si>
  <si>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</si>
  <si>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</si>
  <si>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</si>
  <si>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</si>
  <si>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</si>
  <si>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</si>
  <si>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</si>
  <si>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</si>
  <si>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</si>
  <si>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</si>
  <si>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</si>
  <si>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</si>
  <si>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</si>
  <si>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</si>
  <si>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</si>
  <si>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</si>
  <si>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</si>
  <si>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Climat non mediterranéen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</si>
  <si>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</si>
  <si>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</si>
  <si>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</si>
  <si>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</si>
  <si>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de vie de l'espèce fruitière</t>
  </si>
  <si>
    <t>Contexte climatique</t>
  </si>
  <si>
    <t>Durée - Usage ref</t>
  </si>
  <si>
    <t>REC ANT BIOM (tC/ha)</t>
  </si>
  <si>
    <t>Culture</t>
  </si>
  <si>
    <t>kg CO2 eq/ha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</si>
  <si>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</si>
  <si>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</si>
  <si>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</si>
  <si>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</si>
  <si>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</si>
  <si>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</si>
  <si>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</si>
  <si>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</si>
  <si>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</si>
  <si>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</si>
  <si>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</si>
  <si>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</si>
  <si>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</si>
  <si>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</si>
  <si>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</si>
  <si>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</si>
  <si>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</si>
  <si>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</si>
  <si>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</si>
  <si>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</si>
  <si>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</si>
  <si>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</si>
  <si>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</si>
  <si>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</si>
  <si>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</si>
  <si>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</si>
  <si>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</si>
  <si>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</si>
  <si>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</si>
  <si>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</si>
  <si>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</si>
  <si>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</si>
  <si>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</si>
  <si>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</si>
  <si>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</si>
  <si>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</si>
  <si>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</si>
  <si>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</si>
  <si>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</si>
  <si>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</si>
  <si>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</si>
  <si>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</si>
  <si>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</si>
  <si>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</si>
  <si>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</si>
  <si>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</si>
  <si>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</si>
  <si>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</si>
  <si>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</si>
  <si>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</si>
  <si>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</si>
  <si>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</si>
  <si>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</si>
  <si>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</si>
  <si>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</si>
  <si>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</si>
  <si>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</si>
  <si>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</si>
  <si>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</si>
  <si>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</si>
  <si>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</si>
  <si>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</si>
  <si>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Facteurs d'émissions (unité)</t>
  </si>
  <si>
    <t>EF1min (en kgN2O-N/kg N)</t>
  </si>
  <si>
    <t>EF1org (kg N2O-N/kg N)</t>
  </si>
  <si>
    <t>EF4 (en kg N2O-N/kg NH3-N + NOx-N)</t>
  </si>
  <si>
    <t>EF5 (en kg N2O-N/kg N lessivé)</t>
  </si>
  <si>
    <t>FE indirect électricité (en kg CO2 eq/kWh)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</si>
  <si>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</si>
  <si>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</si>
  <si>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</si>
  <si>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FE fongicides</t>
  </si>
  <si>
    <t>FE herbicides</t>
  </si>
  <si>
    <t>FE insecticides</t>
  </si>
  <si>
    <t>FE autres</t>
  </si>
  <si>
    <t xml:space="preserve">Frac GASF (en kg NH3-N + NOx-N /kg N apporté) (valeur IPCC 2019 par défaut) </t>
  </si>
  <si>
    <t xml:space="preserve">Frac GASM (en kg NH3-N + NOx-N /kg N apporté) (valeur IPCC 2019 par défaut) </t>
  </si>
  <si>
    <t>Frac LESS (en kg N /kg N apporté) (valeur IPCC 2019 par défaut)</t>
  </si>
  <si>
    <t>Combustible</t>
  </si>
  <si>
    <t>Unité</t>
  </si>
  <si>
    <t>FE (kg eqCO2/unité)</t>
  </si>
  <si>
    <t>FE directes (kg eq CO2/unité)</t>
  </si>
  <si>
    <t>FE indirectes (kg eq CO2/unité)</t>
  </si>
  <si>
    <t>Litres</t>
  </si>
  <si>
    <t>Essence</t>
  </si>
  <si>
    <t>kg</t>
  </si>
  <si>
    <t>kWh</t>
  </si>
  <si>
    <t>Butane/Propane</t>
  </si>
  <si>
    <t>PRG N2O (IPCC 2013)</t>
  </si>
  <si>
    <t>Verger hors climat sec méditerranéen</t>
  </si>
  <si>
    <t xml:space="preserve">Verger en climat Sec Méditerranéen </t>
  </si>
  <si>
    <t xml:space="preserve">Usage de référence </t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</si>
  <si>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</si>
  <si>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Sources</t>
  </si>
  <si>
    <t>OMINEA, 2020</t>
  </si>
  <si>
    <t>IFN/FCBA/SOLAGRO, 2009</t>
  </si>
  <si>
    <t>Chiti et al., 2018</t>
  </si>
  <si>
    <t>Verger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</si>
  <si>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</si>
  <si>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</si>
  <si>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t xml:space="preserve">Verger en climat Sec Méditerranéen (en tC/ha) </t>
  </si>
  <si>
    <t>Verger hors climat sec méditerranéen (en tC/ha)</t>
  </si>
  <si>
    <t>Source</t>
  </si>
  <si>
    <t>MediNet</t>
  </si>
  <si>
    <t>GIS Fruits (RMQS)</t>
  </si>
  <si>
    <t>Verger en climat Sec Méditerranéen (en tC/ha)</t>
  </si>
  <si>
    <t>Effenherb (en tC/ha/an)</t>
  </si>
  <si>
    <t>Facteur de conversion GJ en kWh</t>
  </si>
  <si>
    <t>Climats</t>
  </si>
  <si>
    <t>Durée de vie</t>
  </si>
  <si>
    <t xml:space="preserve">Prairies </t>
  </si>
  <si>
    <t>Saint-Martin-de-Crau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</si>
</sst>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F8EBFC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" xfId="0" applyBorder="1" applyProtection="1">
      <protection locked="0"/>
    </xf>
    <xf numFmtId="0" fontId="0" fillId="17" borderId="21" xfId="0" applyFill="1" applyBorder="1" applyAlignment="1" applyProtection="1">
      <alignment horizontal="left" vertical="center" wrapText="1"/>
      <protection locked="0"/>
    </xf>
    <xf numFmtId="0" fontId="0" fillId="17" borderId="5" xfId="0" applyFill="1" applyBorder="1" applyAlignment="1" applyProtection="1">
      <alignment horizontal="left" vertical="center" wrapText="1"/>
      <protection locked="0"/>
    </xf>
    <xf numFmtId="0" fontId="0" fillId="17" borderId="4" xfId="0" applyFill="1" applyBorder="1" applyProtection="1">
      <protection locked="0"/>
    </xf>
    <xf numFmtId="0" fontId="0" fillId="17" borderId="15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11" sqref="B11:P30"/>
    </sheetView>
  </sheetViews>
  <sheetFormatPr baseColWidth="10" defaultColWidth="11.44140625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96" t="s">
        <v>0</v>
      </c>
      <c r="L3" s="96"/>
      <c r="M3" s="96"/>
      <c r="N3" s="96"/>
      <c r="O3" s="96"/>
      <c r="P3" s="96"/>
    </row>
    <row r="4" spans="2:16" x14ac:dyDescent="0.3">
      <c r="K4" s="96"/>
      <c r="L4" s="96"/>
      <c r="M4" s="96"/>
      <c r="N4" s="96"/>
      <c r="O4" s="96"/>
      <c r="P4" s="96"/>
    </row>
    <row r="5" spans="2:16" x14ac:dyDescent="0.3">
      <c r="K5" s="96"/>
      <c r="L5" s="96"/>
      <c r="M5" s="96"/>
      <c r="N5" s="96"/>
      <c r="O5" s="96"/>
      <c r="P5" s="96"/>
    </row>
    <row r="7" spans="2:16" ht="15" customHeight="1" x14ac:dyDescent="0.3">
      <c r="B7" s="97" t="s">
        <v>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2:16" ht="15" customHeight="1" x14ac:dyDescent="0.3"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2:16" ht="15" customHeight="1" x14ac:dyDescent="0.3"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1" spans="2:16" ht="15" customHeight="1" x14ac:dyDescent="0.3">
      <c r="B11" s="98" t="s">
        <v>2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00"/>
    </row>
    <row r="12" spans="2:16" ht="15" customHeight="1" x14ac:dyDescent="0.3">
      <c r="B12" s="10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102"/>
    </row>
    <row r="13" spans="2:16" ht="15" customHeight="1" x14ac:dyDescent="0.3">
      <c r="B13" s="101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102"/>
    </row>
    <row r="14" spans="2:16" ht="15" customHeight="1" x14ac:dyDescent="0.3">
      <c r="B14" s="101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02"/>
    </row>
    <row r="15" spans="2:16" ht="15" customHeight="1" x14ac:dyDescent="0.3">
      <c r="B15" s="101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102"/>
    </row>
    <row r="16" spans="2:16" ht="15" customHeight="1" x14ac:dyDescent="0.3">
      <c r="B16" s="101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102"/>
    </row>
    <row r="17" spans="2:16" ht="15" customHeight="1" x14ac:dyDescent="0.3">
      <c r="B17" s="101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102"/>
    </row>
    <row r="18" spans="2:16" ht="15" customHeight="1" x14ac:dyDescent="0.3"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102"/>
    </row>
    <row r="19" spans="2:16" ht="15" customHeight="1" x14ac:dyDescent="0.3">
      <c r="B19" s="101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102"/>
    </row>
    <row r="20" spans="2:16" ht="15" customHeight="1" x14ac:dyDescent="0.3">
      <c r="B20" s="10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102"/>
    </row>
    <row r="21" spans="2:16" ht="15" customHeight="1" x14ac:dyDescent="0.3">
      <c r="B21" s="101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02"/>
    </row>
    <row r="22" spans="2:16" ht="15" customHeight="1" x14ac:dyDescent="0.3">
      <c r="B22" s="101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102"/>
    </row>
    <row r="23" spans="2:16" ht="15" customHeight="1" x14ac:dyDescent="0.3">
      <c r="B23" s="101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102"/>
    </row>
    <row r="24" spans="2:16" ht="15" customHeight="1" x14ac:dyDescent="0.3">
      <c r="B24" s="10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02"/>
    </row>
    <row r="25" spans="2:16" ht="15.75" customHeight="1" x14ac:dyDescent="0.3">
      <c r="B25" s="101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102"/>
    </row>
    <row r="26" spans="2:16" ht="15.75" customHeight="1" x14ac:dyDescent="0.3">
      <c r="B26" s="10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02"/>
    </row>
    <row r="27" spans="2:16" ht="15.75" customHeight="1" x14ac:dyDescent="0.3">
      <c r="B27" s="10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102"/>
    </row>
    <row r="28" spans="2:16" ht="15.75" customHeight="1" x14ac:dyDescent="0.3">
      <c r="B28" s="10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102"/>
    </row>
    <row r="29" spans="2:16" ht="15.75" customHeight="1" x14ac:dyDescent="0.3">
      <c r="B29" s="101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102"/>
    </row>
    <row r="30" spans="2:16" ht="15.75" customHeight="1" x14ac:dyDescent="0.3"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5"/>
    </row>
    <row r="32" spans="2:16" ht="22.5" customHeight="1" x14ac:dyDescent="0.3">
      <c r="B32" s="97" t="s">
        <v>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</row>
    <row r="33" spans="2:16" x14ac:dyDescent="0.3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</row>
    <row r="34" spans="2:16" x14ac:dyDescent="0.3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D1" sqref="D1:D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343</v>
      </c>
      <c r="B1" s="23" t="s">
        <v>29</v>
      </c>
      <c r="C1" s="23" t="s">
        <v>200</v>
      </c>
      <c r="D1" s="23" t="s">
        <v>23</v>
      </c>
      <c r="E1" s="23" t="s">
        <v>344</v>
      </c>
      <c r="F1" t="s">
        <v>233</v>
      </c>
    </row>
    <row r="2" spans="1:6" x14ac:dyDescent="0.3">
      <c r="A2" t="s">
        <v>26</v>
      </c>
      <c r="B2" t="s">
        <v>30</v>
      </c>
      <c r="C2" t="s">
        <v>203</v>
      </c>
      <c r="D2" t="s">
        <v>207</v>
      </c>
      <c r="E2" s="59">
        <v>10</v>
      </c>
      <c r="F2" t="s">
        <v>235</v>
      </c>
    </row>
    <row r="3" spans="1:6" x14ac:dyDescent="0.3">
      <c r="A3" t="s">
        <v>197</v>
      </c>
      <c r="B3" t="s">
        <v>345</v>
      </c>
      <c r="C3" t="s">
        <v>205</v>
      </c>
      <c r="D3" t="s">
        <v>204</v>
      </c>
      <c r="E3" s="59">
        <v>11</v>
      </c>
      <c r="F3" t="s">
        <v>236</v>
      </c>
    </row>
    <row r="4" spans="1:6" x14ac:dyDescent="0.3">
      <c r="B4" t="s">
        <v>195</v>
      </c>
      <c r="C4" t="s">
        <v>206</v>
      </c>
      <c r="D4" t="s">
        <v>220</v>
      </c>
      <c r="E4" s="59">
        <v>12</v>
      </c>
      <c r="F4" t="s">
        <v>237</v>
      </c>
    </row>
    <row r="5" spans="1:6" x14ac:dyDescent="0.3">
      <c r="C5" t="s">
        <v>208</v>
      </c>
      <c r="D5" t="s">
        <v>210</v>
      </c>
      <c r="E5" s="59">
        <v>13</v>
      </c>
      <c r="F5" t="s">
        <v>238</v>
      </c>
    </row>
    <row r="6" spans="1:6" x14ac:dyDescent="0.3">
      <c r="C6" t="s">
        <v>209</v>
      </c>
      <c r="D6" t="s">
        <v>215</v>
      </c>
      <c r="E6" s="59">
        <v>14</v>
      </c>
      <c r="F6" t="s">
        <v>32</v>
      </c>
    </row>
    <row r="7" spans="1:6" x14ac:dyDescent="0.3">
      <c r="C7" t="s">
        <v>211</v>
      </c>
      <c r="D7" t="s">
        <v>219</v>
      </c>
      <c r="E7" s="59">
        <v>15</v>
      </c>
      <c r="F7" t="s">
        <v>36</v>
      </c>
    </row>
    <row r="8" spans="1:6" x14ac:dyDescent="0.3">
      <c r="C8" t="s">
        <v>212</v>
      </c>
      <c r="E8" s="59">
        <v>16</v>
      </c>
      <c r="F8" t="s">
        <v>239</v>
      </c>
    </row>
    <row r="9" spans="1:6" x14ac:dyDescent="0.3">
      <c r="C9" t="s">
        <v>213</v>
      </c>
      <c r="E9" s="59">
        <v>17</v>
      </c>
      <c r="F9" t="s">
        <v>240</v>
      </c>
    </row>
    <row r="10" spans="1:6" x14ac:dyDescent="0.3">
      <c r="C10" t="s">
        <v>214</v>
      </c>
      <c r="E10" s="59">
        <v>18</v>
      </c>
      <c r="F10" t="s">
        <v>241</v>
      </c>
    </row>
    <row r="11" spans="1:6" x14ac:dyDescent="0.3">
      <c r="C11" t="s">
        <v>216</v>
      </c>
      <c r="E11" s="59">
        <v>19</v>
      </c>
      <c r="F11" t="s">
        <v>242</v>
      </c>
    </row>
    <row r="12" spans="1:6" x14ac:dyDescent="0.3">
      <c r="C12" t="s">
        <v>217</v>
      </c>
      <c r="E12" s="59">
        <v>20</v>
      </c>
      <c r="F12" t="s">
        <v>243</v>
      </c>
    </row>
    <row r="13" spans="1:6" x14ac:dyDescent="0.3">
      <c r="C13" t="s">
        <v>218</v>
      </c>
      <c r="F13" t="s">
        <v>244</v>
      </c>
    </row>
    <row r="14" spans="1:6" x14ac:dyDescent="0.3">
      <c r="C14" t="s">
        <v>221</v>
      </c>
      <c r="F14" t="s">
        <v>245</v>
      </c>
    </row>
    <row r="15" spans="1:6" x14ac:dyDescent="0.3">
      <c r="C15" t="s">
        <v>222</v>
      </c>
      <c r="F15" t="s">
        <v>246</v>
      </c>
    </row>
    <row r="16" spans="1:6" x14ac:dyDescent="0.3">
      <c r="C16" t="s">
        <v>223</v>
      </c>
      <c r="F16" t="s">
        <v>247</v>
      </c>
    </row>
    <row r="17" spans="6:6" x14ac:dyDescent="0.3">
      <c r="F17" t="s">
        <v>248</v>
      </c>
    </row>
    <row r="18" spans="6:6" x14ac:dyDescent="0.3">
      <c r="F18" t="s">
        <v>249</v>
      </c>
    </row>
    <row r="19" spans="6:6" x14ac:dyDescent="0.3">
      <c r="F19" t="s">
        <v>250</v>
      </c>
    </row>
    <row r="20" spans="6:6" x14ac:dyDescent="0.3">
      <c r="F20" t="s">
        <v>251</v>
      </c>
    </row>
    <row r="21" spans="6:6" x14ac:dyDescent="0.3">
      <c r="F21" t="s">
        <v>252</v>
      </c>
    </row>
    <row r="22" spans="6:6" x14ac:dyDescent="0.3">
      <c r="F22" t="s">
        <v>253</v>
      </c>
    </row>
    <row r="23" spans="6:6" x14ac:dyDescent="0.3">
      <c r="F23" t="s">
        <v>254</v>
      </c>
    </row>
    <row r="24" spans="6:6" x14ac:dyDescent="0.3">
      <c r="F24" t="s">
        <v>255</v>
      </c>
    </row>
    <row r="25" spans="6:6" x14ac:dyDescent="0.3">
      <c r="F25" t="s">
        <v>256</v>
      </c>
    </row>
    <row r="26" spans="6:6" x14ac:dyDescent="0.3">
      <c r="F26" t="s">
        <v>257</v>
      </c>
    </row>
    <row r="27" spans="6:6" x14ac:dyDescent="0.3">
      <c r="F27" t="s">
        <v>258</v>
      </c>
    </row>
    <row r="28" spans="6:6" x14ac:dyDescent="0.3">
      <c r="F28" t="s">
        <v>259</v>
      </c>
    </row>
    <row r="29" spans="6:6" x14ac:dyDescent="0.3">
      <c r="F29" t="s">
        <v>260</v>
      </c>
    </row>
    <row r="30" spans="6:6" x14ac:dyDescent="0.3">
      <c r="F30" t="s">
        <v>261</v>
      </c>
    </row>
    <row r="31" spans="6:6" x14ac:dyDescent="0.3">
      <c r="F31" t="s">
        <v>262</v>
      </c>
    </row>
    <row r="32" spans="6:6" x14ac:dyDescent="0.3">
      <c r="F32" t="s">
        <v>263</v>
      </c>
    </row>
    <row r="33" spans="6:6" x14ac:dyDescent="0.3">
      <c r="F33" t="s">
        <v>264</v>
      </c>
    </row>
    <row r="34" spans="6:6" x14ac:dyDescent="0.3">
      <c r="F34" t="s">
        <v>265</v>
      </c>
    </row>
    <row r="35" spans="6:6" x14ac:dyDescent="0.3">
      <c r="F35" t="s">
        <v>266</v>
      </c>
    </row>
    <row r="36" spans="6:6" x14ac:dyDescent="0.3">
      <c r="F36" t="s">
        <v>34</v>
      </c>
    </row>
    <row r="37" spans="6:6" x14ac:dyDescent="0.3">
      <c r="F37" t="s">
        <v>267</v>
      </c>
    </row>
    <row r="38" spans="6:6" x14ac:dyDescent="0.3">
      <c r="F38" t="s">
        <v>268</v>
      </c>
    </row>
    <row r="39" spans="6:6" x14ac:dyDescent="0.3">
      <c r="F39" t="s">
        <v>269</v>
      </c>
    </row>
    <row r="40" spans="6:6" x14ac:dyDescent="0.3">
      <c r="F40" t="s">
        <v>270</v>
      </c>
    </row>
    <row r="41" spans="6:6" x14ac:dyDescent="0.3">
      <c r="F41" t="s">
        <v>271</v>
      </c>
    </row>
    <row r="42" spans="6:6" x14ac:dyDescent="0.3">
      <c r="F42" t="s">
        <v>272</v>
      </c>
    </row>
    <row r="43" spans="6:6" x14ac:dyDescent="0.3">
      <c r="F43" t="s">
        <v>273</v>
      </c>
    </row>
    <row r="44" spans="6:6" x14ac:dyDescent="0.3">
      <c r="F44" t="s">
        <v>274</v>
      </c>
    </row>
    <row r="45" spans="6:6" x14ac:dyDescent="0.3">
      <c r="F45" t="s">
        <v>275</v>
      </c>
    </row>
    <row r="46" spans="6:6" x14ac:dyDescent="0.3">
      <c r="F46" t="s">
        <v>276</v>
      </c>
    </row>
    <row r="47" spans="6:6" x14ac:dyDescent="0.3">
      <c r="F47" t="s">
        <v>277</v>
      </c>
    </row>
    <row r="48" spans="6:6" x14ac:dyDescent="0.3">
      <c r="F48" t="s">
        <v>278</v>
      </c>
    </row>
    <row r="49" spans="6:6" x14ac:dyDescent="0.3">
      <c r="F49" t="s">
        <v>279</v>
      </c>
    </row>
    <row r="50" spans="6:6" x14ac:dyDescent="0.3">
      <c r="F50" t="s">
        <v>280</v>
      </c>
    </row>
    <row r="51" spans="6:6" x14ac:dyDescent="0.3">
      <c r="F51" t="s">
        <v>281</v>
      </c>
    </row>
    <row r="52" spans="6:6" x14ac:dyDescent="0.3">
      <c r="F52" t="s">
        <v>282</v>
      </c>
    </row>
    <row r="53" spans="6:6" x14ac:dyDescent="0.3">
      <c r="F53" t="s">
        <v>283</v>
      </c>
    </row>
    <row r="54" spans="6:6" x14ac:dyDescent="0.3">
      <c r="F54" t="s">
        <v>284</v>
      </c>
    </row>
    <row r="55" spans="6:6" x14ac:dyDescent="0.3">
      <c r="F55" t="s">
        <v>285</v>
      </c>
    </row>
    <row r="56" spans="6:6" x14ac:dyDescent="0.3">
      <c r="F56" t="s">
        <v>286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5"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9" t="s">
        <v>4</v>
      </c>
      <c r="B2" s="110"/>
      <c r="C2" s="30" t="s">
        <v>5</v>
      </c>
      <c r="D2"/>
      <c r="E2"/>
      <c r="F2"/>
      <c r="G2"/>
      <c r="H2"/>
      <c r="I2"/>
      <c r="J2"/>
      <c r="K2"/>
      <c r="AG2" s="2" t="s">
        <v>6</v>
      </c>
    </row>
    <row r="3" spans="1:52" x14ac:dyDescent="0.3">
      <c r="A3" s="2"/>
      <c r="AG3" s="2" t="s">
        <v>5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6" t="s">
        <v>7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4"/>
      <c r="B6" s="75" t="s">
        <v>8</v>
      </c>
      <c r="C6" s="75" t="s">
        <v>9</v>
      </c>
      <c r="D6" s="75" t="s">
        <v>10</v>
      </c>
      <c r="E6" s="75" t="s">
        <v>11</v>
      </c>
      <c r="F6" s="75" t="s">
        <v>12</v>
      </c>
      <c r="G6" s="75" t="s">
        <v>13</v>
      </c>
      <c r="H6" s="75" t="s">
        <v>14</v>
      </c>
      <c r="I6" s="75" t="s">
        <v>15</v>
      </c>
      <c r="J6" s="75" t="s">
        <v>16</v>
      </c>
      <c r="K6" s="75" t="s">
        <v>17</v>
      </c>
      <c r="L6" s="82" t="s">
        <v>18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ht="28.8" x14ac:dyDescent="0.3">
      <c r="A7" s="3" t="s">
        <v>19</v>
      </c>
      <c r="B7" s="91" t="s">
        <v>346</v>
      </c>
      <c r="C7" s="91" t="s">
        <v>346</v>
      </c>
      <c r="D7" s="91" t="s">
        <v>346</v>
      </c>
      <c r="E7" s="91" t="s">
        <v>346</v>
      </c>
      <c r="F7" s="91" t="s">
        <v>346</v>
      </c>
      <c r="G7" s="91" t="s">
        <v>346</v>
      </c>
      <c r="H7" s="91" t="s">
        <v>346</v>
      </c>
      <c r="I7" s="91" t="s">
        <v>346</v>
      </c>
      <c r="J7" s="91"/>
      <c r="K7" s="9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20</v>
      </c>
      <c r="B8" s="92">
        <v>5.51</v>
      </c>
      <c r="C8" s="93">
        <v>14.83</v>
      </c>
      <c r="D8" s="93">
        <v>0.36</v>
      </c>
      <c r="E8" s="93">
        <v>0.8</v>
      </c>
      <c r="F8" s="93">
        <v>2.4500000000000002</v>
      </c>
      <c r="G8" s="93">
        <v>8.75</v>
      </c>
      <c r="H8" s="93">
        <v>3.41</v>
      </c>
      <c r="I8" s="93">
        <v>0.84</v>
      </c>
      <c r="J8" s="93"/>
      <c r="K8" s="93"/>
      <c r="L8" s="86">
        <f>SUM(B8:K8)</f>
        <v>36.950000000000003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21</v>
      </c>
      <c r="B9" s="92" t="s">
        <v>205</v>
      </c>
      <c r="C9" s="92" t="s">
        <v>205</v>
      </c>
      <c r="D9" s="92" t="s">
        <v>205</v>
      </c>
      <c r="E9" s="92" t="s">
        <v>205</v>
      </c>
      <c r="F9" s="92" t="s">
        <v>205</v>
      </c>
      <c r="G9" s="92" t="s">
        <v>205</v>
      </c>
      <c r="H9" s="92" t="s">
        <v>205</v>
      </c>
      <c r="I9" s="92" t="s">
        <v>205</v>
      </c>
      <c r="J9" s="92"/>
      <c r="K9" s="9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23</v>
      </c>
      <c r="B11" s="87" t="s">
        <v>210</v>
      </c>
      <c r="C11" s="87" t="s">
        <v>210</v>
      </c>
      <c r="D11" s="87" t="s">
        <v>210</v>
      </c>
      <c r="E11" s="87" t="s">
        <v>210</v>
      </c>
      <c r="F11" s="87" t="s">
        <v>210</v>
      </c>
      <c r="G11" s="87" t="s">
        <v>210</v>
      </c>
      <c r="H11" s="87" t="s">
        <v>210</v>
      </c>
      <c r="I11" s="87" t="s">
        <v>210</v>
      </c>
      <c r="J11" s="87"/>
      <c r="K11" s="87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24</v>
      </c>
      <c r="B12" s="94">
        <v>357</v>
      </c>
      <c r="C12" s="94">
        <v>357</v>
      </c>
      <c r="D12" s="94">
        <v>357</v>
      </c>
      <c r="E12" s="94">
        <v>357</v>
      </c>
      <c r="F12" s="94">
        <v>357</v>
      </c>
      <c r="G12" s="94">
        <v>357</v>
      </c>
      <c r="H12" s="94">
        <v>357</v>
      </c>
      <c r="I12" s="94">
        <v>357</v>
      </c>
      <c r="J12" s="94"/>
      <c r="K12" s="94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6" customFormat="1" ht="30.75" customHeight="1" x14ac:dyDescent="0.3">
      <c r="A13" s="3" t="s">
        <v>25</v>
      </c>
      <c r="B13" s="25" t="s">
        <v>197</v>
      </c>
      <c r="C13" s="25" t="s">
        <v>197</v>
      </c>
      <c r="D13" s="25" t="s">
        <v>197</v>
      </c>
      <c r="E13" s="25" t="s">
        <v>197</v>
      </c>
      <c r="F13" s="25" t="s">
        <v>197</v>
      </c>
      <c r="G13" s="25" t="s">
        <v>197</v>
      </c>
      <c r="H13" s="25" t="s">
        <v>197</v>
      </c>
      <c r="I13" s="25" t="s">
        <v>197</v>
      </c>
      <c r="J13" s="25"/>
      <c r="K13" s="25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27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28</v>
      </c>
      <c r="B15" s="27">
        <v>0.75</v>
      </c>
      <c r="C15" s="27">
        <v>0.75</v>
      </c>
      <c r="D15" s="27">
        <v>0.75</v>
      </c>
      <c r="E15" s="27">
        <v>0.75</v>
      </c>
      <c r="F15" s="27">
        <v>0.75</v>
      </c>
      <c r="G15" s="27">
        <v>0.75</v>
      </c>
      <c r="H15" s="27">
        <v>0.75</v>
      </c>
      <c r="I15" s="27">
        <v>0.75</v>
      </c>
      <c r="J15" s="27"/>
      <c r="K15" s="27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29</v>
      </c>
      <c r="B16" s="1" t="s">
        <v>345</v>
      </c>
      <c r="C16" s="1" t="s">
        <v>345</v>
      </c>
      <c r="D16" s="1" t="s">
        <v>345</v>
      </c>
      <c r="E16" s="1" t="s">
        <v>345</v>
      </c>
      <c r="F16" s="1" t="s">
        <v>345</v>
      </c>
      <c r="G16" s="1" t="s">
        <v>345</v>
      </c>
      <c r="H16" s="1" t="s">
        <v>345</v>
      </c>
      <c r="I16" s="1" t="s">
        <v>345</v>
      </c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86.4" x14ac:dyDescent="0.3">
      <c r="A17" s="4" t="s">
        <v>31</v>
      </c>
      <c r="B17" s="95" t="s">
        <v>256</v>
      </c>
      <c r="C17" s="95" t="s">
        <v>256</v>
      </c>
      <c r="D17" s="95" t="s">
        <v>256</v>
      </c>
      <c r="E17" s="95" t="s">
        <v>256</v>
      </c>
      <c r="F17" s="95" t="s">
        <v>256</v>
      </c>
      <c r="G17" s="95" t="s">
        <v>256</v>
      </c>
      <c r="H17" s="95" t="s">
        <v>256</v>
      </c>
      <c r="I17" s="95" t="s">
        <v>256</v>
      </c>
      <c r="J17" s="95"/>
      <c r="K17" s="9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72" x14ac:dyDescent="0.3">
      <c r="A18" s="4" t="s">
        <v>33</v>
      </c>
      <c r="B18" s="95" t="s">
        <v>261</v>
      </c>
      <c r="C18" s="95" t="s">
        <v>261</v>
      </c>
      <c r="D18" s="95" t="s">
        <v>261</v>
      </c>
      <c r="E18" s="95" t="s">
        <v>261</v>
      </c>
      <c r="F18" s="95" t="s">
        <v>261</v>
      </c>
      <c r="G18" s="95" t="s">
        <v>261</v>
      </c>
      <c r="H18" s="95" t="s">
        <v>261</v>
      </c>
      <c r="I18" s="95" t="s">
        <v>261</v>
      </c>
      <c r="J18" s="95"/>
      <c r="K18" s="95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72" x14ac:dyDescent="0.3">
      <c r="A19" s="4" t="s">
        <v>35</v>
      </c>
      <c r="B19" s="95" t="s">
        <v>261</v>
      </c>
      <c r="C19" s="95" t="s">
        <v>261</v>
      </c>
      <c r="D19" s="95" t="s">
        <v>261</v>
      </c>
      <c r="E19" s="95" t="s">
        <v>261</v>
      </c>
      <c r="F19" s="95" t="s">
        <v>261</v>
      </c>
      <c r="G19" s="95" t="s">
        <v>261</v>
      </c>
      <c r="H19" s="95" t="s">
        <v>261</v>
      </c>
      <c r="I19" s="95" t="s">
        <v>261</v>
      </c>
      <c r="J19" s="95"/>
      <c r="K19" s="95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37</v>
      </c>
      <c r="B20" s="28">
        <v>32.21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38</v>
      </c>
      <c r="B21" s="29">
        <v>69.16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6" t="s">
        <v>39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8"/>
      <c r="L24" s="76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40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41</v>
      </c>
      <c r="B26" s="10" t="str">
        <f t="shared" ref="B26:K26" si="0">CONCATENATE(B9," - ",B11)</f>
        <v>Amandier - Plein vent</v>
      </c>
      <c r="C26" s="10" t="str">
        <f t="shared" si="0"/>
        <v>Amandier - Plein vent</v>
      </c>
      <c r="D26" s="10" t="str">
        <f t="shared" si="0"/>
        <v>Amandier - Plein vent</v>
      </c>
      <c r="E26" s="10" t="str">
        <f t="shared" si="0"/>
        <v>Amandier - Plein vent</v>
      </c>
      <c r="F26" s="10" t="str">
        <f t="shared" si="0"/>
        <v>Amandier - Plein vent</v>
      </c>
      <c r="G26" s="10" t="str">
        <f t="shared" si="0"/>
        <v>Amandier - Plein vent</v>
      </c>
      <c r="H26" s="10" t="str">
        <f t="shared" si="0"/>
        <v>Amandier - Plein vent</v>
      </c>
      <c r="I26" s="10" t="str">
        <f t="shared" si="0"/>
        <v>Amandier - Plein vent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42</v>
      </c>
      <c r="B27" s="11" t="e">
        <f>IF(B12="","",VLOOKUP(B26,'(ne pas modifier) BDD_REF'!$C$21:$D$42,2,FALSE))</f>
        <v>#N/A</v>
      </c>
      <c r="C27" s="11" t="e">
        <f>IF(C12="","",VLOOKUP(C26,'(ne pas modifier) BDD_REF'!$C$21:$D$42,2,FALSE))</f>
        <v>#N/A</v>
      </c>
      <c r="D27" s="11" t="e">
        <f>IF(D12="","",VLOOKUP(D26,'(ne pas modifier) BDD_REF'!$C$21:$D$42,2,FALSE))</f>
        <v>#N/A</v>
      </c>
      <c r="E27" s="11" t="e">
        <f>IF(E12="","",VLOOKUP(E26,'(ne pas modifier) BDD_REF'!$C$21:$D$42,2,FALSE))</f>
        <v>#N/A</v>
      </c>
      <c r="F27" s="11" t="e">
        <f>IF(F12="","",VLOOKUP(F26,'(ne pas modifier) BDD_REF'!$C$21:$D$42,2,FALSE))</f>
        <v>#N/A</v>
      </c>
      <c r="G27" s="11" t="e">
        <f>IF(G12="","",VLOOKUP(G26,'(ne pas modifier) BDD_REF'!$C$21:$D$42,2,FALSE))</f>
        <v>#N/A</v>
      </c>
      <c r="H27" s="11" t="e">
        <f>IF(H12="","",VLOOKUP(H26,'(ne pas modifier) BDD_REF'!$C$21:$D$42,2,FALSE))</f>
        <v>#N/A</v>
      </c>
      <c r="I27" s="11" t="e">
        <f>IF(I12="","",VLOOKUP(I26,'(ne pas modifier) BDD_REF'!$C$21:$D$42,2,FALSE))</f>
        <v>#N/A</v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43</v>
      </c>
      <c r="B28" s="12" t="e">
        <f t="shared" ref="B28:K28" si="1">IF(B12="","",IF(B12&gt;=B27,"OUI","NON"))</f>
        <v>#N/A</v>
      </c>
      <c r="C28" s="12" t="e">
        <f t="shared" si="1"/>
        <v>#N/A</v>
      </c>
      <c r="D28" s="12" t="e">
        <f t="shared" si="1"/>
        <v>#N/A</v>
      </c>
      <c r="E28" s="12" t="e">
        <f t="shared" si="1"/>
        <v>#N/A</v>
      </c>
      <c r="F28" s="12" t="e">
        <f t="shared" si="1"/>
        <v>#N/A</v>
      </c>
      <c r="G28" s="12" t="e">
        <f t="shared" si="1"/>
        <v>#N/A</v>
      </c>
      <c r="H28" s="12" t="e">
        <f t="shared" si="1"/>
        <v>#N/A</v>
      </c>
      <c r="I28" s="12" t="e">
        <f t="shared" si="1"/>
        <v>#N/A</v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44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45</v>
      </c>
      <c r="B31" s="12" t="str">
        <f t="shared" ref="B31:K31" si="2">IF(B21="","",IF(B21&gt;=B20,"OUI","NON"))</f>
        <v>OUI</v>
      </c>
      <c r="C31" s="71" t="str">
        <f t="shared" si="2"/>
        <v/>
      </c>
      <c r="D31" s="71" t="str">
        <f t="shared" si="2"/>
        <v/>
      </c>
      <c r="E31" s="71" t="str">
        <f t="shared" si="2"/>
        <v/>
      </c>
      <c r="F31" s="71" t="str">
        <f t="shared" si="2"/>
        <v/>
      </c>
      <c r="G31" s="71" t="str">
        <f t="shared" si="2"/>
        <v/>
      </c>
      <c r="H31" s="71" t="str">
        <f t="shared" si="2"/>
        <v/>
      </c>
      <c r="I31" s="71" t="str">
        <f t="shared" si="2"/>
        <v/>
      </c>
      <c r="J31" s="71" t="str">
        <f t="shared" si="2"/>
        <v/>
      </c>
      <c r="K31" s="71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46</v>
      </c>
      <c r="L33" s="83" t="s">
        <v>18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47</v>
      </c>
      <c r="B34" s="42" t="str">
        <f>CONCATENATE(Eligibilité_projet!B13," - ",Eligibilité_projet!B16)</f>
        <v xml:space="preserve">Climat Sec Mediterranéen - Prairies </v>
      </c>
      <c r="C34" s="42" t="str">
        <f>CONCATENATE(Eligibilité_projet!C13," - ",Eligibilité_projet!C16)</f>
        <v xml:space="preserve">Climat Sec Mediterranéen - Prairies </v>
      </c>
      <c r="D34" s="42" t="str">
        <f>CONCATENATE(Eligibilité_projet!D13," - ",Eligibilité_projet!D16)</f>
        <v xml:space="preserve">Climat Sec Mediterranéen - Prairies </v>
      </c>
      <c r="E34" s="42" t="str">
        <f>CONCATENATE(Eligibilité_projet!E13," - ",Eligibilité_projet!E16)</f>
        <v xml:space="preserve">Climat Sec Mediterranéen - Prairies </v>
      </c>
      <c r="F34" s="42" t="str">
        <f>CONCATENATE(Eligibilité_projet!F13," - ",Eligibilité_projet!F16)</f>
        <v xml:space="preserve">Climat Sec Mediterranéen - Prairies </v>
      </c>
      <c r="G34" s="42" t="str">
        <f>CONCATENATE(Eligibilité_projet!G13," - ",Eligibilité_projet!G16)</f>
        <v xml:space="preserve">Climat Sec Mediterranéen - Prairies </v>
      </c>
      <c r="H34" s="42" t="str">
        <f>CONCATENATE(Eligibilité_projet!H13," - ",Eligibilité_projet!H16)</f>
        <v xml:space="preserve">Climat Sec Mediterranéen - Prairies </v>
      </c>
      <c r="I34" s="42" t="str">
        <f>CONCATENATE(Eligibilité_projet!I13," - ",Eligibilité_projet!I16)</f>
        <v xml:space="preserve">Climat Sec Mediterranéen - Prairies </v>
      </c>
      <c r="J34" s="42" t="str">
        <f>CONCATENATE(Eligibilité_projet!J13," - ",Eligibilité_projet!J16)</f>
        <v xml:space="preserve"> - </v>
      </c>
      <c r="K34" s="42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43.2" hidden="1" x14ac:dyDescent="0.3">
      <c r="A35" s="7" t="s">
        <v>48</v>
      </c>
      <c r="B35" s="42" t="str">
        <f>CONCATENATE(Eligibilité_projet!B14," - ",Eligibilité_projet!B16,"-",Eligibilité_projet!B13)</f>
        <v>20 - Prairies -Climat Sec Mediterranéen</v>
      </c>
      <c r="C35" s="42" t="str">
        <f>CONCATENATE(Eligibilité_projet!C14," - ",Eligibilité_projet!C16,"-",Eligibilité_projet!C13)</f>
        <v>20 - Prairies -Climat Sec Mediterranéen</v>
      </c>
      <c r="D35" s="42" t="str">
        <f>CONCATENATE(Eligibilité_projet!D14," - ",Eligibilité_projet!D16,"-",Eligibilité_projet!D13)</f>
        <v>20 - Prairies -Climat Sec Mediterranéen</v>
      </c>
      <c r="E35" s="42" t="str">
        <f>CONCATENATE(Eligibilité_projet!E14," - ",Eligibilité_projet!E16,"-",Eligibilité_projet!E13)</f>
        <v>20 - Prairies -Climat Sec Mediterranéen</v>
      </c>
      <c r="F35" s="42" t="str">
        <f>CONCATENATE(Eligibilité_projet!F14," - ",Eligibilité_projet!F16,"-",Eligibilité_projet!F13)</f>
        <v>20 - Prairies -Climat Sec Mediterranéen</v>
      </c>
      <c r="G35" s="42" t="str">
        <f>CONCATENATE(Eligibilité_projet!G14," - ",Eligibilité_projet!G16,"-",Eligibilité_projet!G13)</f>
        <v>20 - Prairies -Climat Sec Mediterranéen</v>
      </c>
      <c r="H35" s="42" t="str">
        <f>CONCATENATE(Eligibilité_projet!H14," - ",Eligibilité_projet!H16,"-",Eligibilité_projet!H13)</f>
        <v>20 - Prairies -Climat Sec Mediterranéen</v>
      </c>
      <c r="I35" s="42" t="str">
        <f>CONCATENATE(Eligibilité_projet!I14," - ",Eligibilité_projet!I16,"-",Eligibilité_projet!I13)</f>
        <v>20 - Prairies -Climat Sec Mediterranéen</v>
      </c>
      <c r="J35" s="42" t="str">
        <f>CONCATENATE(Eligibilité_projet!J14," - ",Eligibilité_projet!J16,"-",Eligibilité_projet!J13)</f>
        <v xml:space="preserve"> - -</v>
      </c>
      <c r="K35" s="42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49</v>
      </c>
      <c r="B36" s="43">
        <f>RECant_sol!C9</f>
        <v>293.95850000000002</v>
      </c>
      <c r="C36" s="43">
        <f>RECant_sol!D9</f>
        <v>791.18050000000005</v>
      </c>
      <c r="D36" s="43">
        <f>RECant_sol!E9</f>
        <v>19.206</v>
      </c>
      <c r="E36" s="43">
        <f>RECant_sol!F9</f>
        <v>42.680000000000007</v>
      </c>
      <c r="F36" s="43">
        <f>RECant_sol!G9</f>
        <v>130.70750000000001</v>
      </c>
      <c r="G36" s="43">
        <f>RECant_sol!H9</f>
        <v>466.81250000000006</v>
      </c>
      <c r="H36" s="43">
        <f>RECant_sol!I9</f>
        <v>181.92350000000002</v>
      </c>
      <c r="I36" s="43">
        <f>RECant_sol!J9</f>
        <v>44.814</v>
      </c>
      <c r="J36" s="43">
        <f>RECant_sol!K9</f>
        <v>0</v>
      </c>
      <c r="K36" s="43">
        <f>RECant_sol!L9</f>
        <v>0</v>
      </c>
      <c r="L36" s="84">
        <f>SUM(B36:K36)</f>
        <v>1971.2825000000003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50</v>
      </c>
      <c r="B37" s="44">
        <f>RECant_biom!C28</f>
        <v>202.24498730158732</v>
      </c>
      <c r="C37" s="44">
        <f>RECant_biom!D28</f>
        <v>544.33632698412691</v>
      </c>
      <c r="D37" s="43">
        <f>RECant_biom!E28</f>
        <v>13.21382857142857</v>
      </c>
      <c r="E37" s="43">
        <f>RECant_biom!F28</f>
        <v>29.36406349206349</v>
      </c>
      <c r="F37" s="43">
        <f>RECant_biom!G28</f>
        <v>89.927444444444447</v>
      </c>
      <c r="G37" s="43">
        <f>RECant_biom!H28</f>
        <v>321.16944444444442</v>
      </c>
      <c r="H37" s="43">
        <f>RECant_biom!I28</f>
        <v>125.16432063492063</v>
      </c>
      <c r="I37" s="43">
        <f>RECant_biom!J28</f>
        <v>30.832266666666666</v>
      </c>
      <c r="J37" s="43">
        <f>RECant_biom!K28</f>
        <v>0</v>
      </c>
      <c r="K37" s="43">
        <f>RECant_biom!L28</f>
        <v>0</v>
      </c>
      <c r="L37" s="85">
        <f>SUM(B37:K37)</f>
        <v>1356.2526825396824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5" t="s">
        <v>51</v>
      </c>
      <c r="B38" s="44">
        <f t="shared" ref="B38:K38" si="3">IF(B36="","",B36+B37)</f>
        <v>496.2034873015873</v>
      </c>
      <c r="C38" s="44">
        <f t="shared" si="3"/>
        <v>1335.516826984127</v>
      </c>
      <c r="D38" s="43">
        <f t="shared" si="3"/>
        <v>32.419828571428567</v>
      </c>
      <c r="E38" s="43">
        <f t="shared" si="3"/>
        <v>72.044063492063501</v>
      </c>
      <c r="F38" s="43">
        <f t="shared" si="3"/>
        <v>220.63494444444444</v>
      </c>
      <c r="G38" s="43">
        <f t="shared" si="3"/>
        <v>787.98194444444448</v>
      </c>
      <c r="H38" s="43">
        <f t="shared" si="3"/>
        <v>307.08782063492066</v>
      </c>
      <c r="I38" s="43">
        <f t="shared" si="3"/>
        <v>75.646266666666662</v>
      </c>
      <c r="J38" s="43">
        <f t="shared" si="3"/>
        <v>0</v>
      </c>
      <c r="K38" s="43">
        <f t="shared" si="3"/>
        <v>0</v>
      </c>
      <c r="L38" s="85">
        <f>SUM(B38:K38)</f>
        <v>3327.5351825396829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45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>OUI</v>
      </c>
      <c r="G39" s="12" t="str">
        <f t="shared" si="4"/>
        <v>OUI</v>
      </c>
      <c r="H39" s="12" t="str">
        <f t="shared" si="4"/>
        <v>OUI</v>
      </c>
      <c r="I39" s="12" t="str">
        <f t="shared" si="4"/>
        <v>OUI</v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3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52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45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>OUI</v>
      </c>
      <c r="G43" s="12" t="str">
        <f t="shared" si="5"/>
        <v>OUI</v>
      </c>
      <c r="H43" s="12" t="str">
        <f t="shared" si="5"/>
        <v>OUI</v>
      </c>
      <c r="I43" s="12" t="str">
        <f t="shared" si="5"/>
        <v>OUI</v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J15" sqref="J1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11" t="s">
        <v>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4" x14ac:dyDescent="0.3">
      <c r="M3" s="2"/>
      <c r="N3" s="2"/>
    </row>
    <row r="4" spans="1:14" ht="28.8" x14ac:dyDescent="0.3"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54</v>
      </c>
      <c r="M4" s="2"/>
      <c r="N4" s="2"/>
    </row>
    <row r="5" spans="1:14" x14ac:dyDescent="0.3">
      <c r="A5" s="3" t="s">
        <v>55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1.0717387473432967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1.0717387473432967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1.0717387473432967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1.0717387473432967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1.0717387473432967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1.0717387473432967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1.0717387473432967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1.0717387473432967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8.5739099787463733</v>
      </c>
      <c r="M5" s="2"/>
      <c r="N5" s="2"/>
    </row>
    <row r="6" spans="1:14" x14ac:dyDescent="0.3">
      <c r="A6" s="3" t="s">
        <v>56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57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-29.52640248930782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-79.469428115505451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-1.9291297452179339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-4.2869549893731866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-13.128799654955385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-46.888570196269228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-18.273145642203207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-4.5013027388418454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-198.00373357167408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Q30" sqref="Q30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4" t="s">
        <v>58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4" spans="1:15" customFormat="1" ht="28.95" customHeight="1" x14ac:dyDescent="0.3"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54</v>
      </c>
      <c r="N4" s="2"/>
      <c r="O4" s="2"/>
    </row>
    <row r="5" spans="1:15" customFormat="1" x14ac:dyDescent="0.3">
      <c r="A5" s="17"/>
      <c r="B5" s="3" t="s">
        <v>59</v>
      </c>
      <c r="C5" s="38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1.0717387473432967</v>
      </c>
      <c r="D5" s="38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1.0717387473432967</v>
      </c>
      <c r="E5" s="38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1.0717387473432967</v>
      </c>
      <c r="F5" s="38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1.0717387473432967</v>
      </c>
      <c r="G5" s="38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1.0717387473432967</v>
      </c>
      <c r="H5" s="38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1.0717387473432967</v>
      </c>
      <c r="I5" s="38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1.0717387473432967</v>
      </c>
      <c r="J5" s="38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1.0717387473432967</v>
      </c>
      <c r="K5" s="38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8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8">
        <f>SUM(C5:L5)</f>
        <v>8.5739099787463733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60</v>
      </c>
      <c r="B7" s="7" t="s">
        <v>61</v>
      </c>
      <c r="C7" s="90">
        <v>39</v>
      </c>
      <c r="D7" s="90">
        <v>39</v>
      </c>
      <c r="E7" s="90">
        <v>39</v>
      </c>
      <c r="F7" s="90">
        <v>39</v>
      </c>
      <c r="G7" s="90">
        <v>39</v>
      </c>
      <c r="H7" s="90">
        <v>39</v>
      </c>
      <c r="I7" s="90">
        <v>39</v>
      </c>
      <c r="J7" s="90">
        <v>39</v>
      </c>
      <c r="K7" s="90"/>
      <c r="L7" s="90"/>
      <c r="M7" s="38">
        <f t="shared" ref="M7:M38" si="0">SUM(C7:L7)</f>
        <v>312</v>
      </c>
    </row>
    <row r="8" spans="1:15" x14ac:dyDescent="0.3">
      <c r="B8" s="7" t="s">
        <v>62</v>
      </c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/>
      <c r="L8" s="90"/>
      <c r="M8" s="38">
        <f t="shared" si="0"/>
        <v>0</v>
      </c>
    </row>
    <row r="9" spans="1:15" x14ac:dyDescent="0.3">
      <c r="B9" s="7" t="s">
        <v>63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38">
        <f t="shared" si="0"/>
        <v>0</v>
      </c>
    </row>
    <row r="10" spans="1:15" x14ac:dyDescent="0.3">
      <c r="B10" s="19" t="s">
        <v>64</v>
      </c>
      <c r="C10" s="38">
        <f>C7*'(ne pas modifier) BDD_REF'!$B$206 + (C8+C9)*'(ne pas modifier) BDD_REF'!$B$207</f>
        <v>0.624</v>
      </c>
      <c r="D10" s="38">
        <f>D7*'(ne pas modifier) BDD_REF'!$B$206 + (D8+D9)*'(ne pas modifier) BDD_REF'!$B$207</f>
        <v>0.624</v>
      </c>
      <c r="E10" s="38">
        <f>E7*'(ne pas modifier) BDD_REF'!$B$206 + (E8+E9)*'(ne pas modifier) BDD_REF'!$B$207</f>
        <v>0.624</v>
      </c>
      <c r="F10" s="38">
        <f>F7*'(ne pas modifier) BDD_REF'!$B$206 + (F8+F9)*'(ne pas modifier) BDD_REF'!$B$207</f>
        <v>0.624</v>
      </c>
      <c r="G10" s="38">
        <f>G7*'(ne pas modifier) BDD_REF'!$B$206 + (G8+G9)*'(ne pas modifier) BDD_REF'!$B$207</f>
        <v>0.624</v>
      </c>
      <c r="H10" s="38">
        <f>H7*'(ne pas modifier) BDD_REF'!$B$206 + (H8+H9)*'(ne pas modifier) BDD_REF'!$B$207</f>
        <v>0.624</v>
      </c>
      <c r="I10" s="38">
        <f>I7*'(ne pas modifier) BDD_REF'!$B$206 + (I8+I9)*'(ne pas modifier) BDD_REF'!$B$207</f>
        <v>0.624</v>
      </c>
      <c r="J10" s="38">
        <f>J7*'(ne pas modifier) BDD_REF'!$B$206 + (J8+J9)*'(ne pas modifier) BDD_REF'!$B$207</f>
        <v>0.624</v>
      </c>
      <c r="K10" s="38">
        <f>K7*'(ne pas modifier) BDD_REF'!$B$206 + (K8+K9)*'(ne pas modifier) BDD_REF'!$B$207</f>
        <v>0</v>
      </c>
      <c r="L10" s="38">
        <f>L7*'(ne pas modifier) BDD_REF'!$B$206 + (L8+L9)*'(ne pas modifier) BDD_REF'!$B$207</f>
        <v>0</v>
      </c>
      <c r="M10" s="38">
        <f t="shared" si="0"/>
        <v>4.992</v>
      </c>
    </row>
    <row r="11" spans="1:15" x14ac:dyDescent="0.3">
      <c r="B11" s="19" t="s">
        <v>65</v>
      </c>
      <c r="C11" s="38">
        <f>((C7*'(ne pas modifier) BDD_REF'!$B$219)+('RECeff + REIamont (2)'!C8+'RECeff + REIamont (2)'!C9)*'(ne pas modifier) BDD_REF'!$B$220)*'(ne pas modifier) BDD_REF'!$B$208</f>
        <v>4.2900000000000001E-2</v>
      </c>
      <c r="D11" s="38">
        <f>((D7*'(ne pas modifier) BDD_REF'!$B$219)+('RECeff + REIamont (2)'!D8+'RECeff + REIamont (2)'!D9)*'(ne pas modifier) BDD_REF'!$B$220)*'(ne pas modifier) BDD_REF'!$B$208</f>
        <v>4.2900000000000001E-2</v>
      </c>
      <c r="E11" s="38">
        <f>((E7*'(ne pas modifier) BDD_REF'!$B$219)+('RECeff + REIamont (2)'!E8+'RECeff + REIamont (2)'!E9)*'(ne pas modifier) BDD_REF'!$B$220)*'(ne pas modifier) BDD_REF'!$B$208</f>
        <v>4.2900000000000001E-2</v>
      </c>
      <c r="F11" s="38">
        <f>((F7*'(ne pas modifier) BDD_REF'!$B$219)+('RECeff + REIamont (2)'!F8+'RECeff + REIamont (2)'!F9)*'(ne pas modifier) BDD_REF'!$B$220)*'(ne pas modifier) BDD_REF'!$B$208</f>
        <v>4.2900000000000001E-2</v>
      </c>
      <c r="G11" s="38">
        <f>((G7*'(ne pas modifier) BDD_REF'!$B$219)+('RECeff + REIamont (2)'!G8+'RECeff + REIamont (2)'!G9)*'(ne pas modifier) BDD_REF'!$B$220)*'(ne pas modifier) BDD_REF'!$B$208</f>
        <v>4.2900000000000001E-2</v>
      </c>
      <c r="H11" s="38">
        <f>((H7*'(ne pas modifier) BDD_REF'!$B$219)+('RECeff + REIamont (2)'!H8+'RECeff + REIamont (2)'!H9)*'(ne pas modifier) BDD_REF'!$B$220)*'(ne pas modifier) BDD_REF'!$B$208</f>
        <v>4.2900000000000001E-2</v>
      </c>
      <c r="I11" s="38">
        <f>((I7*'(ne pas modifier) BDD_REF'!$B$219)+('RECeff + REIamont (2)'!I8+'RECeff + REIamont (2)'!I9)*'(ne pas modifier) BDD_REF'!$B$220)*'(ne pas modifier) BDD_REF'!$B$208</f>
        <v>4.2900000000000001E-2</v>
      </c>
      <c r="J11" s="38">
        <f>((J7*'(ne pas modifier) BDD_REF'!$B$219)+('RECeff + REIamont (2)'!J8+'RECeff + REIamont (2)'!J9)*'(ne pas modifier) BDD_REF'!$B$220)*'(ne pas modifier) BDD_REF'!$B$208</f>
        <v>4.2900000000000001E-2</v>
      </c>
      <c r="K11" s="38">
        <f>((K7*'(ne pas modifier) BDD_REF'!$B$219)+('RECeff + REIamont (2)'!K8+'RECeff + REIamont (2)'!K9)*'(ne pas modifier) BDD_REF'!$B$220)*'(ne pas modifier) BDD_REF'!$B$208</f>
        <v>0</v>
      </c>
      <c r="L11" s="38">
        <f>((L7*'(ne pas modifier) BDD_REF'!$B$219)+('RECeff + REIamont (2)'!L8+'RECeff + REIamont (2)'!L9)*'(ne pas modifier) BDD_REF'!$B$220)*'(ne pas modifier) BDD_REF'!$B$208</f>
        <v>0</v>
      </c>
      <c r="M11" s="38">
        <f t="shared" si="0"/>
        <v>0.34320000000000001</v>
      </c>
    </row>
    <row r="12" spans="1:15" x14ac:dyDescent="0.3">
      <c r="B12" s="19" t="s">
        <v>66</v>
      </c>
      <c r="C12" s="38">
        <f>(C7+C8+C9)*'(ne pas modifier) BDD_REF'!$B$221*'(ne pas modifier) BDD_REF'!$B$209</f>
        <v>0.10295999999999998</v>
      </c>
      <c r="D12" s="38">
        <f>(D7+D8+D9)*'(ne pas modifier) BDD_REF'!$B$221*'(ne pas modifier) BDD_REF'!$B$209</f>
        <v>0.10295999999999998</v>
      </c>
      <c r="E12" s="38">
        <f>(E7+E8+E9)*'(ne pas modifier) BDD_REF'!$B$221*'(ne pas modifier) BDD_REF'!$B$209</f>
        <v>0.10295999999999998</v>
      </c>
      <c r="F12" s="38">
        <f>(F7+F8+F9)*'(ne pas modifier) BDD_REF'!$B$221*'(ne pas modifier) BDD_REF'!$B$209</f>
        <v>0.10295999999999998</v>
      </c>
      <c r="G12" s="38">
        <f>(G7+G8+G9)*'(ne pas modifier) BDD_REF'!$B$221*'(ne pas modifier) BDD_REF'!$B$209</f>
        <v>0.10295999999999998</v>
      </c>
      <c r="H12" s="38">
        <f>(H7+H8+H9)*'(ne pas modifier) BDD_REF'!$B$221*'(ne pas modifier) BDD_REF'!$B$209</f>
        <v>0.10295999999999998</v>
      </c>
      <c r="I12" s="38">
        <f>(I7+I8+I9)*'(ne pas modifier) BDD_REF'!$B$221*'(ne pas modifier) BDD_REF'!$B$209</f>
        <v>0.10295999999999998</v>
      </c>
      <c r="J12" s="38">
        <f>(J7+J8+J9)*'(ne pas modifier) BDD_REF'!$B$221*'(ne pas modifier) BDD_REF'!$B$209</f>
        <v>0.10295999999999998</v>
      </c>
      <c r="K12" s="38">
        <f>(K7+K8+K9)*'(ne pas modifier) BDD_REF'!$B$221*'(ne pas modifier) BDD_REF'!$B$209</f>
        <v>0</v>
      </c>
      <c r="L12" s="38">
        <f>(L7+L8+L9)*'(ne pas modifier) BDD_REF'!$B$221*'(ne pas modifier) BDD_REF'!$B$209</f>
        <v>0</v>
      </c>
      <c r="M12" s="38">
        <f t="shared" si="0"/>
        <v>0.82367999999999975</v>
      </c>
    </row>
    <row r="13" spans="1:15" x14ac:dyDescent="0.3">
      <c r="B13" s="7" t="s">
        <v>67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8">
        <f t="shared" si="0"/>
        <v>0</v>
      </c>
    </row>
    <row r="14" spans="1:15" x14ac:dyDescent="0.3">
      <c r="B14" s="7" t="s">
        <v>68</v>
      </c>
      <c r="C14" s="90">
        <v>100</v>
      </c>
      <c r="D14" s="90">
        <v>100</v>
      </c>
      <c r="E14" s="90">
        <v>100</v>
      </c>
      <c r="F14" s="90">
        <v>100</v>
      </c>
      <c r="G14" s="90">
        <v>100</v>
      </c>
      <c r="H14" s="90">
        <v>100</v>
      </c>
      <c r="I14" s="90">
        <v>100</v>
      </c>
      <c r="J14" s="90">
        <v>100</v>
      </c>
      <c r="K14" s="90"/>
      <c r="L14" s="90"/>
      <c r="M14" s="38">
        <f t="shared" si="0"/>
        <v>800</v>
      </c>
    </row>
    <row r="15" spans="1:15" x14ac:dyDescent="0.3">
      <c r="B15" s="7" t="s">
        <v>69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38">
        <f t="shared" si="0"/>
        <v>0</v>
      </c>
    </row>
    <row r="16" spans="1:15" x14ac:dyDescent="0.3">
      <c r="B16" s="7" t="s">
        <v>70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8">
        <f t="shared" si="0"/>
        <v>0</v>
      </c>
    </row>
    <row r="17" spans="1:108" x14ac:dyDescent="0.3">
      <c r="B17" s="7" t="s">
        <v>71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8">
        <f t="shared" si="0"/>
        <v>0</v>
      </c>
    </row>
    <row r="18" spans="1:108" x14ac:dyDescent="0.3">
      <c r="B18" s="7" t="s">
        <v>72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38">
        <f t="shared" si="0"/>
        <v>0</v>
      </c>
    </row>
    <row r="19" spans="1:108" x14ac:dyDescent="0.3">
      <c r="B19" s="3" t="s">
        <v>73</v>
      </c>
      <c r="C19" s="38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38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0.30709999999999998</v>
      </c>
      <c r="E19" s="38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0.30709999999999998</v>
      </c>
      <c r="F19" s="38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0.30709999999999998</v>
      </c>
      <c r="G19" s="38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0.30709999999999998</v>
      </c>
      <c r="H19" s="38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0.30709999999999998</v>
      </c>
      <c r="I19" s="38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0.30709999999999998</v>
      </c>
      <c r="J19" s="38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0.30709999999999998</v>
      </c>
      <c r="K19" s="38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8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8">
        <f t="shared" si="0"/>
        <v>2.4567999999999999</v>
      </c>
    </row>
    <row r="20" spans="1:108" x14ac:dyDescent="0.3">
      <c r="B20" s="7" t="s">
        <v>74</v>
      </c>
      <c r="C20" s="90">
        <v>1500</v>
      </c>
      <c r="D20" s="90">
        <v>1500</v>
      </c>
      <c r="E20" s="90">
        <v>1500</v>
      </c>
      <c r="F20" s="90">
        <v>1500</v>
      </c>
      <c r="G20" s="90">
        <v>1500</v>
      </c>
      <c r="H20" s="90">
        <v>1500</v>
      </c>
      <c r="I20" s="90">
        <v>1500</v>
      </c>
      <c r="J20" s="90">
        <v>1500</v>
      </c>
      <c r="K20" s="90"/>
      <c r="L20" s="90"/>
      <c r="M20" s="38">
        <f t="shared" si="0"/>
        <v>12000</v>
      </c>
    </row>
    <row r="21" spans="1:108" x14ac:dyDescent="0.3">
      <c r="B21" s="3" t="s">
        <v>75</v>
      </c>
      <c r="C21" s="38">
        <f>(C20*'(ne pas modifier) BDD_REF'!$B$210)/1000</f>
        <v>8.5500000000000007E-2</v>
      </c>
      <c r="D21" s="38">
        <f>(D20*'(ne pas modifier) BDD_REF'!$B$210)/1000</f>
        <v>8.5500000000000007E-2</v>
      </c>
      <c r="E21" s="38">
        <f>(E20*'(ne pas modifier) BDD_REF'!$B$210)/1000</f>
        <v>8.5500000000000007E-2</v>
      </c>
      <c r="F21" s="38">
        <f>(F20*'(ne pas modifier) BDD_REF'!$B$210)/1000</f>
        <v>8.5500000000000007E-2</v>
      </c>
      <c r="G21" s="38">
        <f>(G20*'(ne pas modifier) BDD_REF'!$B$210)/1000</f>
        <v>8.5500000000000007E-2</v>
      </c>
      <c r="H21" s="38">
        <f>(H20*'(ne pas modifier) BDD_REF'!$B$210)/1000</f>
        <v>8.5500000000000007E-2</v>
      </c>
      <c r="I21" s="38">
        <f>(I20*'(ne pas modifier) BDD_REF'!$B$210)/1000</f>
        <v>8.5500000000000007E-2</v>
      </c>
      <c r="J21" s="38">
        <f>(J20*'(ne pas modifier) BDD_REF'!$B$210)/1000</f>
        <v>8.5500000000000007E-2</v>
      </c>
      <c r="K21" s="38">
        <f>(K20*'(ne pas modifier) BDD_REF'!$B$210)/1000</f>
        <v>0</v>
      </c>
      <c r="L21" s="38">
        <f>(L20*'(ne pas modifier) BDD_REF'!$B$210)/1000</f>
        <v>0</v>
      </c>
      <c r="M21" s="38">
        <f t="shared" si="0"/>
        <v>0.68400000000000005</v>
      </c>
    </row>
    <row r="22" spans="1:108" s="16" customFormat="1" x14ac:dyDescent="0.3">
      <c r="A22" s="18"/>
      <c r="B22" s="19" t="s">
        <v>76</v>
      </c>
      <c r="C22" s="79">
        <f>C19+C21</f>
        <v>0.3926</v>
      </c>
      <c r="D22" s="79">
        <f t="shared" ref="D22:L22" si="1">D19+D21</f>
        <v>0.3926</v>
      </c>
      <c r="E22" s="79">
        <f t="shared" si="1"/>
        <v>0.3926</v>
      </c>
      <c r="F22" s="79">
        <f t="shared" si="1"/>
        <v>0.3926</v>
      </c>
      <c r="G22" s="79">
        <f t="shared" si="1"/>
        <v>0.3926</v>
      </c>
      <c r="H22" s="79">
        <f t="shared" si="1"/>
        <v>0.3926</v>
      </c>
      <c r="I22" s="79">
        <f t="shared" si="1"/>
        <v>0.3926</v>
      </c>
      <c r="J22" s="79">
        <f t="shared" si="1"/>
        <v>0.3926</v>
      </c>
      <c r="K22" s="79">
        <f t="shared" si="1"/>
        <v>0</v>
      </c>
      <c r="L22" s="79">
        <f t="shared" si="1"/>
        <v>0</v>
      </c>
      <c r="M22" s="38">
        <f t="shared" si="0"/>
        <v>3.1407999999999996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77</v>
      </c>
      <c r="C23" s="90">
        <v>53</v>
      </c>
      <c r="D23" s="90">
        <v>53</v>
      </c>
      <c r="E23" s="90">
        <v>53</v>
      </c>
      <c r="F23" s="90">
        <v>53</v>
      </c>
      <c r="G23" s="90">
        <v>53</v>
      </c>
      <c r="H23" s="90">
        <v>53</v>
      </c>
      <c r="I23" s="90">
        <v>53</v>
      </c>
      <c r="J23" s="90">
        <v>53</v>
      </c>
      <c r="K23" s="90"/>
      <c r="L23" s="90"/>
      <c r="M23" s="38">
        <f t="shared" si="0"/>
        <v>424</v>
      </c>
    </row>
    <row r="24" spans="1:108" x14ac:dyDescent="0.3">
      <c r="B24" s="7" t="s">
        <v>78</v>
      </c>
      <c r="C24" s="90">
        <v>30</v>
      </c>
      <c r="D24" s="90">
        <v>30</v>
      </c>
      <c r="E24" s="90">
        <v>30</v>
      </c>
      <c r="F24" s="90">
        <v>30</v>
      </c>
      <c r="G24" s="90">
        <v>30</v>
      </c>
      <c r="H24" s="90">
        <v>30</v>
      </c>
      <c r="I24" s="90">
        <v>30</v>
      </c>
      <c r="J24" s="90">
        <v>30</v>
      </c>
      <c r="K24" s="90"/>
      <c r="L24" s="90"/>
      <c r="M24" s="38">
        <f t="shared" si="0"/>
        <v>240</v>
      </c>
    </row>
    <row r="25" spans="1:108" x14ac:dyDescent="0.3">
      <c r="B25" s="3" t="s">
        <v>79</v>
      </c>
      <c r="C25" s="38">
        <f>(C7*'(ne pas modifier) BDD_REF'!$B$211+'RECeff + REIamont (2)'!C23*'(ne pas modifier) BDD_REF'!$B$212+'RECeff + REIamont (2)'!C24*'(ne pas modifier) BDD_REF'!$B$213)/1000</f>
        <v>0.27403999999999995</v>
      </c>
      <c r="D25" s="38">
        <f>(D7*'(ne pas modifier) BDD_REF'!$B$211+'RECeff + REIamont (2)'!D23*'(ne pas modifier) BDD_REF'!$B$212+'RECeff + REIamont (2)'!D24*'(ne pas modifier) BDD_REF'!$B$213)/1000</f>
        <v>0.27403999999999995</v>
      </c>
      <c r="E25" s="38">
        <f>(E7*'(ne pas modifier) BDD_REF'!$B$211+'RECeff + REIamont (2)'!E23*'(ne pas modifier) BDD_REF'!$B$212+'RECeff + REIamont (2)'!E24*'(ne pas modifier) BDD_REF'!$B$213)/1000</f>
        <v>0.27403999999999995</v>
      </c>
      <c r="F25" s="38">
        <f>(F7*'(ne pas modifier) BDD_REF'!$B$211+'RECeff + REIamont (2)'!F23*'(ne pas modifier) BDD_REF'!$B$212+'RECeff + REIamont (2)'!F24*'(ne pas modifier) BDD_REF'!$B$213)/1000</f>
        <v>0.27403999999999995</v>
      </c>
      <c r="G25" s="38">
        <f>(G7*'(ne pas modifier) BDD_REF'!$B$211+'RECeff + REIamont (2)'!G23*'(ne pas modifier) BDD_REF'!$B$212+'RECeff + REIamont (2)'!G24*'(ne pas modifier) BDD_REF'!$B$213)/1000</f>
        <v>0.27403999999999995</v>
      </c>
      <c r="H25" s="38">
        <f>(H7*'(ne pas modifier) BDD_REF'!$B$211+'RECeff + REIamont (2)'!H23*'(ne pas modifier) BDD_REF'!$B$212+'RECeff + REIamont (2)'!H24*'(ne pas modifier) BDD_REF'!$B$213)/1000</f>
        <v>0.27403999999999995</v>
      </c>
      <c r="I25" s="38">
        <f>(I7*'(ne pas modifier) BDD_REF'!$B$211+'RECeff + REIamont (2)'!I23*'(ne pas modifier) BDD_REF'!$B$212+'RECeff + REIamont (2)'!I24*'(ne pas modifier) BDD_REF'!$B$213)/1000</f>
        <v>0.27403999999999995</v>
      </c>
      <c r="J25" s="38">
        <f>(J7*'(ne pas modifier) BDD_REF'!$B$211+'RECeff + REIamont (2)'!J23*'(ne pas modifier) BDD_REF'!$B$212+'RECeff + REIamont (2)'!J24*'(ne pas modifier) BDD_REF'!$B$213)/1000</f>
        <v>0.27403999999999995</v>
      </c>
      <c r="K25" s="38">
        <f>(K7*'(ne pas modifier) BDD_REF'!$B$211+'RECeff + REIamont (2)'!K23*'(ne pas modifier) BDD_REF'!$B$212+'RECeff + REIamont (2)'!K24*'(ne pas modifier) BDD_REF'!$B$213)/1000</f>
        <v>0</v>
      </c>
      <c r="L25" s="38">
        <f>(L7*'(ne pas modifier) BDD_REF'!$B$211+'RECeff + REIamont (2)'!L23*'(ne pas modifier) BDD_REF'!$B$212+'RECeff + REIamont (2)'!L24*'(ne pas modifier) BDD_REF'!$B$213)/1000</f>
        <v>0</v>
      </c>
      <c r="M25" s="38">
        <f t="shared" si="0"/>
        <v>2.1923199999999992</v>
      </c>
    </row>
    <row r="26" spans="1:108" hidden="1" x14ac:dyDescent="0.3">
      <c r="B26" s="3" t="s">
        <v>80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38">
        <f t="shared" si="0"/>
        <v>0</v>
      </c>
    </row>
    <row r="27" spans="1:108" ht="28.8" x14ac:dyDescent="0.3">
      <c r="A27" s="69" t="s">
        <v>81</v>
      </c>
      <c r="B27" s="7" t="s">
        <v>82</v>
      </c>
      <c r="C27" s="90">
        <v>0.14000000000000001</v>
      </c>
      <c r="D27" s="90">
        <v>0.14000000000000001</v>
      </c>
      <c r="E27" s="90">
        <v>0.14000000000000001</v>
      </c>
      <c r="F27" s="90">
        <v>0.14000000000000001</v>
      </c>
      <c r="G27" s="90">
        <v>0.14000000000000001</v>
      </c>
      <c r="H27" s="90">
        <v>0.14000000000000001</v>
      </c>
      <c r="I27" s="90">
        <v>0.14000000000000001</v>
      </c>
      <c r="J27" s="90">
        <v>0.14000000000000001</v>
      </c>
      <c r="K27" s="90"/>
      <c r="L27" s="90"/>
      <c r="M27" s="38">
        <f t="shared" si="0"/>
        <v>1.1200000000000001</v>
      </c>
    </row>
    <row r="28" spans="1:108" x14ac:dyDescent="0.3">
      <c r="B28" s="7" t="s">
        <v>83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/>
      <c r="L28" s="90"/>
      <c r="M28" s="38">
        <f t="shared" si="0"/>
        <v>0</v>
      </c>
    </row>
    <row r="29" spans="1:108" x14ac:dyDescent="0.3">
      <c r="B29" s="7" t="s">
        <v>84</v>
      </c>
      <c r="C29" s="90">
        <v>0.5</v>
      </c>
      <c r="D29" s="90">
        <v>0.5</v>
      </c>
      <c r="E29" s="90">
        <v>0.5</v>
      </c>
      <c r="F29" s="90">
        <v>0.5</v>
      </c>
      <c r="G29" s="90">
        <v>0.5</v>
      </c>
      <c r="H29" s="90">
        <v>0.5</v>
      </c>
      <c r="I29" s="90">
        <v>0.5</v>
      </c>
      <c r="J29" s="90">
        <v>0.5</v>
      </c>
      <c r="K29" s="90"/>
      <c r="L29" s="90"/>
      <c r="M29" s="38">
        <f t="shared" si="0"/>
        <v>4</v>
      </c>
    </row>
    <row r="30" spans="1:108" x14ac:dyDescent="0.3">
      <c r="B30" s="7" t="s">
        <v>85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38">
        <f t="shared" si="0"/>
        <v>0</v>
      </c>
    </row>
    <row r="31" spans="1:108" x14ac:dyDescent="0.3">
      <c r="B31" s="3" t="s">
        <v>86</v>
      </c>
      <c r="C31" s="38">
        <f>(C27*'(ne pas modifier) BDD_REF'!$B$214+'RECeff + REIamont (2)'!C28*'(ne pas modifier) BDD_REF'!$B$215+'RECeff + REIamont (2)'!C29*'(ne pas modifier) BDD_REF'!$B$216+'RECeff + REIamont (2)'!C30*'(ne pas modifier) BDD_REF'!$B$217)/1000</f>
        <v>1.340826E-2</v>
      </c>
      <c r="D31" s="38">
        <f>(D27*'(ne pas modifier) BDD_REF'!$B$214+'RECeff + REIamont (2)'!D28*'(ne pas modifier) BDD_REF'!$B$215+'RECeff + REIamont (2)'!D29*'(ne pas modifier) BDD_REF'!$B$216+'RECeff + REIamont (2)'!D30*'(ne pas modifier) BDD_REF'!$B$217)/1000</f>
        <v>1.340826E-2</v>
      </c>
      <c r="E31" s="38">
        <f>(E27*'(ne pas modifier) BDD_REF'!$B$214+'RECeff + REIamont (2)'!E28*'(ne pas modifier) BDD_REF'!$B$215+'RECeff + REIamont (2)'!E29*'(ne pas modifier) BDD_REF'!$B$216+'RECeff + REIamont (2)'!E30*'(ne pas modifier) BDD_REF'!$B$217)/1000</f>
        <v>1.340826E-2</v>
      </c>
      <c r="F31" s="38">
        <f>(F27*'(ne pas modifier) BDD_REF'!$B$214+'RECeff + REIamont (2)'!F28*'(ne pas modifier) BDD_REF'!$B$215+'RECeff + REIamont (2)'!F29*'(ne pas modifier) BDD_REF'!$B$216+'RECeff + REIamont (2)'!F30*'(ne pas modifier) BDD_REF'!$B$217)/1000</f>
        <v>1.340826E-2</v>
      </c>
      <c r="G31" s="38">
        <f>(G27*'(ne pas modifier) BDD_REF'!$B$214+'RECeff + REIamont (2)'!G28*'(ne pas modifier) BDD_REF'!$B$215+'RECeff + REIamont (2)'!G29*'(ne pas modifier) BDD_REF'!$B$216+'RECeff + REIamont (2)'!G30*'(ne pas modifier) BDD_REF'!$B$217)/1000</f>
        <v>1.340826E-2</v>
      </c>
      <c r="H31" s="38">
        <f>(H27*'(ne pas modifier) BDD_REF'!$B$214+'RECeff + REIamont (2)'!H28*'(ne pas modifier) BDD_REF'!$B$215+'RECeff + REIamont (2)'!H29*'(ne pas modifier) BDD_REF'!$B$216+'RECeff + REIamont (2)'!H30*'(ne pas modifier) BDD_REF'!$B$217)/1000</f>
        <v>1.340826E-2</v>
      </c>
      <c r="I31" s="38">
        <f>(I27*'(ne pas modifier) BDD_REF'!$B$214+'RECeff + REIamont (2)'!I28*'(ne pas modifier) BDD_REF'!$B$215+'RECeff + REIamont (2)'!I29*'(ne pas modifier) BDD_REF'!$B$216+'RECeff + REIamont (2)'!I30*'(ne pas modifier) BDD_REF'!$B$217)/1000</f>
        <v>1.340826E-2</v>
      </c>
      <c r="J31" s="38">
        <f>(J27*'(ne pas modifier) BDD_REF'!$B$214+'RECeff + REIamont (2)'!J28*'(ne pas modifier) BDD_REF'!$B$215+'RECeff + REIamont (2)'!J29*'(ne pas modifier) BDD_REF'!$B$216+'RECeff + REIamont (2)'!J30*'(ne pas modifier) BDD_REF'!$B$217)/1000</f>
        <v>1.340826E-2</v>
      </c>
      <c r="K31" s="38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8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8">
        <f t="shared" si="0"/>
        <v>0.10726608000000001</v>
      </c>
    </row>
    <row r="32" spans="1:108" s="16" customFormat="1" x14ac:dyDescent="0.3">
      <c r="A32" s="18"/>
      <c r="B32" s="19" t="s">
        <v>87</v>
      </c>
      <c r="C32" s="79">
        <f>C25+C26+C31</f>
        <v>0.28744825999999996</v>
      </c>
      <c r="D32" s="79">
        <f t="shared" ref="D32:L32" si="2">D25+D26+D31</f>
        <v>0.28744825999999996</v>
      </c>
      <c r="E32" s="79">
        <f t="shared" si="2"/>
        <v>0.28744825999999996</v>
      </c>
      <c r="F32" s="79">
        <f t="shared" si="2"/>
        <v>0.28744825999999996</v>
      </c>
      <c r="G32" s="79">
        <f t="shared" si="2"/>
        <v>0.28744825999999996</v>
      </c>
      <c r="H32" s="79">
        <f t="shared" si="2"/>
        <v>0.28744825999999996</v>
      </c>
      <c r="I32" s="79">
        <f t="shared" si="2"/>
        <v>0.28744825999999996</v>
      </c>
      <c r="J32" s="79">
        <f t="shared" si="2"/>
        <v>0.28744825999999996</v>
      </c>
      <c r="K32" s="79">
        <f t="shared" si="2"/>
        <v>0</v>
      </c>
      <c r="L32" s="79">
        <f t="shared" si="2"/>
        <v>0</v>
      </c>
      <c r="M32" s="38">
        <f t="shared" si="0"/>
        <v>2.2995860799999996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88</v>
      </c>
      <c r="C33" s="20">
        <f>((C10+C11+C12)/1000*44/28*'(ne pas modifier) BDD_REF'!$B$231)+'RECeff + REIamont (2)'!C22+'RECeff + REIamont (2)'!C32</f>
        <v>1.00063996</v>
      </c>
      <c r="D33" s="20">
        <f>((D10+D11+D12)/1000*44/28*'(ne pas modifier) BDD_REF'!$B$231)+'RECeff + REIamont (2)'!D22+'RECeff + REIamont (2)'!D32</f>
        <v>1.00063996</v>
      </c>
      <c r="E33" s="20">
        <f>((E10+E11+E12)/1000*44/28*'(ne pas modifier) BDD_REF'!$B$231)+'RECeff + REIamont (2)'!E22+'RECeff + REIamont (2)'!E32</f>
        <v>1.00063996</v>
      </c>
      <c r="F33" s="20">
        <f>((F10+F11+F12)/1000*44/28*'(ne pas modifier) BDD_REF'!$B$231)+'RECeff + REIamont (2)'!F22+'RECeff + REIamont (2)'!F32</f>
        <v>1.00063996</v>
      </c>
      <c r="G33" s="20">
        <f>((G10+G11+G12)/1000*44/28*'(ne pas modifier) BDD_REF'!$B$231)+'RECeff + REIamont (2)'!G22+'RECeff + REIamont (2)'!G32</f>
        <v>1.00063996</v>
      </c>
      <c r="H33" s="20">
        <f>((H10+H11+H12)/1000*44/28*'(ne pas modifier) BDD_REF'!$B$231)+'RECeff + REIamont (2)'!H22+'RECeff + REIamont (2)'!H32</f>
        <v>1.00063996</v>
      </c>
      <c r="I33" s="20">
        <f>((I10+I11+I12)/1000*44/28*'(ne pas modifier) BDD_REF'!$B$231)+'RECeff + REIamont (2)'!I22+'RECeff + REIamont (2)'!I32</f>
        <v>1.00063996</v>
      </c>
      <c r="J33" s="20">
        <f>((J10+J11+J12)/1000*44/28*'(ne pas modifier) BDD_REF'!$B$231)+'RECeff + REIamont (2)'!J22+'RECeff + REIamont (2)'!J32</f>
        <v>1.00063996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8.00511968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89</v>
      </c>
      <c r="B34" s="7" t="s">
        <v>61</v>
      </c>
      <c r="C34" s="90">
        <v>40</v>
      </c>
      <c r="D34" s="90">
        <v>40</v>
      </c>
      <c r="E34" s="90">
        <v>40</v>
      </c>
      <c r="F34" s="90">
        <v>40</v>
      </c>
      <c r="G34" s="90">
        <v>40</v>
      </c>
      <c r="H34" s="90">
        <v>40</v>
      </c>
      <c r="I34" s="90">
        <v>40</v>
      </c>
      <c r="J34" s="90">
        <v>40</v>
      </c>
      <c r="K34" s="90"/>
      <c r="L34" s="90"/>
      <c r="M34" s="38">
        <f t="shared" si="0"/>
        <v>320</v>
      </c>
    </row>
    <row r="35" spans="1:108" x14ac:dyDescent="0.3">
      <c r="B35" s="7" t="s">
        <v>62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/>
      <c r="L35" s="90"/>
      <c r="M35" s="38">
        <f t="shared" si="0"/>
        <v>0</v>
      </c>
    </row>
    <row r="36" spans="1:108" x14ac:dyDescent="0.3">
      <c r="B36" s="7" t="s">
        <v>63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38">
        <f t="shared" si="0"/>
        <v>0</v>
      </c>
    </row>
    <row r="37" spans="1:108" ht="15.75" customHeight="1" x14ac:dyDescent="0.3">
      <c r="B37" s="19" t="s">
        <v>64</v>
      </c>
      <c r="C37" s="38">
        <f>C34*'(ne pas modifier) BDD_REF'!$B$206 + (C35+C36)*'(ne pas modifier) BDD_REF'!$B$207</f>
        <v>0.64</v>
      </c>
      <c r="D37" s="38">
        <f>D34*'(ne pas modifier) BDD_REF'!$B$206 + (D35+D36)*'(ne pas modifier) BDD_REF'!$B$207</f>
        <v>0.64</v>
      </c>
      <c r="E37" s="38">
        <f>E34*'(ne pas modifier) BDD_REF'!$B$206 + (E35+E36)*'(ne pas modifier) BDD_REF'!$B$207</f>
        <v>0.64</v>
      </c>
      <c r="F37" s="38">
        <f>F34*'(ne pas modifier) BDD_REF'!$B$206 + (F35+F36)*'(ne pas modifier) BDD_REF'!$B$207</f>
        <v>0.64</v>
      </c>
      <c r="G37" s="38">
        <f>G34*'(ne pas modifier) BDD_REF'!$B$206 + (G35+G36)*'(ne pas modifier) BDD_REF'!$B$207</f>
        <v>0.64</v>
      </c>
      <c r="H37" s="38">
        <f>H34*'(ne pas modifier) BDD_REF'!$B$206 + (H35+H36)*'(ne pas modifier) BDD_REF'!$B$207</f>
        <v>0.64</v>
      </c>
      <c r="I37" s="38">
        <f>I34*'(ne pas modifier) BDD_REF'!$B$206 + (I35+I36)*'(ne pas modifier) BDD_REF'!$B$207</f>
        <v>0.64</v>
      </c>
      <c r="J37" s="38">
        <f>J34*'(ne pas modifier) BDD_REF'!$B$206 + (J35+J36)*'(ne pas modifier) BDD_REF'!$B$207</f>
        <v>0.64</v>
      </c>
      <c r="K37" s="38">
        <f>K34*'(ne pas modifier) BDD_REF'!$B$206 + (K35+K36)*'(ne pas modifier) BDD_REF'!$B$207</f>
        <v>0</v>
      </c>
      <c r="L37" s="38">
        <f>L34*'(ne pas modifier) BDD_REF'!$B$206 + (L35+L36)*'(ne pas modifier) BDD_REF'!$B$207</f>
        <v>0</v>
      </c>
      <c r="M37" s="38">
        <f t="shared" si="0"/>
        <v>5.12</v>
      </c>
    </row>
    <row r="38" spans="1:108" x14ac:dyDescent="0.3">
      <c r="B38" s="19" t="s">
        <v>65</v>
      </c>
      <c r="C38" s="38">
        <f>((C34*'(ne pas modifier) BDD_REF'!$B$219)+('RECeff + REIamont (2)'!C35+'RECeff + REIamont (2)'!C36)*'(ne pas modifier) BDD_REF'!$B$220)*'(ne pas modifier) BDD_REF'!$B$208</f>
        <v>4.4000000000000004E-2</v>
      </c>
      <c r="D38" s="38">
        <f>((D34*'(ne pas modifier) BDD_REF'!$B$219)+('RECeff + REIamont (2)'!D35+'RECeff + REIamont (2)'!D36)*'(ne pas modifier) BDD_REF'!$B$220)*'(ne pas modifier) BDD_REF'!$B$208</f>
        <v>4.4000000000000004E-2</v>
      </c>
      <c r="E38" s="38">
        <f>((E34*'(ne pas modifier) BDD_REF'!$B$219)+('RECeff + REIamont (2)'!E35+'RECeff + REIamont (2)'!E36)*'(ne pas modifier) BDD_REF'!$B$220)*'(ne pas modifier) BDD_REF'!$B$208</f>
        <v>4.4000000000000004E-2</v>
      </c>
      <c r="F38" s="38">
        <f>((F34*'(ne pas modifier) BDD_REF'!$B$219)+('RECeff + REIamont (2)'!F35+'RECeff + REIamont (2)'!F36)*'(ne pas modifier) BDD_REF'!$B$220)*'(ne pas modifier) BDD_REF'!$B$208</f>
        <v>4.4000000000000004E-2</v>
      </c>
      <c r="G38" s="38">
        <f>((G34*'(ne pas modifier) BDD_REF'!$B$219)+('RECeff + REIamont (2)'!G35+'RECeff + REIamont (2)'!G36)*'(ne pas modifier) BDD_REF'!$B$220)*'(ne pas modifier) BDD_REF'!$B$208</f>
        <v>4.4000000000000004E-2</v>
      </c>
      <c r="H38" s="38">
        <f>((H34*'(ne pas modifier) BDD_REF'!$B$219)+('RECeff + REIamont (2)'!H35+'RECeff + REIamont (2)'!H36)*'(ne pas modifier) BDD_REF'!$B$220)*'(ne pas modifier) BDD_REF'!$B$208</f>
        <v>4.4000000000000004E-2</v>
      </c>
      <c r="I38" s="38">
        <f>((I34*'(ne pas modifier) BDD_REF'!$B$219)+('RECeff + REIamont (2)'!I35+'RECeff + REIamont (2)'!I36)*'(ne pas modifier) BDD_REF'!$B$220)*'(ne pas modifier) BDD_REF'!$B$208</f>
        <v>4.4000000000000004E-2</v>
      </c>
      <c r="J38" s="38">
        <f>((J34*'(ne pas modifier) BDD_REF'!$B$219)+('RECeff + REIamont (2)'!J35+'RECeff + REIamont (2)'!J36)*'(ne pas modifier) BDD_REF'!$B$220)*'(ne pas modifier) BDD_REF'!$B$208</f>
        <v>4.4000000000000004E-2</v>
      </c>
      <c r="K38" s="38">
        <f>((K34*'(ne pas modifier) BDD_REF'!$B$219)+('RECeff + REIamont (2)'!K35+'RECeff + REIamont (2)'!K36)*'(ne pas modifier) BDD_REF'!$B$220)*'(ne pas modifier) BDD_REF'!$B$208</f>
        <v>0</v>
      </c>
      <c r="L38" s="38">
        <f>((L34*'(ne pas modifier) BDD_REF'!$B$219)+('RECeff + REIamont (2)'!L35+'RECeff + REIamont (2)'!L36)*'(ne pas modifier) BDD_REF'!$B$220)*'(ne pas modifier) BDD_REF'!$B$208</f>
        <v>0</v>
      </c>
      <c r="M38" s="38">
        <f t="shared" si="0"/>
        <v>0.35199999999999998</v>
      </c>
    </row>
    <row r="39" spans="1:108" x14ac:dyDescent="0.3">
      <c r="B39" s="19" t="s">
        <v>66</v>
      </c>
      <c r="C39" s="38">
        <f>(C34+C35+C36)*'(ne pas modifier) BDD_REF'!$B$221*'(ne pas modifier) BDD_REF'!$B$209</f>
        <v>0.10559999999999999</v>
      </c>
      <c r="D39" s="38">
        <f>(D34+D35+D36)*'(ne pas modifier) BDD_REF'!$B$221*'(ne pas modifier) BDD_REF'!$B$209</f>
        <v>0.10559999999999999</v>
      </c>
      <c r="E39" s="38">
        <f>(E34+E35+E36)*'(ne pas modifier) BDD_REF'!$B$221*'(ne pas modifier) BDD_REF'!$B$209</f>
        <v>0.10559999999999999</v>
      </c>
      <c r="F39" s="38">
        <f>(F34+F35+F36)*'(ne pas modifier) BDD_REF'!$B$221*'(ne pas modifier) BDD_REF'!$B$209</f>
        <v>0.10559999999999999</v>
      </c>
      <c r="G39" s="38">
        <f>(G34+G35+G36)*'(ne pas modifier) BDD_REF'!$B$221*'(ne pas modifier) BDD_REF'!$B$209</f>
        <v>0.10559999999999999</v>
      </c>
      <c r="H39" s="38">
        <f>(H34+H35+H36)*'(ne pas modifier) BDD_REF'!$B$221*'(ne pas modifier) BDD_REF'!$B$209</f>
        <v>0.10559999999999999</v>
      </c>
      <c r="I39" s="38">
        <f>(I34+I35+I36)*'(ne pas modifier) BDD_REF'!$B$221*'(ne pas modifier) BDD_REF'!$B$209</f>
        <v>0.10559999999999999</v>
      </c>
      <c r="J39" s="38">
        <f>(J34+J35+J36)*'(ne pas modifier) BDD_REF'!$B$221*'(ne pas modifier) BDD_REF'!$B$209</f>
        <v>0.10559999999999999</v>
      </c>
      <c r="K39" s="38">
        <f>(K34+K35+K36)*'(ne pas modifier) BDD_REF'!$B$221*'(ne pas modifier) BDD_REF'!$B$209</f>
        <v>0</v>
      </c>
      <c r="L39" s="38">
        <f>(L34+L35+L36)*'(ne pas modifier) BDD_REF'!$B$221*'(ne pas modifier) BDD_REF'!$B$209</f>
        <v>0</v>
      </c>
      <c r="M39" s="38">
        <f t="shared" ref="M39:M70" si="3">SUM(C39:L39)</f>
        <v>0.8448</v>
      </c>
    </row>
    <row r="40" spans="1:108" x14ac:dyDescent="0.3">
      <c r="B40" s="7" t="s">
        <v>67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38">
        <f t="shared" si="3"/>
        <v>0</v>
      </c>
    </row>
    <row r="41" spans="1:108" x14ac:dyDescent="0.3">
      <c r="B41" s="7" t="s">
        <v>68</v>
      </c>
      <c r="C41" s="90">
        <v>50</v>
      </c>
      <c r="D41" s="90">
        <v>50</v>
      </c>
      <c r="E41" s="90">
        <v>50</v>
      </c>
      <c r="F41" s="90">
        <v>50</v>
      </c>
      <c r="G41" s="90">
        <v>50</v>
      </c>
      <c r="H41" s="90">
        <v>50</v>
      </c>
      <c r="I41" s="90">
        <v>50</v>
      </c>
      <c r="J41" s="90">
        <v>50</v>
      </c>
      <c r="K41" s="90"/>
      <c r="L41" s="90"/>
      <c r="M41" s="38">
        <f t="shared" si="3"/>
        <v>400</v>
      </c>
    </row>
    <row r="42" spans="1:108" x14ac:dyDescent="0.3">
      <c r="B42" s="7" t="s">
        <v>69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38">
        <f t="shared" si="3"/>
        <v>0</v>
      </c>
    </row>
    <row r="43" spans="1:108" x14ac:dyDescent="0.3">
      <c r="B43" s="7" t="s">
        <v>70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38">
        <f t="shared" si="3"/>
        <v>0</v>
      </c>
    </row>
    <row r="44" spans="1:108" x14ac:dyDescent="0.3">
      <c r="B44" s="7" t="s">
        <v>71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38">
        <f t="shared" si="3"/>
        <v>0</v>
      </c>
    </row>
    <row r="45" spans="1:108" x14ac:dyDescent="0.3">
      <c r="B45" s="7" t="s">
        <v>72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38">
        <f t="shared" si="3"/>
        <v>0</v>
      </c>
    </row>
    <row r="46" spans="1:108" x14ac:dyDescent="0.3">
      <c r="B46" s="3" t="s">
        <v>73</v>
      </c>
      <c r="C46" s="38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0.15354999999999999</v>
      </c>
      <c r="D46" s="38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0.15354999999999999</v>
      </c>
      <c r="E46" s="38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0.15354999999999999</v>
      </c>
      <c r="F46" s="38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0.15354999999999999</v>
      </c>
      <c r="G46" s="38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0.15354999999999999</v>
      </c>
      <c r="H46" s="38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0.15354999999999999</v>
      </c>
      <c r="I46" s="38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0.15354999999999999</v>
      </c>
      <c r="J46" s="38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0.15354999999999999</v>
      </c>
      <c r="K46" s="38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8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8">
        <f t="shared" si="3"/>
        <v>1.2283999999999999</v>
      </c>
    </row>
    <row r="47" spans="1:108" x14ac:dyDescent="0.3">
      <c r="B47" s="7" t="s">
        <v>74</v>
      </c>
      <c r="C47" s="90">
        <v>1800</v>
      </c>
      <c r="D47" s="90">
        <v>1800</v>
      </c>
      <c r="E47" s="90">
        <v>1800</v>
      </c>
      <c r="F47" s="90">
        <v>1800</v>
      </c>
      <c r="G47" s="90">
        <v>1800</v>
      </c>
      <c r="H47" s="90">
        <v>1800</v>
      </c>
      <c r="I47" s="90">
        <v>1800</v>
      </c>
      <c r="J47" s="90">
        <v>1800</v>
      </c>
      <c r="K47" s="90"/>
      <c r="L47" s="90"/>
      <c r="M47" s="38">
        <f t="shared" si="3"/>
        <v>14400</v>
      </c>
    </row>
    <row r="48" spans="1:108" x14ac:dyDescent="0.3">
      <c r="B48" s="3" t="s">
        <v>75</v>
      </c>
      <c r="C48" s="38">
        <f>(C47*'(ne pas modifier) BDD_REF'!$B$210)/1000</f>
        <v>0.10260000000000001</v>
      </c>
      <c r="D48" s="38">
        <f>(D47*'(ne pas modifier) BDD_REF'!$B$210)/1000</f>
        <v>0.10260000000000001</v>
      </c>
      <c r="E48" s="38">
        <f>(E47*'(ne pas modifier) BDD_REF'!$B$210)/1000</f>
        <v>0.10260000000000001</v>
      </c>
      <c r="F48" s="38">
        <f>(F47*'(ne pas modifier) BDD_REF'!$B$210)/1000</f>
        <v>0.10260000000000001</v>
      </c>
      <c r="G48" s="38">
        <f>(G47*'(ne pas modifier) BDD_REF'!$B$210)/1000</f>
        <v>0.10260000000000001</v>
      </c>
      <c r="H48" s="38">
        <f>(H47*'(ne pas modifier) BDD_REF'!$B$210)/1000</f>
        <v>0.10260000000000001</v>
      </c>
      <c r="I48" s="38">
        <f>(I47*'(ne pas modifier) BDD_REF'!$B$210)/1000</f>
        <v>0.10260000000000001</v>
      </c>
      <c r="J48" s="38">
        <f>(J47*'(ne pas modifier) BDD_REF'!$B$210)/1000</f>
        <v>0.10260000000000001</v>
      </c>
      <c r="K48" s="38">
        <f>(K47*'(ne pas modifier) BDD_REF'!$B$210)/1000</f>
        <v>0</v>
      </c>
      <c r="L48" s="38">
        <f>(L47*'(ne pas modifier) BDD_REF'!$B$210)/1000</f>
        <v>0</v>
      </c>
      <c r="M48" s="38">
        <f t="shared" si="3"/>
        <v>0.82080000000000009</v>
      </c>
    </row>
    <row r="49" spans="1:108" s="16" customFormat="1" x14ac:dyDescent="0.3">
      <c r="A49" s="18"/>
      <c r="B49" s="19" t="s">
        <v>76</v>
      </c>
      <c r="C49" s="79">
        <f>C46+C48</f>
        <v>0.25614999999999999</v>
      </c>
      <c r="D49" s="79">
        <f t="shared" ref="D49:L49" si="4">D46+D48</f>
        <v>0.25614999999999999</v>
      </c>
      <c r="E49" s="79">
        <f t="shared" si="4"/>
        <v>0.25614999999999999</v>
      </c>
      <c r="F49" s="79">
        <f t="shared" si="4"/>
        <v>0.25614999999999999</v>
      </c>
      <c r="G49" s="79">
        <f t="shared" si="4"/>
        <v>0.25614999999999999</v>
      </c>
      <c r="H49" s="79">
        <f t="shared" si="4"/>
        <v>0.25614999999999999</v>
      </c>
      <c r="I49" s="79">
        <f t="shared" si="4"/>
        <v>0.25614999999999999</v>
      </c>
      <c r="J49" s="79">
        <f t="shared" si="4"/>
        <v>0.25614999999999999</v>
      </c>
      <c r="K49" s="79">
        <f t="shared" si="4"/>
        <v>0</v>
      </c>
      <c r="L49" s="79">
        <f t="shared" si="4"/>
        <v>0</v>
      </c>
      <c r="M49" s="38">
        <f t="shared" si="3"/>
        <v>2.0491999999999995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77</v>
      </c>
      <c r="C50" s="90">
        <v>14</v>
      </c>
      <c r="D50" s="90">
        <v>14</v>
      </c>
      <c r="E50" s="90">
        <v>14</v>
      </c>
      <c r="F50" s="90">
        <v>14</v>
      </c>
      <c r="G50" s="90">
        <v>14</v>
      </c>
      <c r="H50" s="90">
        <v>14</v>
      </c>
      <c r="I50" s="90">
        <v>14</v>
      </c>
      <c r="J50" s="90">
        <v>14</v>
      </c>
      <c r="K50" s="90"/>
      <c r="L50" s="90"/>
      <c r="M50" s="38">
        <f t="shared" si="3"/>
        <v>112</v>
      </c>
    </row>
    <row r="51" spans="1:108" x14ac:dyDescent="0.3">
      <c r="B51" s="7" t="s">
        <v>78</v>
      </c>
      <c r="C51" s="90">
        <v>65</v>
      </c>
      <c r="D51" s="90">
        <v>65</v>
      </c>
      <c r="E51" s="90">
        <v>65</v>
      </c>
      <c r="F51" s="90">
        <v>65</v>
      </c>
      <c r="G51" s="90">
        <v>65</v>
      </c>
      <c r="H51" s="90">
        <v>65</v>
      </c>
      <c r="I51" s="90">
        <v>65</v>
      </c>
      <c r="J51" s="90">
        <v>65</v>
      </c>
      <c r="K51" s="90"/>
      <c r="L51" s="90"/>
      <c r="M51" s="38">
        <f t="shared" si="3"/>
        <v>520</v>
      </c>
    </row>
    <row r="52" spans="1:108" x14ac:dyDescent="0.3">
      <c r="B52" s="3" t="s">
        <v>79</v>
      </c>
      <c r="C52" s="38">
        <f>(C34*'(ne pas modifier) BDD_REF'!$B$211+'RECeff + REIamont (2)'!C50*'(ne pas modifier) BDD_REF'!$B$212+'RECeff + REIamont (2)'!C51*'(ne pas modifier) BDD_REF'!$B$213)/1000</f>
        <v>0.24684999999999999</v>
      </c>
      <c r="D52" s="38">
        <f>(D34*'(ne pas modifier) BDD_REF'!$B$211+'RECeff + REIamont (2)'!D50*'(ne pas modifier) BDD_REF'!$B$212+'RECeff + REIamont (2)'!D51*'(ne pas modifier) BDD_REF'!$B$213)/1000</f>
        <v>0.24684999999999999</v>
      </c>
      <c r="E52" s="38">
        <f>(E34*'(ne pas modifier) BDD_REF'!$B$211+'RECeff + REIamont (2)'!E50*'(ne pas modifier) BDD_REF'!$B$212+'RECeff + REIamont (2)'!E51*'(ne pas modifier) BDD_REF'!$B$213)/1000</f>
        <v>0.24684999999999999</v>
      </c>
      <c r="F52" s="38">
        <f>(F34*'(ne pas modifier) BDD_REF'!$B$211+'RECeff + REIamont (2)'!F50*'(ne pas modifier) BDD_REF'!$B$212+'RECeff + REIamont (2)'!F51*'(ne pas modifier) BDD_REF'!$B$213)/1000</f>
        <v>0.24684999999999999</v>
      </c>
      <c r="G52" s="38">
        <f>(G34*'(ne pas modifier) BDD_REF'!$B$211+'RECeff + REIamont (2)'!G50*'(ne pas modifier) BDD_REF'!$B$212+'RECeff + REIamont (2)'!G51*'(ne pas modifier) BDD_REF'!$B$213)/1000</f>
        <v>0.24684999999999999</v>
      </c>
      <c r="H52" s="38">
        <f>(H34*'(ne pas modifier) BDD_REF'!$B$211+'RECeff + REIamont (2)'!H50*'(ne pas modifier) BDD_REF'!$B$212+'RECeff + REIamont (2)'!H51*'(ne pas modifier) BDD_REF'!$B$213)/1000</f>
        <v>0.24684999999999999</v>
      </c>
      <c r="I52" s="38">
        <f>(I34*'(ne pas modifier) BDD_REF'!$B$211+'RECeff + REIamont (2)'!I50*'(ne pas modifier) BDD_REF'!$B$212+'RECeff + REIamont (2)'!I51*'(ne pas modifier) BDD_REF'!$B$213)/1000</f>
        <v>0.24684999999999999</v>
      </c>
      <c r="J52" s="38">
        <f>(J34*'(ne pas modifier) BDD_REF'!$B$211+'RECeff + REIamont (2)'!J50*'(ne pas modifier) BDD_REF'!$B$212+'RECeff + REIamont (2)'!J51*'(ne pas modifier) BDD_REF'!$B$213)/1000</f>
        <v>0.24684999999999999</v>
      </c>
      <c r="K52" s="38">
        <f>(K34*'(ne pas modifier) BDD_REF'!$B$211+'RECeff + REIamont (2)'!K50*'(ne pas modifier) BDD_REF'!$B$212+'RECeff + REIamont (2)'!K51*'(ne pas modifier) BDD_REF'!$B$213)/1000</f>
        <v>0</v>
      </c>
      <c r="L52" s="38">
        <f>(L34*'(ne pas modifier) BDD_REF'!$B$211+'RECeff + REIamont (2)'!L50*'(ne pas modifier) BDD_REF'!$B$212+'RECeff + REIamont (2)'!L51*'(ne pas modifier) BDD_REF'!$B$213)/1000</f>
        <v>0</v>
      </c>
      <c r="M52" s="38">
        <f t="shared" si="3"/>
        <v>1.9747999999999999</v>
      </c>
    </row>
    <row r="53" spans="1:108" hidden="1" x14ac:dyDescent="0.3">
      <c r="A53" s="17" t="s">
        <v>90</v>
      </c>
      <c r="B53" s="3" t="s">
        <v>80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38">
        <f t="shared" si="3"/>
        <v>0</v>
      </c>
    </row>
    <row r="54" spans="1:108" x14ac:dyDescent="0.3">
      <c r="B54" s="7" t="s">
        <v>82</v>
      </c>
      <c r="C54" s="90">
        <v>0.49</v>
      </c>
      <c r="D54" s="90">
        <v>0.49</v>
      </c>
      <c r="E54" s="90">
        <v>0.49</v>
      </c>
      <c r="F54" s="90">
        <v>0.49</v>
      </c>
      <c r="G54" s="90">
        <v>0.49</v>
      </c>
      <c r="H54" s="90">
        <v>0.49</v>
      </c>
      <c r="I54" s="90">
        <v>0.49</v>
      </c>
      <c r="J54" s="90">
        <v>0.49</v>
      </c>
      <c r="K54" s="90"/>
      <c r="L54" s="90"/>
      <c r="M54" s="38">
        <f t="shared" si="3"/>
        <v>3.9200000000000008</v>
      </c>
    </row>
    <row r="55" spans="1:108" x14ac:dyDescent="0.3">
      <c r="B55" s="7" t="s">
        <v>83</v>
      </c>
      <c r="C55" s="90">
        <v>0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/>
      <c r="L55" s="90"/>
      <c r="M55" s="38">
        <f t="shared" si="3"/>
        <v>0</v>
      </c>
    </row>
    <row r="56" spans="1:108" x14ac:dyDescent="0.3">
      <c r="B56" s="7" t="s">
        <v>84</v>
      </c>
      <c r="C56" s="90">
        <v>1</v>
      </c>
      <c r="D56" s="90">
        <v>1</v>
      </c>
      <c r="E56" s="90">
        <v>1</v>
      </c>
      <c r="F56" s="90">
        <v>1</v>
      </c>
      <c r="G56" s="90">
        <v>1</v>
      </c>
      <c r="H56" s="90">
        <v>1</v>
      </c>
      <c r="I56" s="90">
        <v>1</v>
      </c>
      <c r="J56" s="90">
        <v>1</v>
      </c>
      <c r="K56" s="90"/>
      <c r="L56" s="90"/>
      <c r="M56" s="38">
        <f t="shared" si="3"/>
        <v>8</v>
      </c>
    </row>
    <row r="57" spans="1:108" x14ac:dyDescent="0.3">
      <c r="B57" s="7" t="s">
        <v>85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38">
        <f t="shared" si="3"/>
        <v>0</v>
      </c>
    </row>
    <row r="58" spans="1:108" x14ac:dyDescent="0.3">
      <c r="B58" s="3" t="s">
        <v>86</v>
      </c>
      <c r="C58" s="38">
        <f>(C54*'(ne pas modifier) BDD_REF'!$B$214+'RECeff + REIamont (2)'!C55*'(ne pas modifier) BDD_REF'!$B$215+'RECeff + REIamont (2)'!C56*'(ne pas modifier) BDD_REF'!$B$216+'RECeff + REIamont (2)'!C57*'(ne pas modifier) BDD_REF'!$B$217)/1000</f>
        <v>2.8078410000000002E-2</v>
      </c>
      <c r="D58" s="38">
        <f>(D54*'(ne pas modifier) BDD_REF'!$B$214+'RECeff + REIamont (2)'!D55*'(ne pas modifier) BDD_REF'!$B$215+'RECeff + REIamont (2)'!D56*'(ne pas modifier) BDD_REF'!$B$216+'RECeff + REIamont (2)'!D57*'(ne pas modifier) BDD_REF'!$B$217)/1000</f>
        <v>2.8078410000000002E-2</v>
      </c>
      <c r="E58" s="38">
        <f>(E54*'(ne pas modifier) BDD_REF'!$B$214+'RECeff + REIamont (2)'!E55*'(ne pas modifier) BDD_REF'!$B$215+'RECeff + REIamont (2)'!E56*'(ne pas modifier) BDD_REF'!$B$216+'RECeff + REIamont (2)'!E57*'(ne pas modifier) BDD_REF'!$B$217)/1000</f>
        <v>2.8078410000000002E-2</v>
      </c>
      <c r="F58" s="38">
        <f>(F54*'(ne pas modifier) BDD_REF'!$B$214+'RECeff + REIamont (2)'!F55*'(ne pas modifier) BDD_REF'!$B$215+'RECeff + REIamont (2)'!F56*'(ne pas modifier) BDD_REF'!$B$216+'RECeff + REIamont (2)'!F57*'(ne pas modifier) BDD_REF'!$B$217)/1000</f>
        <v>2.8078410000000002E-2</v>
      </c>
      <c r="G58" s="38">
        <f>(G54*'(ne pas modifier) BDD_REF'!$B$214+'RECeff + REIamont (2)'!G55*'(ne pas modifier) BDD_REF'!$B$215+'RECeff + REIamont (2)'!G56*'(ne pas modifier) BDD_REF'!$B$216+'RECeff + REIamont (2)'!G57*'(ne pas modifier) BDD_REF'!$B$217)/1000</f>
        <v>2.8078410000000002E-2</v>
      </c>
      <c r="H58" s="38">
        <f>(H54*'(ne pas modifier) BDD_REF'!$B$214+'RECeff + REIamont (2)'!H55*'(ne pas modifier) BDD_REF'!$B$215+'RECeff + REIamont (2)'!H56*'(ne pas modifier) BDD_REF'!$B$216+'RECeff + REIamont (2)'!H57*'(ne pas modifier) BDD_REF'!$B$217)/1000</f>
        <v>2.8078410000000002E-2</v>
      </c>
      <c r="I58" s="38">
        <f>(I54*'(ne pas modifier) BDD_REF'!$B$214+'RECeff + REIamont (2)'!I55*'(ne pas modifier) BDD_REF'!$B$215+'RECeff + REIamont (2)'!I56*'(ne pas modifier) BDD_REF'!$B$216+'RECeff + REIamont (2)'!I57*'(ne pas modifier) BDD_REF'!$B$217)/1000</f>
        <v>2.8078410000000002E-2</v>
      </c>
      <c r="J58" s="38">
        <f>(J54*'(ne pas modifier) BDD_REF'!$B$214+'RECeff + REIamont (2)'!J55*'(ne pas modifier) BDD_REF'!$B$215+'RECeff + REIamont (2)'!J56*'(ne pas modifier) BDD_REF'!$B$216+'RECeff + REIamont (2)'!J57*'(ne pas modifier) BDD_REF'!$B$217)/1000</f>
        <v>2.8078410000000002E-2</v>
      </c>
      <c r="K58" s="38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8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8">
        <f t="shared" si="3"/>
        <v>0.22462728000000001</v>
      </c>
    </row>
    <row r="59" spans="1:108" s="16" customFormat="1" x14ac:dyDescent="0.3">
      <c r="A59" s="18"/>
      <c r="B59" s="19" t="s">
        <v>87</v>
      </c>
      <c r="C59" s="79">
        <f>C52+C53+C58</f>
        <v>0.27492841000000001</v>
      </c>
      <c r="D59" s="79">
        <f t="shared" ref="D59:L59" si="5">D52+D53+D58</f>
        <v>0.27492841000000001</v>
      </c>
      <c r="E59" s="79">
        <f t="shared" si="5"/>
        <v>0.27492841000000001</v>
      </c>
      <c r="F59" s="79">
        <f t="shared" si="5"/>
        <v>0.27492841000000001</v>
      </c>
      <c r="G59" s="79">
        <f t="shared" si="5"/>
        <v>0.27492841000000001</v>
      </c>
      <c r="H59" s="79">
        <f t="shared" si="5"/>
        <v>0.27492841000000001</v>
      </c>
      <c r="I59" s="79">
        <f t="shared" si="5"/>
        <v>0.27492841000000001</v>
      </c>
      <c r="J59" s="79">
        <f t="shared" si="5"/>
        <v>0.27492841000000001</v>
      </c>
      <c r="K59" s="79">
        <f t="shared" si="5"/>
        <v>0</v>
      </c>
      <c r="L59" s="79">
        <f t="shared" si="5"/>
        <v>0</v>
      </c>
      <c r="M59" s="38">
        <f t="shared" si="3"/>
        <v>2.1994272800000001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88</v>
      </c>
      <c r="C60" s="20">
        <f>((C37+C38+C39)/1000*44/28*'(ne pas modifier) BDD_REF'!$B$231)+'RECeff + REIamont (2)'!C49+'RECeff + REIamont (2)'!C59</f>
        <v>0.85989040999999999</v>
      </c>
      <c r="D60" s="20">
        <f>((D37+D38+D39)/1000*44/28*'(ne pas modifier) BDD_REF'!$B$231)+'RECeff + REIamont (2)'!D49+'RECeff + REIamont (2)'!D59</f>
        <v>0.85989040999999999</v>
      </c>
      <c r="E60" s="20">
        <f>((E37+E38+E39)/1000*44/28*'(ne pas modifier) BDD_REF'!$B$231)+'RECeff + REIamont (2)'!E49+'RECeff + REIamont (2)'!E59</f>
        <v>0.85989040999999999</v>
      </c>
      <c r="F60" s="20">
        <f>((F37+F38+F39)/1000*44/28*'(ne pas modifier) BDD_REF'!$B$231)+'RECeff + REIamont (2)'!F49+'RECeff + REIamont (2)'!F59</f>
        <v>0.85989040999999999</v>
      </c>
      <c r="G60" s="20">
        <f>((G37+G38+G39)/1000*44/28*'(ne pas modifier) BDD_REF'!$B$231)+'RECeff + REIamont (2)'!G49+'RECeff + REIamont (2)'!G59</f>
        <v>0.85989040999999999</v>
      </c>
      <c r="H60" s="20">
        <f>((H37+H38+H39)/1000*44/28*'(ne pas modifier) BDD_REF'!$B$231)+'RECeff + REIamont (2)'!H49+'RECeff + REIamont (2)'!H59</f>
        <v>0.85989040999999999</v>
      </c>
      <c r="I60" s="20">
        <f>((I37+I38+I39)/1000*44/28*'(ne pas modifier) BDD_REF'!$B$231)+'RECeff + REIamont (2)'!I49+'RECeff + REIamont (2)'!I59</f>
        <v>0.85989040999999999</v>
      </c>
      <c r="J60" s="20">
        <f>((J37+J38+J39)/1000*44/28*'(ne pas modifier) BDD_REF'!$B$231)+'RECeff + REIamont (2)'!J49+'RECeff + REIamont (2)'!J59</f>
        <v>0.85989040999999999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6.8791232800000008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91</v>
      </c>
      <c r="B61" s="7" t="s">
        <v>61</v>
      </c>
      <c r="C61" s="90">
        <v>60</v>
      </c>
      <c r="D61" s="90">
        <v>60</v>
      </c>
      <c r="E61" s="90">
        <v>60</v>
      </c>
      <c r="F61" s="90">
        <v>60</v>
      </c>
      <c r="G61" s="90">
        <v>60</v>
      </c>
      <c r="H61" s="90">
        <v>60</v>
      </c>
      <c r="I61" s="90">
        <v>60</v>
      </c>
      <c r="J61" s="90">
        <v>60</v>
      </c>
      <c r="K61" s="90"/>
      <c r="L61" s="90"/>
      <c r="M61" s="38">
        <f t="shared" si="3"/>
        <v>480</v>
      </c>
    </row>
    <row r="62" spans="1:108" x14ac:dyDescent="0.3">
      <c r="B62" s="7" t="s">
        <v>62</v>
      </c>
      <c r="C62" s="90">
        <v>20</v>
      </c>
      <c r="D62" s="90">
        <v>20</v>
      </c>
      <c r="E62" s="90">
        <v>20</v>
      </c>
      <c r="F62" s="90">
        <v>20</v>
      </c>
      <c r="G62" s="90">
        <v>20</v>
      </c>
      <c r="H62" s="90">
        <v>20</v>
      </c>
      <c r="I62" s="90">
        <v>20</v>
      </c>
      <c r="J62" s="90">
        <v>20</v>
      </c>
      <c r="K62" s="90"/>
      <c r="L62" s="90"/>
      <c r="M62" s="38">
        <f t="shared" si="3"/>
        <v>160</v>
      </c>
    </row>
    <row r="63" spans="1:108" x14ac:dyDescent="0.3">
      <c r="B63" s="7" t="s">
        <v>63</v>
      </c>
      <c r="C63" s="88"/>
      <c r="D63" s="88"/>
      <c r="E63" s="88"/>
      <c r="F63" s="88"/>
      <c r="G63" s="88"/>
      <c r="H63" s="88"/>
      <c r="I63" s="88"/>
      <c r="J63" s="88"/>
      <c r="K63" s="89"/>
      <c r="L63" s="88"/>
      <c r="M63" s="38">
        <f t="shared" si="3"/>
        <v>0</v>
      </c>
    </row>
    <row r="64" spans="1:108" x14ac:dyDescent="0.3">
      <c r="B64" s="19" t="s">
        <v>64</v>
      </c>
      <c r="C64" s="38">
        <f>C61*'(ne pas modifier) BDD_REF'!$B$206 + (C62+C63)*'(ne pas modifier) BDD_REF'!$B$207</f>
        <v>1.08</v>
      </c>
      <c r="D64" s="38">
        <f>D61*'(ne pas modifier) BDD_REF'!$B$206 + (D62+D63)*'(ne pas modifier) BDD_REF'!$B$207</f>
        <v>1.08</v>
      </c>
      <c r="E64" s="38">
        <f>E61*'(ne pas modifier) BDD_REF'!$B$206 + (E62+E63)*'(ne pas modifier) BDD_REF'!$B$207</f>
        <v>1.08</v>
      </c>
      <c r="F64" s="38">
        <f>F61*'(ne pas modifier) BDD_REF'!$B$206 + (F62+F63)*'(ne pas modifier) BDD_REF'!$B$207</f>
        <v>1.08</v>
      </c>
      <c r="G64" s="38">
        <f>G61*'(ne pas modifier) BDD_REF'!$B$206 + (G62+G63)*'(ne pas modifier) BDD_REF'!$B$207</f>
        <v>1.08</v>
      </c>
      <c r="H64" s="38">
        <f>H61*'(ne pas modifier) BDD_REF'!$B$206 + (H62+H63)*'(ne pas modifier) BDD_REF'!$B$207</f>
        <v>1.08</v>
      </c>
      <c r="I64" s="38">
        <f>I61*'(ne pas modifier) BDD_REF'!$B$206 + (I62+I63)*'(ne pas modifier) BDD_REF'!$B$207</f>
        <v>1.08</v>
      </c>
      <c r="J64" s="38">
        <f>J61*'(ne pas modifier) BDD_REF'!$B$206 + (J62+J63)*'(ne pas modifier) BDD_REF'!$B$207</f>
        <v>1.08</v>
      </c>
      <c r="K64" s="38">
        <f>K61*'(ne pas modifier) BDD_REF'!$B$206 + (K62+K63)*'(ne pas modifier) BDD_REF'!$B$207</f>
        <v>0</v>
      </c>
      <c r="L64" s="38">
        <f>L61*'(ne pas modifier) BDD_REF'!$B$206 + (L62+L63)*'(ne pas modifier) BDD_REF'!$B$207</f>
        <v>0</v>
      </c>
      <c r="M64" s="38">
        <f t="shared" si="3"/>
        <v>8.64</v>
      </c>
    </row>
    <row r="65" spans="1:108" x14ac:dyDescent="0.3">
      <c r="B65" s="19" t="s">
        <v>65</v>
      </c>
      <c r="C65" s="38">
        <f>((C61*'(ne pas modifier) BDD_REF'!$B$219)+('RECeff + REIamont (2)'!C62+'RECeff + REIamont (2)'!C63)*'(ne pas modifier) BDD_REF'!$B$220)*'(ne pas modifier) BDD_REF'!$B$208</f>
        <v>0.10800000000000001</v>
      </c>
      <c r="D65" s="38">
        <f>((D61*'(ne pas modifier) BDD_REF'!$B$219)+('RECeff + REIamont (2)'!D62+'RECeff + REIamont (2)'!D63)*'(ne pas modifier) BDD_REF'!$B$220)*'(ne pas modifier) BDD_REF'!$B$208</f>
        <v>0.10800000000000001</v>
      </c>
      <c r="E65" s="38">
        <f>((E61*'(ne pas modifier) BDD_REF'!$B$219)+('RECeff + REIamont (2)'!E62+'RECeff + REIamont (2)'!E63)*'(ne pas modifier) BDD_REF'!$B$220)*'(ne pas modifier) BDD_REF'!$B$208</f>
        <v>0.10800000000000001</v>
      </c>
      <c r="F65" s="38">
        <f>((F61*'(ne pas modifier) BDD_REF'!$B$219)+('RECeff + REIamont (2)'!F62+'RECeff + REIamont (2)'!F63)*'(ne pas modifier) BDD_REF'!$B$220)*'(ne pas modifier) BDD_REF'!$B$208</f>
        <v>0.10800000000000001</v>
      </c>
      <c r="G65" s="38">
        <f>((G61*'(ne pas modifier) BDD_REF'!$B$219)+('RECeff + REIamont (2)'!G62+'RECeff + REIamont (2)'!G63)*'(ne pas modifier) BDD_REF'!$B$220)*'(ne pas modifier) BDD_REF'!$B$208</f>
        <v>0.10800000000000001</v>
      </c>
      <c r="H65" s="38">
        <f>((H61*'(ne pas modifier) BDD_REF'!$B$219)+('RECeff + REIamont (2)'!H62+'RECeff + REIamont (2)'!H63)*'(ne pas modifier) BDD_REF'!$B$220)*'(ne pas modifier) BDD_REF'!$B$208</f>
        <v>0.10800000000000001</v>
      </c>
      <c r="I65" s="38">
        <f>((I61*'(ne pas modifier) BDD_REF'!$B$219)+('RECeff + REIamont (2)'!I62+'RECeff + REIamont (2)'!I63)*'(ne pas modifier) BDD_REF'!$B$220)*'(ne pas modifier) BDD_REF'!$B$208</f>
        <v>0.10800000000000001</v>
      </c>
      <c r="J65" s="38">
        <f>((J61*'(ne pas modifier) BDD_REF'!$B$219)+('RECeff + REIamont (2)'!J62+'RECeff + REIamont (2)'!J63)*'(ne pas modifier) BDD_REF'!$B$220)*'(ne pas modifier) BDD_REF'!$B$208</f>
        <v>0.10800000000000001</v>
      </c>
      <c r="K65" s="38">
        <f>((K61*'(ne pas modifier) BDD_REF'!$B$219)+('RECeff + REIamont (2)'!K62+'RECeff + REIamont (2)'!K63)*'(ne pas modifier) BDD_REF'!$B$220)*'(ne pas modifier) BDD_REF'!$B$208</f>
        <v>0</v>
      </c>
      <c r="L65" s="38">
        <f>((L61*'(ne pas modifier) BDD_REF'!$B$219)+('RECeff + REIamont (2)'!L62+'RECeff + REIamont (2)'!L63)*'(ne pas modifier) BDD_REF'!$B$220)*'(ne pas modifier) BDD_REF'!$B$208</f>
        <v>0</v>
      </c>
      <c r="M65" s="38">
        <f t="shared" si="3"/>
        <v>0.86399999999999999</v>
      </c>
    </row>
    <row r="66" spans="1:108" x14ac:dyDescent="0.3">
      <c r="B66" s="19" t="s">
        <v>66</v>
      </c>
      <c r="C66" s="38">
        <f>(C61+C62+C63)*'(ne pas modifier) BDD_REF'!$B$221*'(ne pas modifier) BDD_REF'!$B$209</f>
        <v>0.21119999999999997</v>
      </c>
      <c r="D66" s="38">
        <f>(D61+D62+D63)*'(ne pas modifier) BDD_REF'!$B$221*'(ne pas modifier) BDD_REF'!$B$209</f>
        <v>0.21119999999999997</v>
      </c>
      <c r="E66" s="38">
        <f>(E61+E62+E63)*'(ne pas modifier) BDD_REF'!$B$221*'(ne pas modifier) BDD_REF'!$B$209</f>
        <v>0.21119999999999997</v>
      </c>
      <c r="F66" s="38">
        <f>(F61+F62+F63)*'(ne pas modifier) BDD_REF'!$B$221*'(ne pas modifier) BDD_REF'!$B$209</f>
        <v>0.21119999999999997</v>
      </c>
      <c r="G66" s="38">
        <f>(G61+G62+G63)*'(ne pas modifier) BDD_REF'!$B$221*'(ne pas modifier) BDD_REF'!$B$209</f>
        <v>0.21119999999999997</v>
      </c>
      <c r="H66" s="38">
        <f>(H61+H62+H63)*'(ne pas modifier) BDD_REF'!$B$221*'(ne pas modifier) BDD_REF'!$B$209</f>
        <v>0.21119999999999997</v>
      </c>
      <c r="I66" s="38">
        <f>(I61+I62+I63)*'(ne pas modifier) BDD_REF'!$B$221*'(ne pas modifier) BDD_REF'!$B$209</f>
        <v>0.21119999999999997</v>
      </c>
      <c r="J66" s="38">
        <f>(J61+J62+J63)*'(ne pas modifier) BDD_REF'!$B$221*'(ne pas modifier) BDD_REF'!$B$209</f>
        <v>0.21119999999999997</v>
      </c>
      <c r="K66" s="38">
        <f>(K61+K62+K63)*'(ne pas modifier) BDD_REF'!$B$221*'(ne pas modifier) BDD_REF'!$B$209</f>
        <v>0</v>
      </c>
      <c r="L66" s="38">
        <f>(L61+L62+L63)*'(ne pas modifier) BDD_REF'!$B$221*'(ne pas modifier) BDD_REF'!$B$209</f>
        <v>0</v>
      </c>
      <c r="M66" s="38">
        <f t="shared" si="3"/>
        <v>1.6896</v>
      </c>
    </row>
    <row r="67" spans="1:108" x14ac:dyDescent="0.3">
      <c r="B67" s="7" t="s">
        <v>67</v>
      </c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38">
        <f t="shared" si="3"/>
        <v>0</v>
      </c>
    </row>
    <row r="68" spans="1:108" x14ac:dyDescent="0.3">
      <c r="B68" s="7" t="s">
        <v>68</v>
      </c>
      <c r="C68" s="90">
        <v>100</v>
      </c>
      <c r="D68" s="90">
        <v>100</v>
      </c>
      <c r="E68" s="90">
        <v>100</v>
      </c>
      <c r="F68" s="90">
        <v>100</v>
      </c>
      <c r="G68" s="90">
        <v>100</v>
      </c>
      <c r="H68" s="90">
        <v>100</v>
      </c>
      <c r="I68" s="90">
        <v>100</v>
      </c>
      <c r="J68" s="90">
        <v>100</v>
      </c>
      <c r="K68" s="90"/>
      <c r="L68" s="90"/>
      <c r="M68" s="38">
        <f t="shared" si="3"/>
        <v>800</v>
      </c>
    </row>
    <row r="69" spans="1:108" x14ac:dyDescent="0.3">
      <c r="B69" s="7" t="s">
        <v>69</v>
      </c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38">
        <f t="shared" si="3"/>
        <v>0</v>
      </c>
    </row>
    <row r="70" spans="1:108" x14ac:dyDescent="0.3">
      <c r="B70" s="7" t="s">
        <v>70</v>
      </c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38">
        <f t="shared" si="3"/>
        <v>0</v>
      </c>
    </row>
    <row r="71" spans="1:108" x14ac:dyDescent="0.3">
      <c r="B71" s="7" t="s">
        <v>71</v>
      </c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38">
        <f t="shared" ref="M71:M102" si="6">SUM(C71:L71)</f>
        <v>0</v>
      </c>
    </row>
    <row r="72" spans="1:108" x14ac:dyDescent="0.3">
      <c r="B72" s="7" t="s">
        <v>72</v>
      </c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38">
        <f t="shared" si="6"/>
        <v>0</v>
      </c>
    </row>
    <row r="73" spans="1:108" x14ac:dyDescent="0.3">
      <c r="B73" s="3" t="s">
        <v>73</v>
      </c>
      <c r="C73" s="38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8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0.30709999999999998</v>
      </c>
      <c r="E73" s="38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0.30709999999999998</v>
      </c>
      <c r="F73" s="38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0.30709999999999998</v>
      </c>
      <c r="G73" s="38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0.30709999999999998</v>
      </c>
      <c r="H73" s="38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0.30709999999999998</v>
      </c>
      <c r="I73" s="38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0.30709999999999998</v>
      </c>
      <c r="J73" s="38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0.30709999999999998</v>
      </c>
      <c r="K73" s="38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8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8">
        <f t="shared" si="6"/>
        <v>2.4567999999999999</v>
      </c>
    </row>
    <row r="74" spans="1:108" x14ac:dyDescent="0.3">
      <c r="B74" s="7" t="s">
        <v>74</v>
      </c>
      <c r="C74" s="90">
        <v>2000</v>
      </c>
      <c r="D74" s="90">
        <v>2000</v>
      </c>
      <c r="E74" s="90">
        <v>2000</v>
      </c>
      <c r="F74" s="90">
        <v>2000</v>
      </c>
      <c r="G74" s="90">
        <v>2000</v>
      </c>
      <c r="H74" s="90">
        <v>2000</v>
      </c>
      <c r="I74" s="90">
        <v>2000</v>
      </c>
      <c r="J74" s="90">
        <v>2000</v>
      </c>
      <c r="K74" s="90"/>
      <c r="L74" s="90"/>
      <c r="M74" s="38">
        <f t="shared" si="6"/>
        <v>16000</v>
      </c>
    </row>
    <row r="75" spans="1:108" x14ac:dyDescent="0.3">
      <c r="B75" s="3" t="s">
        <v>75</v>
      </c>
      <c r="C75" s="38">
        <f>(C74*'(ne pas modifier) BDD_REF'!$B$210)/1000</f>
        <v>0.114</v>
      </c>
      <c r="D75" s="38">
        <f>(D74*'(ne pas modifier) BDD_REF'!$B$210)/1000</f>
        <v>0.114</v>
      </c>
      <c r="E75" s="38">
        <f>(E74*'(ne pas modifier) BDD_REF'!$B$210)/1000</f>
        <v>0.114</v>
      </c>
      <c r="F75" s="38">
        <f>(F74*'(ne pas modifier) BDD_REF'!$B$210)/1000</f>
        <v>0.114</v>
      </c>
      <c r="G75" s="38">
        <f>(G74*'(ne pas modifier) BDD_REF'!$B$210)/1000</f>
        <v>0.114</v>
      </c>
      <c r="H75" s="38">
        <f>(H74*'(ne pas modifier) BDD_REF'!$B$210)/1000</f>
        <v>0.114</v>
      </c>
      <c r="I75" s="38">
        <f>(I74*'(ne pas modifier) BDD_REF'!$B$210)/1000</f>
        <v>0.114</v>
      </c>
      <c r="J75" s="38">
        <f>(J74*'(ne pas modifier) BDD_REF'!$B$210)/1000</f>
        <v>0.114</v>
      </c>
      <c r="K75" s="38">
        <f>(K74*'(ne pas modifier) BDD_REF'!$B$210)/1000</f>
        <v>0</v>
      </c>
      <c r="L75" s="38">
        <f>(L74*'(ne pas modifier) BDD_REF'!$B$210)/1000</f>
        <v>0</v>
      </c>
      <c r="M75" s="38">
        <f t="shared" si="6"/>
        <v>0.91200000000000003</v>
      </c>
    </row>
    <row r="76" spans="1:108" s="16" customFormat="1" x14ac:dyDescent="0.3">
      <c r="A76" s="18"/>
      <c r="B76" s="19" t="s">
        <v>76</v>
      </c>
      <c r="C76" s="79">
        <f>C73+C75</f>
        <v>0.42109999999999997</v>
      </c>
      <c r="D76" s="79">
        <f t="shared" ref="D76:L76" si="7">D73+D75</f>
        <v>0.42109999999999997</v>
      </c>
      <c r="E76" s="79">
        <f t="shared" si="7"/>
        <v>0.42109999999999997</v>
      </c>
      <c r="F76" s="79">
        <f t="shared" si="7"/>
        <v>0.42109999999999997</v>
      </c>
      <c r="G76" s="79">
        <f t="shared" si="7"/>
        <v>0.42109999999999997</v>
      </c>
      <c r="H76" s="79">
        <f t="shared" si="7"/>
        <v>0.42109999999999997</v>
      </c>
      <c r="I76" s="79">
        <f t="shared" si="7"/>
        <v>0.42109999999999997</v>
      </c>
      <c r="J76" s="79">
        <f t="shared" si="7"/>
        <v>0.42109999999999997</v>
      </c>
      <c r="K76" s="79">
        <f t="shared" si="7"/>
        <v>0</v>
      </c>
      <c r="L76" s="79">
        <f t="shared" si="7"/>
        <v>0</v>
      </c>
      <c r="M76" s="38">
        <f t="shared" si="6"/>
        <v>3.3687999999999998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77</v>
      </c>
      <c r="C77" s="90">
        <v>40</v>
      </c>
      <c r="D77" s="90">
        <v>40</v>
      </c>
      <c r="E77" s="90">
        <v>40</v>
      </c>
      <c r="F77" s="90">
        <v>40</v>
      </c>
      <c r="G77" s="90">
        <v>40</v>
      </c>
      <c r="H77" s="90">
        <v>40</v>
      </c>
      <c r="I77" s="90">
        <v>40</v>
      </c>
      <c r="J77" s="90">
        <v>40</v>
      </c>
      <c r="K77" s="90"/>
      <c r="L77" s="90"/>
      <c r="M77" s="38">
        <f t="shared" si="6"/>
        <v>320</v>
      </c>
    </row>
    <row r="78" spans="1:108" x14ac:dyDescent="0.3">
      <c r="B78" s="7" t="s">
        <v>78</v>
      </c>
      <c r="C78" s="90">
        <v>120</v>
      </c>
      <c r="D78" s="90">
        <v>120</v>
      </c>
      <c r="E78" s="90">
        <v>120</v>
      </c>
      <c r="F78" s="90">
        <v>120</v>
      </c>
      <c r="G78" s="90">
        <v>120</v>
      </c>
      <c r="H78" s="90">
        <v>120</v>
      </c>
      <c r="I78" s="90">
        <v>120</v>
      </c>
      <c r="J78" s="90">
        <v>120</v>
      </c>
      <c r="K78" s="90"/>
      <c r="L78" s="90"/>
      <c r="M78" s="38">
        <f t="shared" si="6"/>
        <v>960</v>
      </c>
    </row>
    <row r="79" spans="1:108" x14ac:dyDescent="0.3">
      <c r="B79" s="3" t="s">
        <v>79</v>
      </c>
      <c r="C79" s="38">
        <f>(C61*'(ne pas modifier) BDD_REF'!$B$211+'RECeff + REIamont (2)'!C77*'(ne pas modifier) BDD_REF'!$B$212+'RECeff + REIamont (2)'!C78*'(ne pas modifier) BDD_REF'!$B$213)/1000</f>
        <v>0.41379999999999995</v>
      </c>
      <c r="D79" s="38">
        <f>(D61*'(ne pas modifier) BDD_REF'!$B$211+'RECeff + REIamont (2)'!D77*'(ne pas modifier) BDD_REF'!$B$212+'RECeff + REIamont (2)'!D78*'(ne pas modifier) BDD_REF'!$B$213)/1000</f>
        <v>0.41379999999999995</v>
      </c>
      <c r="E79" s="38">
        <f>(E61*'(ne pas modifier) BDD_REF'!$B$211+'RECeff + REIamont (2)'!E77*'(ne pas modifier) BDD_REF'!$B$212+'RECeff + REIamont (2)'!E78*'(ne pas modifier) BDD_REF'!$B$213)/1000</f>
        <v>0.41379999999999995</v>
      </c>
      <c r="F79" s="38">
        <f>(F61*'(ne pas modifier) BDD_REF'!$B$211+'RECeff + REIamont (2)'!F77*'(ne pas modifier) BDD_REF'!$B$212+'RECeff + REIamont (2)'!F78*'(ne pas modifier) BDD_REF'!$B$213)/1000</f>
        <v>0.41379999999999995</v>
      </c>
      <c r="G79" s="38">
        <f>(G61*'(ne pas modifier) BDD_REF'!$B$211+'RECeff + REIamont (2)'!G77*'(ne pas modifier) BDD_REF'!$B$212+'RECeff + REIamont (2)'!G78*'(ne pas modifier) BDD_REF'!$B$213)/1000</f>
        <v>0.41379999999999995</v>
      </c>
      <c r="H79" s="38">
        <f>(H61*'(ne pas modifier) BDD_REF'!$B$211+'RECeff + REIamont (2)'!H77*'(ne pas modifier) BDD_REF'!$B$212+'RECeff + REIamont (2)'!H78*'(ne pas modifier) BDD_REF'!$B$213)/1000</f>
        <v>0.41379999999999995</v>
      </c>
      <c r="I79" s="38">
        <f>(I61*'(ne pas modifier) BDD_REF'!$B$211+'RECeff + REIamont (2)'!I77*'(ne pas modifier) BDD_REF'!$B$212+'RECeff + REIamont (2)'!I78*'(ne pas modifier) BDD_REF'!$B$213)/1000</f>
        <v>0.41379999999999995</v>
      </c>
      <c r="J79" s="38">
        <f>(J61*'(ne pas modifier) BDD_REF'!$B$211+'RECeff + REIamont (2)'!J77*'(ne pas modifier) BDD_REF'!$B$212+'RECeff + REIamont (2)'!J78*'(ne pas modifier) BDD_REF'!$B$213)/1000</f>
        <v>0.41379999999999995</v>
      </c>
      <c r="K79" s="38">
        <f>(K61*'(ne pas modifier) BDD_REF'!$B$211+'RECeff + REIamont (2)'!K77*'(ne pas modifier) BDD_REF'!$B$212+'RECeff + REIamont (2)'!K78*'(ne pas modifier) BDD_REF'!$B$213)/1000</f>
        <v>0</v>
      </c>
      <c r="L79" s="38">
        <f>(L61*'(ne pas modifier) BDD_REF'!$B$211+'RECeff + REIamont (2)'!L77*'(ne pas modifier) BDD_REF'!$B$212+'RECeff + REIamont (2)'!L78*'(ne pas modifier) BDD_REF'!$B$213)/1000</f>
        <v>0</v>
      </c>
      <c r="M79" s="38">
        <f t="shared" si="6"/>
        <v>3.3104000000000005</v>
      </c>
    </row>
    <row r="80" spans="1:108" hidden="1" x14ac:dyDescent="0.3">
      <c r="A80" s="17" t="s">
        <v>90</v>
      </c>
      <c r="B80" s="3" t="s">
        <v>80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38">
        <f t="shared" si="6"/>
        <v>0</v>
      </c>
    </row>
    <row r="81" spans="1:108" x14ac:dyDescent="0.3">
      <c r="B81" s="7" t="s">
        <v>82</v>
      </c>
      <c r="C81" s="90">
        <v>1</v>
      </c>
      <c r="D81" s="90">
        <v>1</v>
      </c>
      <c r="E81" s="90">
        <v>1</v>
      </c>
      <c r="F81" s="90">
        <v>1</v>
      </c>
      <c r="G81" s="90">
        <v>1</v>
      </c>
      <c r="H81" s="90">
        <v>1</v>
      </c>
      <c r="I81" s="90">
        <v>1</v>
      </c>
      <c r="J81" s="90">
        <v>1</v>
      </c>
      <c r="K81" s="90"/>
      <c r="L81" s="90"/>
      <c r="M81" s="38">
        <f t="shared" si="6"/>
        <v>8</v>
      </c>
    </row>
    <row r="82" spans="1:108" x14ac:dyDescent="0.3">
      <c r="B82" s="7" t="s">
        <v>83</v>
      </c>
      <c r="C82" s="90">
        <v>0.72</v>
      </c>
      <c r="D82" s="90">
        <v>0.72</v>
      </c>
      <c r="E82" s="90">
        <v>0.72</v>
      </c>
      <c r="F82" s="90">
        <v>0.72</v>
      </c>
      <c r="G82" s="90">
        <v>0.72</v>
      </c>
      <c r="H82" s="90">
        <v>0.72</v>
      </c>
      <c r="I82" s="90">
        <v>0.72</v>
      </c>
      <c r="J82" s="90">
        <v>0.72</v>
      </c>
      <c r="K82" s="90"/>
      <c r="L82" s="90"/>
      <c r="M82" s="38">
        <f t="shared" si="6"/>
        <v>5.7599999999999989</v>
      </c>
    </row>
    <row r="83" spans="1:108" x14ac:dyDescent="0.3">
      <c r="B83" s="7" t="s">
        <v>84</v>
      </c>
      <c r="C83" s="90">
        <v>1</v>
      </c>
      <c r="D83" s="90">
        <v>1</v>
      </c>
      <c r="E83" s="90">
        <v>1</v>
      </c>
      <c r="F83" s="90">
        <v>1</v>
      </c>
      <c r="G83" s="90">
        <v>1</v>
      </c>
      <c r="H83" s="90">
        <v>1</v>
      </c>
      <c r="I83" s="90">
        <v>1</v>
      </c>
      <c r="J83" s="90">
        <v>1</v>
      </c>
      <c r="K83" s="90"/>
      <c r="L83" s="90"/>
      <c r="M83" s="38">
        <f t="shared" si="6"/>
        <v>8</v>
      </c>
    </row>
    <row r="84" spans="1:108" x14ac:dyDescent="0.3">
      <c r="B84" s="7" t="s">
        <v>85</v>
      </c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38">
        <f t="shared" si="6"/>
        <v>0</v>
      </c>
    </row>
    <row r="85" spans="1:108" x14ac:dyDescent="0.3">
      <c r="B85" s="3" t="s">
        <v>86</v>
      </c>
      <c r="C85" s="38">
        <f>(C81*'(ne pas modifier) BDD_REF'!$B$214+'RECeff + REIamont (2)'!C82*'(ne pas modifier) BDD_REF'!$B$215+'RECeff + REIamont (2)'!C83*'(ne pas modifier) BDD_REF'!$B$216+'RECeff + REIamont (2)'!C84*'(ne pas modifier) BDD_REF'!$B$217)/1000</f>
        <v>3.7612199999999998E-2</v>
      </c>
      <c r="D85" s="38">
        <f>(D81*'(ne pas modifier) BDD_REF'!$B$214+'RECeff + REIamont (2)'!D82*'(ne pas modifier) BDD_REF'!$B$215+'RECeff + REIamont (2)'!D83*'(ne pas modifier) BDD_REF'!$B$216+'RECeff + REIamont (2)'!D84*'(ne pas modifier) BDD_REF'!$B$217)/1000</f>
        <v>3.7612199999999998E-2</v>
      </c>
      <c r="E85" s="38">
        <f>(E81*'(ne pas modifier) BDD_REF'!$B$214+'RECeff + REIamont (2)'!E82*'(ne pas modifier) BDD_REF'!$B$215+'RECeff + REIamont (2)'!E83*'(ne pas modifier) BDD_REF'!$B$216+'RECeff + REIamont (2)'!E84*'(ne pas modifier) BDD_REF'!$B$217)/1000</f>
        <v>3.7612199999999998E-2</v>
      </c>
      <c r="F85" s="38">
        <f>(F81*'(ne pas modifier) BDD_REF'!$B$214+'RECeff + REIamont (2)'!F82*'(ne pas modifier) BDD_REF'!$B$215+'RECeff + REIamont (2)'!F83*'(ne pas modifier) BDD_REF'!$B$216+'RECeff + REIamont (2)'!F84*'(ne pas modifier) BDD_REF'!$B$217)/1000</f>
        <v>3.7612199999999998E-2</v>
      </c>
      <c r="G85" s="38">
        <f>(G81*'(ne pas modifier) BDD_REF'!$B$214+'RECeff + REIamont (2)'!G82*'(ne pas modifier) BDD_REF'!$B$215+'RECeff + REIamont (2)'!G83*'(ne pas modifier) BDD_REF'!$B$216+'RECeff + REIamont (2)'!G84*'(ne pas modifier) BDD_REF'!$B$217)/1000</f>
        <v>3.7612199999999998E-2</v>
      </c>
      <c r="H85" s="38">
        <f>(H81*'(ne pas modifier) BDD_REF'!$B$214+'RECeff + REIamont (2)'!H82*'(ne pas modifier) BDD_REF'!$B$215+'RECeff + REIamont (2)'!H83*'(ne pas modifier) BDD_REF'!$B$216+'RECeff + REIamont (2)'!H84*'(ne pas modifier) BDD_REF'!$B$217)/1000</f>
        <v>3.7612199999999998E-2</v>
      </c>
      <c r="I85" s="38">
        <f>(I81*'(ne pas modifier) BDD_REF'!$B$214+'RECeff + REIamont (2)'!I82*'(ne pas modifier) BDD_REF'!$B$215+'RECeff + REIamont (2)'!I83*'(ne pas modifier) BDD_REF'!$B$216+'RECeff + REIamont (2)'!I84*'(ne pas modifier) BDD_REF'!$B$217)/1000</f>
        <v>3.7612199999999998E-2</v>
      </c>
      <c r="J85" s="38">
        <f>(J81*'(ne pas modifier) BDD_REF'!$B$214+'RECeff + REIamont (2)'!J82*'(ne pas modifier) BDD_REF'!$B$215+'RECeff + REIamont (2)'!J83*'(ne pas modifier) BDD_REF'!$B$216+'RECeff + REIamont (2)'!J84*'(ne pas modifier) BDD_REF'!$B$217)/1000</f>
        <v>3.7612199999999998E-2</v>
      </c>
      <c r="K85" s="38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8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8">
        <f t="shared" si="6"/>
        <v>0.30089759999999993</v>
      </c>
    </row>
    <row r="86" spans="1:108" s="16" customFormat="1" x14ac:dyDescent="0.3">
      <c r="A86" s="18"/>
      <c r="B86" s="19" t="s">
        <v>87</v>
      </c>
      <c r="C86" s="79">
        <f>C79+C80+C85</f>
        <v>0.45141219999999993</v>
      </c>
      <c r="D86" s="79">
        <f t="shared" ref="D86:L86" si="8">D79+D80+D85</f>
        <v>0.45141219999999993</v>
      </c>
      <c r="E86" s="79">
        <f t="shared" si="8"/>
        <v>0.45141219999999993</v>
      </c>
      <c r="F86" s="79">
        <f t="shared" si="8"/>
        <v>0.45141219999999993</v>
      </c>
      <c r="G86" s="79">
        <f t="shared" si="8"/>
        <v>0.45141219999999993</v>
      </c>
      <c r="H86" s="79">
        <f t="shared" si="8"/>
        <v>0.45141219999999993</v>
      </c>
      <c r="I86" s="79">
        <f t="shared" si="8"/>
        <v>0.45141219999999993</v>
      </c>
      <c r="J86" s="79">
        <f t="shared" si="8"/>
        <v>0.45141219999999993</v>
      </c>
      <c r="K86" s="79">
        <f t="shared" si="8"/>
        <v>0</v>
      </c>
      <c r="L86" s="79">
        <f t="shared" si="8"/>
        <v>0</v>
      </c>
      <c r="M86" s="38">
        <f t="shared" si="6"/>
        <v>3.6112975999999999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88</v>
      </c>
      <c r="C87" s="20">
        <f>((C64+C65+C66)/1000*44/28*'(ne pas modifier) BDD_REF'!$B$231)+'RECeff + REIamont (2)'!C76+'RECeff + REIamont (2)'!C86</f>
        <v>1.4551790571428573</v>
      </c>
      <c r="D87" s="20">
        <f>((D64+D65+D66)/1000*44/28*'(ne pas modifier) BDD_REF'!$B$231)+'RECeff + REIamont (2)'!D76+'RECeff + REIamont (2)'!D86</f>
        <v>1.4551790571428573</v>
      </c>
      <c r="E87" s="20">
        <f>((E64+E65+E66)/1000*44/28*'(ne pas modifier) BDD_REF'!$B$231)+'RECeff + REIamont (2)'!E76+'RECeff + REIamont (2)'!E86</f>
        <v>1.4551790571428573</v>
      </c>
      <c r="F87" s="20">
        <f>((F64+F65+F66)/1000*44/28*'(ne pas modifier) BDD_REF'!$B$231)+'RECeff + REIamont (2)'!F76+'RECeff + REIamont (2)'!F86</f>
        <v>1.4551790571428573</v>
      </c>
      <c r="G87" s="20">
        <f>((G64+G65+G66)/1000*44/28*'(ne pas modifier) BDD_REF'!$B$231)+'RECeff + REIamont (2)'!G76+'RECeff + REIamont (2)'!G86</f>
        <v>1.4551790571428573</v>
      </c>
      <c r="H87" s="20">
        <f>((H64+H65+H66)/1000*44/28*'(ne pas modifier) BDD_REF'!$B$231)+'RECeff + REIamont (2)'!H76+'RECeff + REIamont (2)'!H86</f>
        <v>1.4551790571428573</v>
      </c>
      <c r="I87" s="20">
        <f>((I64+I65+I66)/1000*44/28*'(ne pas modifier) BDD_REF'!$B$231)+'RECeff + REIamont (2)'!I76+'RECeff + REIamont (2)'!I86</f>
        <v>1.4551790571428573</v>
      </c>
      <c r="J87" s="20">
        <f>((J64+J65+J66)/1000*44/28*'(ne pas modifier) BDD_REF'!$B$231)+'RECeff + REIamont (2)'!J76+'RECeff + REIamont (2)'!J86</f>
        <v>1.4551790571428573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11.641432457142857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92</v>
      </c>
      <c r="B88" s="7" t="s">
        <v>61</v>
      </c>
      <c r="C88" s="90">
        <v>80</v>
      </c>
      <c r="D88" s="90">
        <v>80</v>
      </c>
      <c r="E88" s="90">
        <v>80</v>
      </c>
      <c r="F88" s="90">
        <v>80</v>
      </c>
      <c r="G88" s="90">
        <v>80</v>
      </c>
      <c r="H88" s="90">
        <v>80</v>
      </c>
      <c r="I88" s="90">
        <v>80</v>
      </c>
      <c r="J88" s="90">
        <v>80</v>
      </c>
      <c r="K88" s="90"/>
      <c r="L88" s="90"/>
      <c r="M88" s="38">
        <f t="shared" si="6"/>
        <v>640</v>
      </c>
    </row>
    <row r="89" spans="1:108" x14ac:dyDescent="0.3">
      <c r="B89" s="7" t="s">
        <v>62</v>
      </c>
      <c r="C89" s="90">
        <v>20</v>
      </c>
      <c r="D89" s="90">
        <v>20</v>
      </c>
      <c r="E89" s="90">
        <v>20</v>
      </c>
      <c r="F89" s="90">
        <v>20</v>
      </c>
      <c r="G89" s="90">
        <v>20</v>
      </c>
      <c r="H89" s="90">
        <v>20</v>
      </c>
      <c r="I89" s="90">
        <v>20</v>
      </c>
      <c r="J89" s="90">
        <v>20</v>
      </c>
      <c r="K89" s="90"/>
      <c r="L89" s="90"/>
      <c r="M89" s="38">
        <f t="shared" si="6"/>
        <v>160</v>
      </c>
    </row>
    <row r="90" spans="1:108" x14ac:dyDescent="0.3">
      <c r="B90" s="7" t="s">
        <v>63</v>
      </c>
      <c r="C90" s="88"/>
      <c r="D90" s="88"/>
      <c r="E90" s="88"/>
      <c r="F90" s="88"/>
      <c r="G90" s="88"/>
      <c r="H90" s="88"/>
      <c r="I90" s="88"/>
      <c r="J90" s="88"/>
      <c r="K90" s="89"/>
      <c r="L90" s="88"/>
      <c r="M90" s="38">
        <f t="shared" si="6"/>
        <v>0</v>
      </c>
    </row>
    <row r="91" spans="1:108" x14ac:dyDescent="0.3">
      <c r="B91" s="19" t="s">
        <v>64</v>
      </c>
      <c r="C91" s="38">
        <f>C88*'(ne pas modifier) BDD_REF'!$B$206 + (C89+C90)*'(ne pas modifier) BDD_REF'!$B$207</f>
        <v>1.4</v>
      </c>
      <c r="D91" s="38">
        <f>D88*'(ne pas modifier) BDD_REF'!$B$206 + (D89+D90)*'(ne pas modifier) BDD_REF'!$B$207</f>
        <v>1.4</v>
      </c>
      <c r="E91" s="38">
        <f>E88*'(ne pas modifier) BDD_REF'!$B$206 + (E89+E90)*'(ne pas modifier) BDD_REF'!$B$207</f>
        <v>1.4</v>
      </c>
      <c r="F91" s="38">
        <f>F88*'(ne pas modifier) BDD_REF'!$B$206 + (F89+F90)*'(ne pas modifier) BDD_REF'!$B$207</f>
        <v>1.4</v>
      </c>
      <c r="G91" s="38">
        <f>G88*'(ne pas modifier) BDD_REF'!$B$206 + (G89+G90)*'(ne pas modifier) BDD_REF'!$B$207</f>
        <v>1.4</v>
      </c>
      <c r="H91" s="38">
        <f>H88*'(ne pas modifier) BDD_REF'!$B$206 + (H89+H90)*'(ne pas modifier) BDD_REF'!$B$207</f>
        <v>1.4</v>
      </c>
      <c r="I91" s="38">
        <f>I88*'(ne pas modifier) BDD_REF'!$B$206 + (I89+I90)*'(ne pas modifier) BDD_REF'!$B$207</f>
        <v>1.4</v>
      </c>
      <c r="J91" s="38">
        <f>J88*'(ne pas modifier) BDD_REF'!$B$206 + (J89+J90)*'(ne pas modifier) BDD_REF'!$B$207</f>
        <v>1.4</v>
      </c>
      <c r="K91" s="38">
        <f>K88*'(ne pas modifier) BDD_REF'!$B$206 + (K89+K90)*'(ne pas modifier) BDD_REF'!$B$207</f>
        <v>0</v>
      </c>
      <c r="L91" s="38">
        <f>L88*'(ne pas modifier) BDD_REF'!$B$206 + (L89+L90)*'(ne pas modifier) BDD_REF'!$B$207</f>
        <v>0</v>
      </c>
      <c r="M91" s="38">
        <f t="shared" si="6"/>
        <v>11.200000000000001</v>
      </c>
    </row>
    <row r="92" spans="1:108" x14ac:dyDescent="0.3">
      <c r="B92" s="19" t="s">
        <v>65</v>
      </c>
      <c r="C92" s="38">
        <f>((C88*'(ne pas modifier) BDD_REF'!$B$219)+('RECeff + REIamont (2)'!C89+'RECeff + REIamont (2)'!C90)*'(ne pas modifier) BDD_REF'!$B$220)*'(ne pas modifier) BDD_REF'!$B$208</f>
        <v>0.13</v>
      </c>
      <c r="D92" s="38">
        <f>((D88*'(ne pas modifier) BDD_REF'!$B$219)+('RECeff + REIamont (2)'!D89+'RECeff + REIamont (2)'!D90)*'(ne pas modifier) BDD_REF'!$B$220)*'(ne pas modifier) BDD_REF'!$B$208</f>
        <v>0.13</v>
      </c>
      <c r="E92" s="38">
        <f>((E88*'(ne pas modifier) BDD_REF'!$B$219)+('RECeff + REIamont (2)'!E89+'RECeff + REIamont (2)'!E90)*'(ne pas modifier) BDD_REF'!$B$220)*'(ne pas modifier) BDD_REF'!$B$208</f>
        <v>0.13</v>
      </c>
      <c r="F92" s="38">
        <f>((F88*'(ne pas modifier) BDD_REF'!$B$219)+('RECeff + REIamont (2)'!F89+'RECeff + REIamont (2)'!F90)*'(ne pas modifier) BDD_REF'!$B$220)*'(ne pas modifier) BDD_REF'!$B$208</f>
        <v>0.13</v>
      </c>
      <c r="G92" s="38">
        <f>((G88*'(ne pas modifier) BDD_REF'!$B$219)+('RECeff + REIamont (2)'!G89+'RECeff + REIamont (2)'!G90)*'(ne pas modifier) BDD_REF'!$B$220)*'(ne pas modifier) BDD_REF'!$B$208</f>
        <v>0.13</v>
      </c>
      <c r="H92" s="38">
        <f>((H88*'(ne pas modifier) BDD_REF'!$B$219)+('RECeff + REIamont (2)'!H89+'RECeff + REIamont (2)'!H90)*'(ne pas modifier) BDD_REF'!$B$220)*'(ne pas modifier) BDD_REF'!$B$208</f>
        <v>0.13</v>
      </c>
      <c r="I92" s="38">
        <f>((I88*'(ne pas modifier) BDD_REF'!$B$219)+('RECeff + REIamont (2)'!I89+'RECeff + REIamont (2)'!I90)*'(ne pas modifier) BDD_REF'!$B$220)*'(ne pas modifier) BDD_REF'!$B$208</f>
        <v>0.13</v>
      </c>
      <c r="J92" s="38">
        <f>((J88*'(ne pas modifier) BDD_REF'!$B$219)+('RECeff + REIamont (2)'!J89+'RECeff + REIamont (2)'!J90)*'(ne pas modifier) BDD_REF'!$B$220)*'(ne pas modifier) BDD_REF'!$B$208</f>
        <v>0.13</v>
      </c>
      <c r="K92" s="38">
        <f>((K88*'(ne pas modifier) BDD_REF'!$B$219)+('RECeff + REIamont (2)'!K89+'RECeff + REIamont (2)'!K90)*'(ne pas modifier) BDD_REF'!$B$220)*'(ne pas modifier) BDD_REF'!$B$208</f>
        <v>0</v>
      </c>
      <c r="L92" s="38">
        <f>((L88*'(ne pas modifier) BDD_REF'!$B$219)+('RECeff + REIamont (2)'!L89+'RECeff + REIamont (2)'!L90)*'(ne pas modifier) BDD_REF'!$B$220)*'(ne pas modifier) BDD_REF'!$B$208</f>
        <v>0</v>
      </c>
      <c r="M92" s="38">
        <f t="shared" si="6"/>
        <v>1.04</v>
      </c>
    </row>
    <row r="93" spans="1:108" x14ac:dyDescent="0.3">
      <c r="B93" s="19" t="s">
        <v>66</v>
      </c>
      <c r="C93" s="38">
        <f>(C88+C89+C90)*'(ne pas modifier) BDD_REF'!$B$221*'(ne pas modifier) BDD_REF'!$B$209</f>
        <v>0.26400000000000001</v>
      </c>
      <c r="D93" s="38">
        <f>(D88+D89+D90)*'(ne pas modifier) BDD_REF'!$B$221*'(ne pas modifier) BDD_REF'!$B$209</f>
        <v>0.26400000000000001</v>
      </c>
      <c r="E93" s="38">
        <f>(E88+E89+E90)*'(ne pas modifier) BDD_REF'!$B$221*'(ne pas modifier) BDD_REF'!$B$209</f>
        <v>0.26400000000000001</v>
      </c>
      <c r="F93" s="38">
        <f>(F88+F89+F90)*'(ne pas modifier) BDD_REF'!$B$221*'(ne pas modifier) BDD_REF'!$B$209</f>
        <v>0.26400000000000001</v>
      </c>
      <c r="G93" s="38">
        <f>(G88+G89+G90)*'(ne pas modifier) BDD_REF'!$B$221*'(ne pas modifier) BDD_REF'!$B$209</f>
        <v>0.26400000000000001</v>
      </c>
      <c r="H93" s="38">
        <f>(H88+H89+H90)*'(ne pas modifier) BDD_REF'!$B$221*'(ne pas modifier) BDD_REF'!$B$209</f>
        <v>0.26400000000000001</v>
      </c>
      <c r="I93" s="38">
        <f>(I88+I89+I90)*'(ne pas modifier) BDD_REF'!$B$221*'(ne pas modifier) BDD_REF'!$B$209</f>
        <v>0.26400000000000001</v>
      </c>
      <c r="J93" s="38">
        <f>(J88+J89+J90)*'(ne pas modifier) BDD_REF'!$B$221*'(ne pas modifier) BDD_REF'!$B$209</f>
        <v>0.26400000000000001</v>
      </c>
      <c r="K93" s="38">
        <f>(K88+K89+K90)*'(ne pas modifier) BDD_REF'!$B$221*'(ne pas modifier) BDD_REF'!$B$209</f>
        <v>0</v>
      </c>
      <c r="L93" s="38">
        <f>(L88+L89+L90)*'(ne pas modifier) BDD_REF'!$B$221*'(ne pas modifier) BDD_REF'!$B$209</f>
        <v>0</v>
      </c>
      <c r="M93" s="38">
        <f t="shared" si="6"/>
        <v>2.1120000000000001</v>
      </c>
    </row>
    <row r="94" spans="1:108" x14ac:dyDescent="0.3">
      <c r="B94" s="7" t="s">
        <v>67</v>
      </c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38">
        <f t="shared" si="6"/>
        <v>0</v>
      </c>
    </row>
    <row r="95" spans="1:108" x14ac:dyDescent="0.3">
      <c r="B95" s="7" t="s">
        <v>68</v>
      </c>
      <c r="C95" s="90">
        <v>100</v>
      </c>
      <c r="D95" s="90">
        <v>101</v>
      </c>
      <c r="E95" s="90">
        <v>102</v>
      </c>
      <c r="F95" s="90">
        <v>103</v>
      </c>
      <c r="G95" s="90">
        <v>104</v>
      </c>
      <c r="H95" s="90">
        <v>106</v>
      </c>
      <c r="I95" s="90">
        <v>100</v>
      </c>
      <c r="J95" s="90">
        <v>101</v>
      </c>
      <c r="K95" s="90"/>
      <c r="L95" s="90"/>
      <c r="M95" s="38">
        <f t="shared" si="6"/>
        <v>817</v>
      </c>
    </row>
    <row r="96" spans="1:108" x14ac:dyDescent="0.3">
      <c r="B96" s="7" t="s">
        <v>69</v>
      </c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38">
        <f t="shared" si="6"/>
        <v>0</v>
      </c>
    </row>
    <row r="97" spans="1:108" x14ac:dyDescent="0.3">
      <c r="B97" s="7" t="s">
        <v>70</v>
      </c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38">
        <f t="shared" si="6"/>
        <v>0</v>
      </c>
    </row>
    <row r="98" spans="1:108" x14ac:dyDescent="0.3">
      <c r="B98" s="7" t="s">
        <v>71</v>
      </c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38">
        <f t="shared" si="6"/>
        <v>0</v>
      </c>
    </row>
    <row r="99" spans="1:108" x14ac:dyDescent="0.3">
      <c r="B99" s="7" t="s">
        <v>72</v>
      </c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38">
        <f t="shared" si="6"/>
        <v>0</v>
      </c>
    </row>
    <row r="100" spans="1:108" x14ac:dyDescent="0.3">
      <c r="B100" s="3" t="s">
        <v>73</v>
      </c>
      <c r="C100" s="38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8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0.31017099999999997</v>
      </c>
      <c r="E100" s="38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0.31324199999999996</v>
      </c>
      <c r="F100" s="38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0.31631300000000001</v>
      </c>
      <c r="G100" s="38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0.31938399999999995</v>
      </c>
      <c r="H100" s="38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0.32552599999999993</v>
      </c>
      <c r="I100" s="38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0.30709999999999998</v>
      </c>
      <c r="J100" s="38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0.31017099999999997</v>
      </c>
      <c r="K100" s="38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8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8">
        <f t="shared" si="6"/>
        <v>2.509007</v>
      </c>
    </row>
    <row r="101" spans="1:108" x14ac:dyDescent="0.3">
      <c r="B101" s="7" t="s">
        <v>74</v>
      </c>
      <c r="C101" s="90">
        <v>2200</v>
      </c>
      <c r="D101" s="90">
        <v>2200</v>
      </c>
      <c r="E101" s="90">
        <v>2200</v>
      </c>
      <c r="F101" s="90">
        <v>2200</v>
      </c>
      <c r="G101" s="90">
        <v>2200</v>
      </c>
      <c r="H101" s="90">
        <v>2200</v>
      </c>
      <c r="I101" s="90">
        <v>2200</v>
      </c>
      <c r="J101" s="90">
        <v>2200</v>
      </c>
      <c r="K101" s="90"/>
      <c r="L101" s="90"/>
      <c r="M101" s="38">
        <f t="shared" si="6"/>
        <v>17600</v>
      </c>
    </row>
    <row r="102" spans="1:108" x14ac:dyDescent="0.3">
      <c r="B102" s="3" t="s">
        <v>75</v>
      </c>
      <c r="C102" s="38">
        <f>(C101*'(ne pas modifier) BDD_REF'!$B$210)/1000</f>
        <v>0.12540000000000001</v>
      </c>
      <c r="D102" s="38">
        <f>(D101*'(ne pas modifier) BDD_REF'!$B$210)/1000</f>
        <v>0.12540000000000001</v>
      </c>
      <c r="E102" s="38">
        <f>(E101*'(ne pas modifier) BDD_REF'!$B$210)/1000</f>
        <v>0.12540000000000001</v>
      </c>
      <c r="F102" s="38">
        <f>(F101*'(ne pas modifier) BDD_REF'!$B$210)/1000</f>
        <v>0.12540000000000001</v>
      </c>
      <c r="G102" s="38">
        <f>(G101*'(ne pas modifier) BDD_REF'!$B$210)/1000</f>
        <v>0.12540000000000001</v>
      </c>
      <c r="H102" s="38">
        <f>(H101*'(ne pas modifier) BDD_REF'!$B$210)/1000</f>
        <v>0.12540000000000001</v>
      </c>
      <c r="I102" s="38">
        <f>(I101*'(ne pas modifier) BDD_REF'!$B$210)/1000</f>
        <v>0.12540000000000001</v>
      </c>
      <c r="J102" s="38">
        <f>(J101*'(ne pas modifier) BDD_REF'!$B$210)/1000</f>
        <v>0.12540000000000001</v>
      </c>
      <c r="K102" s="38">
        <f>(K101*'(ne pas modifier) BDD_REF'!$B$210)/1000</f>
        <v>0</v>
      </c>
      <c r="L102" s="38">
        <f>(L101*'(ne pas modifier) BDD_REF'!$B$210)/1000</f>
        <v>0</v>
      </c>
      <c r="M102" s="38">
        <f t="shared" si="6"/>
        <v>1.0031999999999999</v>
      </c>
    </row>
    <row r="103" spans="1:108" s="16" customFormat="1" x14ac:dyDescent="0.3">
      <c r="A103" s="18"/>
      <c r="B103" s="19" t="s">
        <v>76</v>
      </c>
      <c r="C103" s="79">
        <f>C100+C102</f>
        <v>0.4325</v>
      </c>
      <c r="D103" s="79">
        <f t="shared" ref="D103:L103" si="9">D100+D102</f>
        <v>0.43557099999999999</v>
      </c>
      <c r="E103" s="79">
        <f t="shared" si="9"/>
        <v>0.43864199999999998</v>
      </c>
      <c r="F103" s="79">
        <f t="shared" si="9"/>
        <v>0.44171300000000002</v>
      </c>
      <c r="G103" s="79">
        <f t="shared" si="9"/>
        <v>0.44478399999999996</v>
      </c>
      <c r="H103" s="79">
        <f t="shared" si="9"/>
        <v>0.45092599999999994</v>
      </c>
      <c r="I103" s="79">
        <f t="shared" si="9"/>
        <v>0.4325</v>
      </c>
      <c r="J103" s="79">
        <f t="shared" si="9"/>
        <v>0.43557099999999999</v>
      </c>
      <c r="K103" s="79">
        <f t="shared" si="9"/>
        <v>0</v>
      </c>
      <c r="L103" s="79">
        <f t="shared" si="9"/>
        <v>0</v>
      </c>
      <c r="M103" s="38">
        <f t="shared" ref="M103:M134" si="10">SUM(C103:L103)</f>
        <v>3.5122070000000001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77</v>
      </c>
      <c r="C104" s="90">
        <v>50</v>
      </c>
      <c r="D104" s="90">
        <v>50</v>
      </c>
      <c r="E104" s="90">
        <v>50</v>
      </c>
      <c r="F104" s="90">
        <v>50</v>
      </c>
      <c r="G104" s="90">
        <v>50</v>
      </c>
      <c r="H104" s="90">
        <v>50</v>
      </c>
      <c r="I104" s="90">
        <v>50</v>
      </c>
      <c r="J104" s="90">
        <v>50</v>
      </c>
      <c r="K104" s="90"/>
      <c r="L104" s="90"/>
      <c r="M104" s="38">
        <f t="shared" si="10"/>
        <v>400</v>
      </c>
    </row>
    <row r="105" spans="1:108" x14ac:dyDescent="0.3">
      <c r="B105" s="7" t="s">
        <v>78</v>
      </c>
      <c r="C105" s="90">
        <v>150</v>
      </c>
      <c r="D105" s="90">
        <v>150</v>
      </c>
      <c r="E105" s="90">
        <v>150</v>
      </c>
      <c r="F105" s="90">
        <v>150</v>
      </c>
      <c r="G105" s="90">
        <v>150</v>
      </c>
      <c r="H105" s="90">
        <v>150</v>
      </c>
      <c r="I105" s="90">
        <v>150</v>
      </c>
      <c r="J105" s="90">
        <v>150</v>
      </c>
      <c r="K105" s="90"/>
      <c r="L105" s="90"/>
      <c r="M105" s="38">
        <f t="shared" si="10"/>
        <v>1200</v>
      </c>
    </row>
    <row r="106" spans="1:108" x14ac:dyDescent="0.3">
      <c r="B106" s="3" t="s">
        <v>79</v>
      </c>
      <c r="C106" s="38">
        <f>(C88*'(ne pas modifier) BDD_REF'!$B$211+'RECeff + REIamont (2)'!C104*'(ne pas modifier) BDD_REF'!$B$212+'RECeff + REIamont (2)'!C105*'(ne pas modifier) BDD_REF'!$B$213)/1000</f>
        <v>0.53979999999999995</v>
      </c>
      <c r="D106" s="38">
        <f>(D88*'(ne pas modifier) BDD_REF'!$B$211+'RECeff + REIamont (2)'!D104*'(ne pas modifier) BDD_REF'!$B$212+'RECeff + REIamont (2)'!D105*'(ne pas modifier) BDD_REF'!$B$213)/1000</f>
        <v>0.53979999999999995</v>
      </c>
      <c r="E106" s="38">
        <f>(E88*'(ne pas modifier) BDD_REF'!$B$211+'RECeff + REIamont (2)'!E104*'(ne pas modifier) BDD_REF'!$B$212+'RECeff + REIamont (2)'!E105*'(ne pas modifier) BDD_REF'!$B$213)/1000</f>
        <v>0.53979999999999995</v>
      </c>
      <c r="F106" s="38">
        <f>(F88*'(ne pas modifier) BDD_REF'!$B$211+'RECeff + REIamont (2)'!F104*'(ne pas modifier) BDD_REF'!$B$212+'RECeff + REIamont (2)'!F105*'(ne pas modifier) BDD_REF'!$B$213)/1000</f>
        <v>0.53979999999999995</v>
      </c>
      <c r="G106" s="38">
        <f>(G88*'(ne pas modifier) BDD_REF'!$B$211+'RECeff + REIamont (2)'!G104*'(ne pas modifier) BDD_REF'!$B$212+'RECeff + REIamont (2)'!G105*'(ne pas modifier) BDD_REF'!$B$213)/1000</f>
        <v>0.53979999999999995</v>
      </c>
      <c r="H106" s="38">
        <f>(H88*'(ne pas modifier) BDD_REF'!$B$211+'RECeff + REIamont (2)'!H104*'(ne pas modifier) BDD_REF'!$B$212+'RECeff + REIamont (2)'!H105*'(ne pas modifier) BDD_REF'!$B$213)/1000</f>
        <v>0.53979999999999995</v>
      </c>
      <c r="I106" s="38">
        <f>(I88*'(ne pas modifier) BDD_REF'!$B$211+'RECeff + REIamont (2)'!I104*'(ne pas modifier) BDD_REF'!$B$212+'RECeff + REIamont (2)'!I105*'(ne pas modifier) BDD_REF'!$B$213)/1000</f>
        <v>0.53979999999999995</v>
      </c>
      <c r="J106" s="38">
        <f>(J88*'(ne pas modifier) BDD_REF'!$B$211+'RECeff + REIamont (2)'!J104*'(ne pas modifier) BDD_REF'!$B$212+'RECeff + REIamont (2)'!J105*'(ne pas modifier) BDD_REF'!$B$213)/1000</f>
        <v>0.53979999999999995</v>
      </c>
      <c r="K106" s="38">
        <f>(K88*'(ne pas modifier) BDD_REF'!$B$211+'RECeff + REIamont (2)'!K104*'(ne pas modifier) BDD_REF'!$B$212+'RECeff + REIamont (2)'!K105*'(ne pas modifier) BDD_REF'!$B$213)/1000</f>
        <v>0</v>
      </c>
      <c r="L106" s="38">
        <f>(L88*'(ne pas modifier) BDD_REF'!$B$211+'RECeff + REIamont (2)'!L104*'(ne pas modifier) BDD_REF'!$B$212+'RECeff + REIamont (2)'!L105*'(ne pas modifier) BDD_REF'!$B$213)/1000</f>
        <v>0</v>
      </c>
      <c r="M106" s="38">
        <f t="shared" si="10"/>
        <v>4.3183999999999996</v>
      </c>
    </row>
    <row r="107" spans="1:108" hidden="1" x14ac:dyDescent="0.3">
      <c r="A107" s="17" t="s">
        <v>90</v>
      </c>
      <c r="B107" s="3" t="s">
        <v>80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38">
        <f t="shared" si="10"/>
        <v>0</v>
      </c>
    </row>
    <row r="108" spans="1:108" x14ac:dyDescent="0.3">
      <c r="B108" s="7" t="s">
        <v>82</v>
      </c>
      <c r="C108" s="90">
        <v>1</v>
      </c>
      <c r="D108" s="90">
        <v>1</v>
      </c>
      <c r="E108" s="90">
        <v>1</v>
      </c>
      <c r="F108" s="90">
        <v>1</v>
      </c>
      <c r="G108" s="90">
        <v>1</v>
      </c>
      <c r="H108" s="90">
        <v>1</v>
      </c>
      <c r="I108" s="90">
        <v>1</v>
      </c>
      <c r="J108" s="90">
        <v>1</v>
      </c>
      <c r="K108" s="90"/>
      <c r="L108" s="90"/>
      <c r="M108" s="38">
        <f t="shared" si="10"/>
        <v>8</v>
      </c>
    </row>
    <row r="109" spans="1:108" x14ac:dyDescent="0.3">
      <c r="B109" s="7" t="s">
        <v>83</v>
      </c>
      <c r="C109" s="90">
        <v>0.72</v>
      </c>
      <c r="D109" s="90">
        <v>0.72</v>
      </c>
      <c r="E109" s="90">
        <v>0.72</v>
      </c>
      <c r="F109" s="90">
        <v>0.72</v>
      </c>
      <c r="G109" s="90">
        <v>0.72</v>
      </c>
      <c r="H109" s="90">
        <v>0.72</v>
      </c>
      <c r="I109" s="90">
        <v>0.72</v>
      </c>
      <c r="J109" s="90">
        <v>0.72</v>
      </c>
      <c r="K109" s="90"/>
      <c r="L109" s="90"/>
      <c r="M109" s="38">
        <f t="shared" si="10"/>
        <v>5.7599999999999989</v>
      </c>
    </row>
    <row r="110" spans="1:108" x14ac:dyDescent="0.3">
      <c r="B110" s="7" t="s">
        <v>84</v>
      </c>
      <c r="C110" s="90">
        <v>1</v>
      </c>
      <c r="D110" s="90">
        <v>1</v>
      </c>
      <c r="E110" s="90">
        <v>1</v>
      </c>
      <c r="F110" s="90">
        <v>1</v>
      </c>
      <c r="G110" s="90">
        <v>1</v>
      </c>
      <c r="H110" s="90">
        <v>1</v>
      </c>
      <c r="I110" s="90">
        <v>1</v>
      </c>
      <c r="J110" s="90">
        <v>1</v>
      </c>
      <c r="K110" s="90"/>
      <c r="L110" s="90"/>
      <c r="M110" s="38">
        <f t="shared" si="10"/>
        <v>8</v>
      </c>
    </row>
    <row r="111" spans="1:108" x14ac:dyDescent="0.3">
      <c r="B111" s="7" t="s">
        <v>85</v>
      </c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38">
        <f t="shared" si="10"/>
        <v>0</v>
      </c>
    </row>
    <row r="112" spans="1:108" x14ac:dyDescent="0.3">
      <c r="B112" s="3" t="s">
        <v>86</v>
      </c>
      <c r="C112" s="38">
        <f>(C108*'(ne pas modifier) BDD_REF'!$B$214+'RECeff + REIamont (2)'!C109*'(ne pas modifier) BDD_REF'!$B$215+'RECeff + REIamont (2)'!C110*'(ne pas modifier) BDD_REF'!$B$216+'RECeff + REIamont (2)'!C111*'(ne pas modifier) BDD_REF'!$B$217)/1000</f>
        <v>3.7612199999999998E-2</v>
      </c>
      <c r="D112" s="38">
        <f>(D108*'(ne pas modifier) BDD_REF'!$B$214+'RECeff + REIamont (2)'!D109*'(ne pas modifier) BDD_REF'!$B$215+'RECeff + REIamont (2)'!D110*'(ne pas modifier) BDD_REF'!$B$216+'RECeff + REIamont (2)'!D111*'(ne pas modifier) BDD_REF'!$B$217)/1000</f>
        <v>3.7612199999999998E-2</v>
      </c>
      <c r="E112" s="38">
        <f>(E108*'(ne pas modifier) BDD_REF'!$B$214+'RECeff + REIamont (2)'!E109*'(ne pas modifier) BDD_REF'!$B$215+'RECeff + REIamont (2)'!E110*'(ne pas modifier) BDD_REF'!$B$216+'RECeff + REIamont (2)'!E111*'(ne pas modifier) BDD_REF'!$B$217)/1000</f>
        <v>3.7612199999999998E-2</v>
      </c>
      <c r="F112" s="38">
        <f>(F108*'(ne pas modifier) BDD_REF'!$B$214+'RECeff + REIamont (2)'!F109*'(ne pas modifier) BDD_REF'!$B$215+'RECeff + REIamont (2)'!F110*'(ne pas modifier) BDD_REF'!$B$216+'RECeff + REIamont (2)'!F111*'(ne pas modifier) BDD_REF'!$B$217)/1000</f>
        <v>3.7612199999999998E-2</v>
      </c>
      <c r="G112" s="38">
        <f>(G108*'(ne pas modifier) BDD_REF'!$B$214+'RECeff + REIamont (2)'!G109*'(ne pas modifier) BDD_REF'!$B$215+'RECeff + REIamont (2)'!G110*'(ne pas modifier) BDD_REF'!$B$216+'RECeff + REIamont (2)'!G111*'(ne pas modifier) BDD_REF'!$B$217)/1000</f>
        <v>3.7612199999999998E-2</v>
      </c>
      <c r="H112" s="38">
        <f>(H108*'(ne pas modifier) BDD_REF'!$B$214+'RECeff + REIamont (2)'!H109*'(ne pas modifier) BDD_REF'!$B$215+'RECeff + REIamont (2)'!H110*'(ne pas modifier) BDD_REF'!$B$216+'RECeff + REIamont (2)'!H111*'(ne pas modifier) BDD_REF'!$B$217)/1000</f>
        <v>3.7612199999999998E-2</v>
      </c>
      <c r="I112" s="38">
        <f>(I108*'(ne pas modifier) BDD_REF'!$B$214+'RECeff + REIamont (2)'!I109*'(ne pas modifier) BDD_REF'!$B$215+'RECeff + REIamont (2)'!I110*'(ne pas modifier) BDD_REF'!$B$216+'RECeff + REIamont (2)'!I111*'(ne pas modifier) BDD_REF'!$B$217)/1000</f>
        <v>3.7612199999999998E-2</v>
      </c>
      <c r="J112" s="38">
        <f>(J108*'(ne pas modifier) BDD_REF'!$B$214+'RECeff + REIamont (2)'!J109*'(ne pas modifier) BDD_REF'!$B$215+'RECeff + REIamont (2)'!J110*'(ne pas modifier) BDD_REF'!$B$216+'RECeff + REIamont (2)'!J111*'(ne pas modifier) BDD_REF'!$B$217)/1000</f>
        <v>3.7612199999999998E-2</v>
      </c>
      <c r="K112" s="38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8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8">
        <f t="shared" si="10"/>
        <v>0.30089759999999993</v>
      </c>
    </row>
    <row r="113" spans="1:108" s="16" customFormat="1" x14ac:dyDescent="0.3">
      <c r="A113" s="18"/>
      <c r="B113" s="19" t="s">
        <v>87</v>
      </c>
      <c r="C113" s="79">
        <f>C106+C107+C112</f>
        <v>0.57741219999999993</v>
      </c>
      <c r="D113" s="79">
        <f t="shared" ref="D113:L113" si="11">D106+D107+D112</f>
        <v>0.57741219999999993</v>
      </c>
      <c r="E113" s="79">
        <f t="shared" si="11"/>
        <v>0.57741219999999993</v>
      </c>
      <c r="F113" s="79">
        <f t="shared" si="11"/>
        <v>0.57741219999999993</v>
      </c>
      <c r="G113" s="79">
        <f t="shared" si="11"/>
        <v>0.57741219999999993</v>
      </c>
      <c r="H113" s="79">
        <f t="shared" si="11"/>
        <v>0.57741219999999993</v>
      </c>
      <c r="I113" s="79">
        <f t="shared" si="11"/>
        <v>0.57741219999999993</v>
      </c>
      <c r="J113" s="79">
        <f t="shared" si="11"/>
        <v>0.57741219999999993</v>
      </c>
      <c r="K113" s="79">
        <f t="shared" si="11"/>
        <v>0</v>
      </c>
      <c r="L113" s="79">
        <f t="shared" si="11"/>
        <v>0</v>
      </c>
      <c r="M113" s="38">
        <f t="shared" si="10"/>
        <v>4.6192975999999994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88</v>
      </c>
      <c r="C114" s="20">
        <f>((C91+C92+C93)/1000*44/28*'(ne pas modifier) BDD_REF'!$B$231)+'RECeff + REIamont (2)'!C103+'RECeff + REIamont (2)'!C113</f>
        <v>1.7569850571428569</v>
      </c>
      <c r="D114" s="20">
        <f>((D91+D92+D93)/1000*44/28*'(ne pas modifier) BDD_REF'!$B$231)+'RECeff + REIamont (2)'!D103+'RECeff + REIamont (2)'!D113</f>
        <v>1.760056057142857</v>
      </c>
      <c r="E114" s="20">
        <f>((E91+E92+E93)/1000*44/28*'(ne pas modifier) BDD_REF'!$B$231)+'RECeff + REIamont (2)'!E103+'RECeff + REIamont (2)'!E113</f>
        <v>1.763127057142857</v>
      </c>
      <c r="F114" s="20">
        <f>((F91+F92+F93)/1000*44/28*'(ne pas modifier) BDD_REF'!$B$231)+'RECeff + REIamont (2)'!F103+'RECeff + REIamont (2)'!F113</f>
        <v>1.766198057142857</v>
      </c>
      <c r="G114" s="20">
        <f>((G91+G92+G93)/1000*44/28*'(ne pas modifier) BDD_REF'!$B$231)+'RECeff + REIamont (2)'!G103+'RECeff + REIamont (2)'!G113</f>
        <v>1.7692690571428571</v>
      </c>
      <c r="H114" s="20">
        <f>((H91+H92+H93)/1000*44/28*'(ne pas modifier) BDD_REF'!$B$231)+'RECeff + REIamont (2)'!H103+'RECeff + REIamont (2)'!H113</f>
        <v>1.775411057142857</v>
      </c>
      <c r="I114" s="20">
        <f>((I91+I92+I93)/1000*44/28*'(ne pas modifier) BDD_REF'!$B$231)+'RECeff + REIamont (2)'!I103+'RECeff + REIamont (2)'!I113</f>
        <v>1.7569850571428569</v>
      </c>
      <c r="J114" s="20">
        <f>((J91+J92+J93)/1000*44/28*'(ne pas modifier) BDD_REF'!$B$231)+'RECeff + REIamont (2)'!J103+'RECeff + REIamont (2)'!J113</f>
        <v>1.760056057142857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14.108087457142856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93</v>
      </c>
      <c r="B115" s="7" t="s">
        <v>61</v>
      </c>
      <c r="C115" s="90">
        <v>100</v>
      </c>
      <c r="D115" s="90">
        <v>100</v>
      </c>
      <c r="E115" s="90">
        <v>100</v>
      </c>
      <c r="F115" s="90">
        <v>100</v>
      </c>
      <c r="G115" s="90">
        <v>100</v>
      </c>
      <c r="H115" s="90">
        <v>100</v>
      </c>
      <c r="I115" s="90">
        <v>100</v>
      </c>
      <c r="J115" s="90">
        <v>100</v>
      </c>
      <c r="K115" s="90"/>
      <c r="L115" s="90"/>
      <c r="M115" s="38">
        <f t="shared" si="10"/>
        <v>800</v>
      </c>
    </row>
    <row r="116" spans="1:108" x14ac:dyDescent="0.3">
      <c r="B116" s="7" t="s">
        <v>62</v>
      </c>
      <c r="C116" s="90">
        <v>20</v>
      </c>
      <c r="D116" s="90">
        <v>20</v>
      </c>
      <c r="E116" s="90">
        <v>20</v>
      </c>
      <c r="F116" s="90">
        <v>20</v>
      </c>
      <c r="G116" s="90">
        <v>20</v>
      </c>
      <c r="H116" s="90">
        <v>20</v>
      </c>
      <c r="I116" s="90">
        <v>20</v>
      </c>
      <c r="J116" s="90">
        <v>20</v>
      </c>
      <c r="K116" s="90"/>
      <c r="L116" s="90"/>
      <c r="M116" s="38">
        <f>SUM(C116:L116)</f>
        <v>160</v>
      </c>
    </row>
    <row r="117" spans="1:108" x14ac:dyDescent="0.3">
      <c r="B117" s="7" t="s">
        <v>63</v>
      </c>
      <c r="C117" s="88"/>
      <c r="D117" s="88"/>
      <c r="E117" s="88"/>
      <c r="F117" s="88"/>
      <c r="G117" s="88"/>
      <c r="H117" s="88"/>
      <c r="I117" s="88"/>
      <c r="J117" s="88"/>
      <c r="K117" s="89"/>
      <c r="L117" s="88"/>
      <c r="M117" s="38">
        <f t="shared" si="10"/>
        <v>0</v>
      </c>
    </row>
    <row r="118" spans="1:108" x14ac:dyDescent="0.3">
      <c r="B118" s="19" t="s">
        <v>64</v>
      </c>
      <c r="C118" s="38">
        <f>C115*'(ne pas modifier) BDD_REF'!$B$206 + (C116+C117)*'(ne pas modifier) BDD_REF'!$B$207</f>
        <v>1.7200000000000002</v>
      </c>
      <c r="D118" s="38">
        <f>D115*'(ne pas modifier) BDD_REF'!$B$206 + (D116+D117)*'(ne pas modifier) BDD_REF'!$B$207</f>
        <v>1.7200000000000002</v>
      </c>
      <c r="E118" s="38">
        <f>E115*'(ne pas modifier) BDD_REF'!$B$206 + (E116+E117)*'(ne pas modifier) BDD_REF'!$B$207</f>
        <v>1.7200000000000002</v>
      </c>
      <c r="F118" s="38">
        <f>F115*'(ne pas modifier) BDD_REF'!$B$206 + (F116+F117)*'(ne pas modifier) BDD_REF'!$B$207</f>
        <v>1.7200000000000002</v>
      </c>
      <c r="G118" s="38">
        <f>G115*'(ne pas modifier) BDD_REF'!$B$206 + (G116+G117)*'(ne pas modifier) BDD_REF'!$B$207</f>
        <v>1.7200000000000002</v>
      </c>
      <c r="H118" s="38">
        <f>H115*'(ne pas modifier) BDD_REF'!$B$206 + (H116+H117)*'(ne pas modifier) BDD_REF'!$B$207</f>
        <v>1.7200000000000002</v>
      </c>
      <c r="I118" s="38">
        <f>I115*'(ne pas modifier) BDD_REF'!$B$206 + (I116+I117)*'(ne pas modifier) BDD_REF'!$B$207</f>
        <v>1.7200000000000002</v>
      </c>
      <c r="J118" s="38">
        <f>J115*'(ne pas modifier) BDD_REF'!$B$206 + (J116+J117)*'(ne pas modifier) BDD_REF'!$B$207</f>
        <v>1.7200000000000002</v>
      </c>
      <c r="K118" s="38">
        <f>K115*'(ne pas modifier) BDD_REF'!$B$206 + (K116+K117)*'(ne pas modifier) BDD_REF'!$B$207</f>
        <v>0</v>
      </c>
      <c r="L118" s="38">
        <f>L115*'(ne pas modifier) BDD_REF'!$B$206 + (L116+L117)*'(ne pas modifier) BDD_REF'!$B$207</f>
        <v>0</v>
      </c>
      <c r="M118" s="38">
        <f t="shared" si="10"/>
        <v>13.760000000000003</v>
      </c>
    </row>
    <row r="119" spans="1:108" x14ac:dyDescent="0.3">
      <c r="B119" s="19" t="s">
        <v>65</v>
      </c>
      <c r="C119" s="38">
        <f>((C115*'(ne pas modifier) BDD_REF'!$B$219)+('RECeff + REIamont (2)'!C116+'RECeff + REIamont (2)'!C117)*'(ne pas modifier) BDD_REF'!$B$220)*'(ne pas modifier) BDD_REF'!$B$208</f>
        <v>0.152</v>
      </c>
      <c r="D119" s="38">
        <f>((D115*'(ne pas modifier) BDD_REF'!$B$219)+('RECeff + REIamont (2)'!D116+'RECeff + REIamont (2)'!D117)*'(ne pas modifier) BDD_REF'!$B$220)*'(ne pas modifier) BDD_REF'!$B$208</f>
        <v>0.152</v>
      </c>
      <c r="E119" s="38">
        <f>((E115*'(ne pas modifier) BDD_REF'!$B$219)+('RECeff + REIamont (2)'!E116+'RECeff + REIamont (2)'!E117)*'(ne pas modifier) BDD_REF'!$B$220)*'(ne pas modifier) BDD_REF'!$B$208</f>
        <v>0.152</v>
      </c>
      <c r="F119" s="38">
        <f>((F115*'(ne pas modifier) BDD_REF'!$B$219)+('RECeff + REIamont (2)'!F116+'RECeff + REIamont (2)'!F117)*'(ne pas modifier) BDD_REF'!$B$220)*'(ne pas modifier) BDD_REF'!$B$208</f>
        <v>0.152</v>
      </c>
      <c r="G119" s="38">
        <f>((G115*'(ne pas modifier) BDD_REF'!$B$219)+('RECeff + REIamont (2)'!G116+'RECeff + REIamont (2)'!G117)*'(ne pas modifier) BDD_REF'!$B$220)*'(ne pas modifier) BDD_REF'!$B$208</f>
        <v>0.152</v>
      </c>
      <c r="H119" s="38">
        <f>((H115*'(ne pas modifier) BDD_REF'!$B$219)+('RECeff + REIamont (2)'!H116+'RECeff + REIamont (2)'!H117)*'(ne pas modifier) BDD_REF'!$B$220)*'(ne pas modifier) BDD_REF'!$B$208</f>
        <v>0.152</v>
      </c>
      <c r="I119" s="38">
        <f>((I115*'(ne pas modifier) BDD_REF'!$B$219)+('RECeff + REIamont (2)'!I116+'RECeff + REIamont (2)'!I117)*'(ne pas modifier) BDD_REF'!$B$220)*'(ne pas modifier) BDD_REF'!$B$208</f>
        <v>0.152</v>
      </c>
      <c r="J119" s="38">
        <f>((J115*'(ne pas modifier) BDD_REF'!$B$219)+('RECeff + REIamont (2)'!J116+'RECeff + REIamont (2)'!J117)*'(ne pas modifier) BDD_REF'!$B$220)*'(ne pas modifier) BDD_REF'!$B$208</f>
        <v>0.152</v>
      </c>
      <c r="K119" s="38">
        <f>((K115*'(ne pas modifier) BDD_REF'!$B$219)+('RECeff + REIamont (2)'!K116+'RECeff + REIamont (2)'!K117)*'(ne pas modifier) BDD_REF'!$B$220)*'(ne pas modifier) BDD_REF'!$B$208</f>
        <v>0</v>
      </c>
      <c r="L119" s="38">
        <f>((L115*'(ne pas modifier) BDD_REF'!$B$219)+('RECeff + REIamont (2)'!L116+'RECeff + REIamont (2)'!L117)*'(ne pas modifier) BDD_REF'!$B$220)*'(ne pas modifier) BDD_REF'!$B$208</f>
        <v>0</v>
      </c>
      <c r="M119" s="38">
        <f t="shared" si="10"/>
        <v>1.216</v>
      </c>
    </row>
    <row r="120" spans="1:108" x14ac:dyDescent="0.3">
      <c r="B120" s="19" t="s">
        <v>66</v>
      </c>
      <c r="C120" s="38">
        <f>(C115+C116+C117)*'(ne pas modifier) BDD_REF'!$B$221*'(ne pas modifier) BDD_REF'!$B$209</f>
        <v>0.31679999999999997</v>
      </c>
      <c r="D120" s="38">
        <f>(D115+D116+D117)*'(ne pas modifier) BDD_REF'!$B$221*'(ne pas modifier) BDD_REF'!$B$209</f>
        <v>0.31679999999999997</v>
      </c>
      <c r="E120" s="38">
        <f>(E115+E116+E117)*'(ne pas modifier) BDD_REF'!$B$221*'(ne pas modifier) BDD_REF'!$B$209</f>
        <v>0.31679999999999997</v>
      </c>
      <c r="F120" s="38">
        <f>(F115+F116+F117)*'(ne pas modifier) BDD_REF'!$B$221*'(ne pas modifier) BDD_REF'!$B$209</f>
        <v>0.31679999999999997</v>
      </c>
      <c r="G120" s="38">
        <f>(G115+G116+G117)*'(ne pas modifier) BDD_REF'!$B$221*'(ne pas modifier) BDD_REF'!$B$209</f>
        <v>0.31679999999999997</v>
      </c>
      <c r="H120" s="38">
        <f>(H115+H116+H117)*'(ne pas modifier) BDD_REF'!$B$221*'(ne pas modifier) BDD_REF'!$B$209</f>
        <v>0.31679999999999997</v>
      </c>
      <c r="I120" s="38">
        <f>(I115+I116+I117)*'(ne pas modifier) BDD_REF'!$B$221*'(ne pas modifier) BDD_REF'!$B$209</f>
        <v>0.31679999999999997</v>
      </c>
      <c r="J120" s="38">
        <f>(J115+J116+J117)*'(ne pas modifier) BDD_REF'!$B$221*'(ne pas modifier) BDD_REF'!$B$209</f>
        <v>0.31679999999999997</v>
      </c>
      <c r="K120" s="38">
        <f>(K115+K116+K117)*'(ne pas modifier) BDD_REF'!$B$221*'(ne pas modifier) BDD_REF'!$B$209</f>
        <v>0</v>
      </c>
      <c r="L120" s="38">
        <f>(L115+L116+L117)*'(ne pas modifier) BDD_REF'!$B$221*'(ne pas modifier) BDD_REF'!$B$209</f>
        <v>0</v>
      </c>
      <c r="M120" s="38">
        <f t="shared" si="10"/>
        <v>2.5343999999999998</v>
      </c>
    </row>
    <row r="121" spans="1:108" x14ac:dyDescent="0.3">
      <c r="B121" s="7" t="s">
        <v>67</v>
      </c>
      <c r="C121" s="90"/>
      <c r="D121" s="90"/>
      <c r="E121" s="90"/>
      <c r="F121" s="90"/>
      <c r="G121" s="90"/>
      <c r="H121" s="90"/>
      <c r="I121" s="90"/>
      <c r="J121" s="90"/>
      <c r="K121" s="90"/>
      <c r="L121" s="88"/>
      <c r="M121" s="38">
        <f t="shared" si="10"/>
        <v>0</v>
      </c>
    </row>
    <row r="122" spans="1:108" x14ac:dyDescent="0.3">
      <c r="B122" s="7" t="s">
        <v>68</v>
      </c>
      <c r="C122" s="90">
        <v>100</v>
      </c>
      <c r="D122" s="90">
        <v>100</v>
      </c>
      <c r="E122" s="90">
        <v>100</v>
      </c>
      <c r="F122" s="90">
        <v>100</v>
      </c>
      <c r="G122" s="90">
        <v>100</v>
      </c>
      <c r="H122" s="90">
        <v>100</v>
      </c>
      <c r="I122" s="90">
        <v>100</v>
      </c>
      <c r="J122" s="90">
        <v>100</v>
      </c>
      <c r="K122" s="90"/>
      <c r="L122" s="90"/>
      <c r="M122" s="38">
        <f t="shared" si="10"/>
        <v>800</v>
      </c>
    </row>
    <row r="123" spans="1:108" x14ac:dyDescent="0.3">
      <c r="B123" s="7" t="s">
        <v>69</v>
      </c>
      <c r="C123" s="90"/>
      <c r="D123" s="90"/>
      <c r="E123" s="90"/>
      <c r="F123" s="90"/>
      <c r="G123" s="90"/>
      <c r="H123" s="90"/>
      <c r="I123" s="90"/>
      <c r="J123" s="90"/>
      <c r="K123" s="90"/>
      <c r="L123" s="88"/>
      <c r="M123" s="38">
        <f t="shared" si="10"/>
        <v>0</v>
      </c>
    </row>
    <row r="124" spans="1:108" x14ac:dyDescent="0.3">
      <c r="B124" s="7" t="s">
        <v>70</v>
      </c>
      <c r="C124" s="90"/>
      <c r="D124" s="90"/>
      <c r="E124" s="90"/>
      <c r="F124" s="90"/>
      <c r="G124" s="90"/>
      <c r="H124" s="90"/>
      <c r="I124" s="90"/>
      <c r="J124" s="90"/>
      <c r="K124" s="90"/>
      <c r="L124" s="88"/>
      <c r="M124" s="38">
        <f t="shared" si="10"/>
        <v>0</v>
      </c>
    </row>
    <row r="125" spans="1:108" x14ac:dyDescent="0.3">
      <c r="B125" s="7" t="s">
        <v>71</v>
      </c>
      <c r="C125" s="90"/>
      <c r="D125" s="90"/>
      <c r="E125" s="90"/>
      <c r="F125" s="90"/>
      <c r="G125" s="90"/>
      <c r="H125" s="90"/>
      <c r="I125" s="90"/>
      <c r="J125" s="90"/>
      <c r="K125" s="90"/>
      <c r="L125" s="88"/>
      <c r="M125" s="38">
        <f t="shared" si="10"/>
        <v>0</v>
      </c>
    </row>
    <row r="126" spans="1:108" x14ac:dyDescent="0.3">
      <c r="B126" s="7" t="s">
        <v>72</v>
      </c>
      <c r="C126" s="90"/>
      <c r="D126" s="90"/>
      <c r="E126" s="90"/>
      <c r="F126" s="90"/>
      <c r="G126" s="90"/>
      <c r="H126" s="90"/>
      <c r="I126" s="90"/>
      <c r="J126" s="90"/>
      <c r="K126" s="90"/>
      <c r="L126" s="88"/>
      <c r="M126" s="38">
        <f t="shared" si="10"/>
        <v>0</v>
      </c>
    </row>
    <row r="127" spans="1:108" x14ac:dyDescent="0.3">
      <c r="B127" s="3" t="s">
        <v>73</v>
      </c>
      <c r="C127" s="38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38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0.30709999999999998</v>
      </c>
      <c r="E127" s="38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0.30709999999999998</v>
      </c>
      <c r="F127" s="38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0.30709999999999998</v>
      </c>
      <c r="G127" s="38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0.30709999999999998</v>
      </c>
      <c r="H127" s="38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0.30709999999999998</v>
      </c>
      <c r="I127" s="38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0.30709999999999998</v>
      </c>
      <c r="J127" s="38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0.30709999999999998</v>
      </c>
      <c r="K127" s="38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8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8">
        <f t="shared" si="10"/>
        <v>2.4567999999999999</v>
      </c>
    </row>
    <row r="128" spans="1:108" x14ac:dyDescent="0.3">
      <c r="B128" s="7" t="s">
        <v>74</v>
      </c>
      <c r="C128" s="90">
        <v>2200</v>
      </c>
      <c r="D128" s="90">
        <v>2200</v>
      </c>
      <c r="E128" s="90">
        <v>2200</v>
      </c>
      <c r="F128" s="90">
        <v>2200</v>
      </c>
      <c r="G128" s="90">
        <v>2200</v>
      </c>
      <c r="H128" s="90">
        <v>2200</v>
      </c>
      <c r="I128" s="90">
        <v>2200</v>
      </c>
      <c r="J128" s="90">
        <v>2200</v>
      </c>
      <c r="K128" s="90"/>
      <c r="L128" s="90"/>
      <c r="M128" s="38">
        <f t="shared" si="10"/>
        <v>17600</v>
      </c>
    </row>
    <row r="129" spans="1:108" x14ac:dyDescent="0.3">
      <c r="B129" s="3" t="s">
        <v>75</v>
      </c>
      <c r="C129" s="38">
        <f>(C128*'(ne pas modifier) BDD_REF'!$B$210)/1000</f>
        <v>0.12540000000000001</v>
      </c>
      <c r="D129" s="38">
        <f>(D128*'(ne pas modifier) BDD_REF'!$B$210)/1000</f>
        <v>0.12540000000000001</v>
      </c>
      <c r="E129" s="38">
        <f>(E128*'(ne pas modifier) BDD_REF'!$B$210)/1000</f>
        <v>0.12540000000000001</v>
      </c>
      <c r="F129" s="38">
        <f>(F128*'(ne pas modifier) BDD_REF'!$B$210)/1000</f>
        <v>0.12540000000000001</v>
      </c>
      <c r="G129" s="38">
        <f>(G128*'(ne pas modifier) BDD_REF'!$B$210)/1000</f>
        <v>0.12540000000000001</v>
      </c>
      <c r="H129" s="38">
        <f>(H128*'(ne pas modifier) BDD_REF'!$B$210)/1000</f>
        <v>0.12540000000000001</v>
      </c>
      <c r="I129" s="38">
        <f>(I128*'(ne pas modifier) BDD_REF'!$B$210)/1000</f>
        <v>0.12540000000000001</v>
      </c>
      <c r="J129" s="38">
        <f>(J128*'(ne pas modifier) BDD_REF'!$B$210)/1000</f>
        <v>0.12540000000000001</v>
      </c>
      <c r="K129" s="38">
        <f>(K128*'(ne pas modifier) BDD_REF'!$B$210)/1000</f>
        <v>0</v>
      </c>
      <c r="L129" s="38">
        <f>(L128*'(ne pas modifier) BDD_REF'!$B$210)/1000</f>
        <v>0</v>
      </c>
      <c r="M129" s="38">
        <f t="shared" si="10"/>
        <v>1.0031999999999999</v>
      </c>
    </row>
    <row r="130" spans="1:108" s="16" customFormat="1" x14ac:dyDescent="0.3">
      <c r="A130" s="18"/>
      <c r="B130" s="19" t="s">
        <v>76</v>
      </c>
      <c r="C130" s="79">
        <f>C127+C129</f>
        <v>0.4325</v>
      </c>
      <c r="D130" s="79">
        <f t="shared" ref="D130:L130" si="12">D127+D129</f>
        <v>0.4325</v>
      </c>
      <c r="E130" s="79">
        <f t="shared" si="12"/>
        <v>0.4325</v>
      </c>
      <c r="F130" s="79">
        <f t="shared" si="12"/>
        <v>0.4325</v>
      </c>
      <c r="G130" s="79">
        <f t="shared" si="12"/>
        <v>0.4325</v>
      </c>
      <c r="H130" s="79">
        <f t="shared" si="12"/>
        <v>0.4325</v>
      </c>
      <c r="I130" s="79">
        <f t="shared" si="12"/>
        <v>0.4325</v>
      </c>
      <c r="J130" s="79">
        <f t="shared" si="12"/>
        <v>0.4325</v>
      </c>
      <c r="K130" s="79">
        <f t="shared" si="12"/>
        <v>0</v>
      </c>
      <c r="L130" s="79">
        <f t="shared" si="12"/>
        <v>0</v>
      </c>
      <c r="M130" s="38">
        <f t="shared" si="10"/>
        <v>3.4600000000000004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77</v>
      </c>
      <c r="C131" s="90">
        <v>50</v>
      </c>
      <c r="D131" s="90">
        <v>50</v>
      </c>
      <c r="E131" s="90">
        <v>50</v>
      </c>
      <c r="F131" s="90">
        <v>50</v>
      </c>
      <c r="G131" s="90">
        <v>50</v>
      </c>
      <c r="H131" s="90">
        <v>50</v>
      </c>
      <c r="I131" s="90">
        <v>50</v>
      </c>
      <c r="J131" s="90">
        <v>50</v>
      </c>
      <c r="K131" s="90"/>
      <c r="L131" s="90"/>
      <c r="M131" s="38">
        <f t="shared" si="10"/>
        <v>400</v>
      </c>
    </row>
    <row r="132" spans="1:108" x14ac:dyDescent="0.3">
      <c r="B132" s="7" t="s">
        <v>78</v>
      </c>
      <c r="C132" s="90">
        <v>150</v>
      </c>
      <c r="D132" s="90">
        <v>150</v>
      </c>
      <c r="E132" s="90">
        <v>150</v>
      </c>
      <c r="F132" s="90">
        <v>150</v>
      </c>
      <c r="G132" s="90">
        <v>150</v>
      </c>
      <c r="H132" s="90">
        <v>150</v>
      </c>
      <c r="I132" s="90">
        <v>150</v>
      </c>
      <c r="J132" s="90">
        <v>150</v>
      </c>
      <c r="K132" s="90"/>
      <c r="L132" s="90"/>
      <c r="M132" s="38">
        <f t="shared" si="10"/>
        <v>1200</v>
      </c>
    </row>
    <row r="133" spans="1:108" x14ac:dyDescent="0.3">
      <c r="B133" s="3" t="s">
        <v>79</v>
      </c>
      <c r="C133" s="38">
        <f>(C115*'(ne pas modifier) BDD_REF'!$B$211+'RECeff + REIamont (2)'!C131*'(ne pas modifier) BDD_REF'!$B$212+'RECeff + REIamont (2)'!C132*'(ne pas modifier) BDD_REF'!$B$213)/1000</f>
        <v>0.63</v>
      </c>
      <c r="D133" s="38">
        <f>(D115*'(ne pas modifier) BDD_REF'!$B$211+'RECeff + REIamont (2)'!D131*'(ne pas modifier) BDD_REF'!$B$212+'RECeff + REIamont (2)'!D132*'(ne pas modifier) BDD_REF'!$B$213)/1000</f>
        <v>0.63</v>
      </c>
      <c r="E133" s="38">
        <f>(E115*'(ne pas modifier) BDD_REF'!$B$211+'RECeff + REIamont (2)'!E131*'(ne pas modifier) BDD_REF'!$B$212+'RECeff + REIamont (2)'!E132*'(ne pas modifier) BDD_REF'!$B$213)/1000</f>
        <v>0.63</v>
      </c>
      <c r="F133" s="38">
        <f>(F115*'(ne pas modifier) BDD_REF'!$B$211+'RECeff + REIamont (2)'!F131*'(ne pas modifier) BDD_REF'!$B$212+'RECeff + REIamont (2)'!F132*'(ne pas modifier) BDD_REF'!$B$213)/1000</f>
        <v>0.63</v>
      </c>
      <c r="G133" s="38">
        <f>(G115*'(ne pas modifier) BDD_REF'!$B$211+'RECeff + REIamont (2)'!G131*'(ne pas modifier) BDD_REF'!$B$212+'RECeff + REIamont (2)'!G132*'(ne pas modifier) BDD_REF'!$B$213)/1000</f>
        <v>0.63</v>
      </c>
      <c r="H133" s="38">
        <f>(H115*'(ne pas modifier) BDD_REF'!$B$211+'RECeff + REIamont (2)'!H131*'(ne pas modifier) BDD_REF'!$B$212+'RECeff + REIamont (2)'!H132*'(ne pas modifier) BDD_REF'!$B$213)/1000</f>
        <v>0.63</v>
      </c>
      <c r="I133" s="38">
        <f>(I115*'(ne pas modifier) BDD_REF'!$B$211+'RECeff + REIamont (2)'!I131*'(ne pas modifier) BDD_REF'!$B$212+'RECeff + REIamont (2)'!I132*'(ne pas modifier) BDD_REF'!$B$213)/1000</f>
        <v>0.63</v>
      </c>
      <c r="J133" s="38">
        <f>(J115*'(ne pas modifier) BDD_REF'!$B$211+'RECeff + REIamont (2)'!J131*'(ne pas modifier) BDD_REF'!$B$212+'RECeff + REIamont (2)'!J132*'(ne pas modifier) BDD_REF'!$B$213)/1000</f>
        <v>0.63</v>
      </c>
      <c r="K133" s="38">
        <f>(K115*'(ne pas modifier) BDD_REF'!$B$211+'RECeff + REIamont (2)'!K131*'(ne pas modifier) BDD_REF'!$B$212+'RECeff + REIamont (2)'!K132*'(ne pas modifier) BDD_REF'!$B$213)/1000</f>
        <v>0</v>
      </c>
      <c r="L133" s="38">
        <f>(L115*'(ne pas modifier) BDD_REF'!$B$211+'RECeff + REIamont (2)'!L131*'(ne pas modifier) BDD_REF'!$B$212+'RECeff + REIamont (2)'!L132*'(ne pas modifier) BDD_REF'!$B$213)/1000</f>
        <v>0</v>
      </c>
      <c r="M133" s="38">
        <f t="shared" si="10"/>
        <v>5.04</v>
      </c>
    </row>
    <row r="134" spans="1:108" hidden="1" x14ac:dyDescent="0.3">
      <c r="A134" s="17" t="s">
        <v>90</v>
      </c>
      <c r="B134" s="3" t="s">
        <v>80</v>
      </c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38">
        <f t="shared" si="10"/>
        <v>0</v>
      </c>
    </row>
    <row r="135" spans="1:108" x14ac:dyDescent="0.3">
      <c r="B135" s="7" t="s">
        <v>82</v>
      </c>
      <c r="C135" s="90">
        <v>1</v>
      </c>
      <c r="D135" s="90">
        <v>1</v>
      </c>
      <c r="E135" s="90">
        <v>1</v>
      </c>
      <c r="F135" s="90">
        <v>1</v>
      </c>
      <c r="G135" s="90">
        <v>1</v>
      </c>
      <c r="H135" s="90">
        <v>1</v>
      </c>
      <c r="I135" s="90">
        <v>1</v>
      </c>
      <c r="J135" s="90">
        <v>1</v>
      </c>
      <c r="K135" s="90"/>
      <c r="L135" s="90"/>
      <c r="M135" s="38">
        <f t="shared" ref="M135:M142" si="13">SUM(C135:L135)</f>
        <v>8</v>
      </c>
    </row>
    <row r="136" spans="1:108" x14ac:dyDescent="0.3">
      <c r="B136" s="7" t="s">
        <v>83</v>
      </c>
      <c r="C136" s="90">
        <v>0.72</v>
      </c>
      <c r="D136" s="90">
        <v>0.72</v>
      </c>
      <c r="E136" s="90">
        <v>0.72</v>
      </c>
      <c r="F136" s="90">
        <v>0.72</v>
      </c>
      <c r="G136" s="90">
        <v>0.72</v>
      </c>
      <c r="H136" s="90">
        <v>0.72</v>
      </c>
      <c r="I136" s="90">
        <v>0.72</v>
      </c>
      <c r="J136" s="90">
        <v>0.72</v>
      </c>
      <c r="K136" s="90"/>
      <c r="L136" s="90"/>
      <c r="M136" s="38">
        <f t="shared" si="13"/>
        <v>5.7599999999999989</v>
      </c>
    </row>
    <row r="137" spans="1:108" x14ac:dyDescent="0.3">
      <c r="B137" s="7" t="s">
        <v>84</v>
      </c>
      <c r="C137" s="90">
        <v>1</v>
      </c>
      <c r="D137" s="90">
        <v>1</v>
      </c>
      <c r="E137" s="90">
        <v>1</v>
      </c>
      <c r="F137" s="90">
        <v>1</v>
      </c>
      <c r="G137" s="90">
        <v>1</v>
      </c>
      <c r="H137" s="90">
        <v>1</v>
      </c>
      <c r="I137" s="90">
        <v>1</v>
      </c>
      <c r="J137" s="90">
        <v>1</v>
      </c>
      <c r="K137" s="90"/>
      <c r="L137" s="90"/>
      <c r="M137" s="38">
        <f t="shared" si="13"/>
        <v>8</v>
      </c>
    </row>
    <row r="138" spans="1:108" x14ac:dyDescent="0.3">
      <c r="B138" s="7" t="s">
        <v>85</v>
      </c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38">
        <f t="shared" si="13"/>
        <v>0</v>
      </c>
    </row>
    <row r="139" spans="1:108" x14ac:dyDescent="0.3">
      <c r="B139" s="3" t="s">
        <v>86</v>
      </c>
      <c r="C139" s="38">
        <f>(C135*'(ne pas modifier) BDD_REF'!$B$214+'RECeff + REIamont (2)'!C136*'(ne pas modifier) BDD_REF'!$B$215+'RECeff + REIamont (2)'!C137*'(ne pas modifier) BDD_REF'!$B$216+'RECeff + REIamont (2)'!C138*'(ne pas modifier) BDD_REF'!$B$217)/1000</f>
        <v>3.7612199999999998E-2</v>
      </c>
      <c r="D139" s="38">
        <f>(D135*'(ne pas modifier) BDD_REF'!$B$214+'RECeff + REIamont (2)'!D136*'(ne pas modifier) BDD_REF'!$B$215+'RECeff + REIamont (2)'!D137*'(ne pas modifier) BDD_REF'!$B$216+'RECeff + REIamont (2)'!D138*'(ne pas modifier) BDD_REF'!$B$217)/1000</f>
        <v>3.7612199999999998E-2</v>
      </c>
      <c r="E139" s="38">
        <f>(E135*'(ne pas modifier) BDD_REF'!$B$214+'RECeff + REIamont (2)'!E136*'(ne pas modifier) BDD_REF'!$B$215+'RECeff + REIamont (2)'!E137*'(ne pas modifier) BDD_REF'!$B$216+'RECeff + REIamont (2)'!E138*'(ne pas modifier) BDD_REF'!$B$217)/1000</f>
        <v>3.7612199999999998E-2</v>
      </c>
      <c r="F139" s="38">
        <f>(F135*'(ne pas modifier) BDD_REF'!$B$214+'RECeff + REIamont (2)'!F136*'(ne pas modifier) BDD_REF'!$B$215+'RECeff + REIamont (2)'!F137*'(ne pas modifier) BDD_REF'!$B$216+'RECeff + REIamont (2)'!F138*'(ne pas modifier) BDD_REF'!$B$217)/1000</f>
        <v>3.7612199999999998E-2</v>
      </c>
      <c r="G139" s="38">
        <f>(G135*'(ne pas modifier) BDD_REF'!$B$214+'RECeff + REIamont (2)'!G136*'(ne pas modifier) BDD_REF'!$B$215+'RECeff + REIamont (2)'!G137*'(ne pas modifier) BDD_REF'!$B$216+'RECeff + REIamont (2)'!G138*'(ne pas modifier) BDD_REF'!$B$217)/1000</f>
        <v>3.7612199999999998E-2</v>
      </c>
      <c r="H139" s="38">
        <f>(H135*'(ne pas modifier) BDD_REF'!$B$214+'RECeff + REIamont (2)'!H136*'(ne pas modifier) BDD_REF'!$B$215+'RECeff + REIamont (2)'!H137*'(ne pas modifier) BDD_REF'!$B$216+'RECeff + REIamont (2)'!H138*'(ne pas modifier) BDD_REF'!$B$217)/1000</f>
        <v>3.7612199999999998E-2</v>
      </c>
      <c r="I139" s="38">
        <f>(I135*'(ne pas modifier) BDD_REF'!$B$214+'RECeff + REIamont (2)'!I136*'(ne pas modifier) BDD_REF'!$B$215+'RECeff + REIamont (2)'!I137*'(ne pas modifier) BDD_REF'!$B$216+'RECeff + REIamont (2)'!I138*'(ne pas modifier) BDD_REF'!$B$217)/1000</f>
        <v>3.7612199999999998E-2</v>
      </c>
      <c r="J139" s="38">
        <f>(J135*'(ne pas modifier) BDD_REF'!$B$214+'RECeff + REIamont (2)'!J136*'(ne pas modifier) BDD_REF'!$B$215+'RECeff + REIamont (2)'!J137*'(ne pas modifier) BDD_REF'!$B$216+'RECeff + REIamont (2)'!J138*'(ne pas modifier) BDD_REF'!$B$217)/1000</f>
        <v>3.7612199999999998E-2</v>
      </c>
      <c r="K139" s="38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8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8">
        <f t="shared" si="13"/>
        <v>0.30089759999999993</v>
      </c>
    </row>
    <row r="140" spans="1:108" s="16" customFormat="1" x14ac:dyDescent="0.3">
      <c r="A140" s="18"/>
      <c r="B140" s="19" t="s">
        <v>87</v>
      </c>
      <c r="C140" s="79">
        <f>C133+C134+C139</f>
        <v>0.66761219999999999</v>
      </c>
      <c r="D140" s="79">
        <f t="shared" ref="D140:L140" si="14">D133+D134+D139</f>
        <v>0.66761219999999999</v>
      </c>
      <c r="E140" s="79">
        <f t="shared" si="14"/>
        <v>0.66761219999999999</v>
      </c>
      <c r="F140" s="79">
        <f t="shared" si="14"/>
        <v>0.66761219999999999</v>
      </c>
      <c r="G140" s="79">
        <f t="shared" si="14"/>
        <v>0.66761219999999999</v>
      </c>
      <c r="H140" s="79">
        <f t="shared" si="14"/>
        <v>0.66761219999999999</v>
      </c>
      <c r="I140" s="79">
        <f t="shared" si="14"/>
        <v>0.66761219999999999</v>
      </c>
      <c r="J140" s="79">
        <f t="shared" si="14"/>
        <v>0.66761219999999999</v>
      </c>
      <c r="K140" s="79">
        <f t="shared" si="14"/>
        <v>0</v>
      </c>
      <c r="L140" s="79">
        <f t="shared" si="14"/>
        <v>0</v>
      </c>
      <c r="M140" s="38">
        <f t="shared" si="13"/>
        <v>5.340897599999999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88</v>
      </c>
      <c r="C141" s="20">
        <f>((C118+C119+C120)/1000*44/28*'(ne pas modifier) BDD_REF'!$B$231)+'RECeff + REIamont (2)'!C130+'RECeff + REIamont (2)'!C140</f>
        <v>2.0115910571428572</v>
      </c>
      <c r="D141" s="20">
        <f>((D118+D119+D120)/1000*44/28*'(ne pas modifier) BDD_REF'!$B$231)+'RECeff + REIamont (2)'!D130+'RECeff + REIamont (2)'!D140</f>
        <v>2.0115910571428572</v>
      </c>
      <c r="E141" s="20">
        <f>((E118+E119+E120)/1000*44/28*'(ne pas modifier) BDD_REF'!$B$231)+'RECeff + REIamont (2)'!E130+'RECeff + REIamont (2)'!E140</f>
        <v>2.0115910571428572</v>
      </c>
      <c r="F141" s="20">
        <f>((F118+F119+F120)/1000*44/28*'(ne pas modifier) BDD_REF'!$B$231)+'RECeff + REIamont (2)'!F130+'RECeff + REIamont (2)'!F140</f>
        <v>2.0115910571428572</v>
      </c>
      <c r="G141" s="20">
        <f>((G118+G119+G120)/1000*44/28*'(ne pas modifier) BDD_REF'!$B$231)+'RECeff + REIamont (2)'!G130+'RECeff + REIamont (2)'!G140</f>
        <v>2.0115910571428572</v>
      </c>
      <c r="H141" s="20">
        <f>((H118+H119+H120)/1000*44/28*'(ne pas modifier) BDD_REF'!$B$231)+'RECeff + REIamont (2)'!H130+'RECeff + REIamont (2)'!H140</f>
        <v>2.0115910571428572</v>
      </c>
      <c r="I141" s="20">
        <f>((I118+I119+I120)/1000*44/28*'(ne pas modifier) BDD_REF'!$B$231)+'RECeff + REIamont (2)'!I130+'RECeff + REIamont (2)'!I140</f>
        <v>2.0115910571428572</v>
      </c>
      <c r="J141" s="20">
        <f>((J118+J119+J120)/1000*44/28*'(ne pas modifier) BDD_REF'!$B$231)+'RECeff + REIamont (2)'!J130+'RECeff + REIamont (2)'!J140</f>
        <v>2.0115910571428572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16.092728457142858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0" t="s">
        <v>94</v>
      </c>
      <c r="C142" s="70">
        <f>C33+C60+C87+C114+C141</f>
        <v>7.0842855414285708</v>
      </c>
      <c r="D142" s="70">
        <f t="shared" ref="D142:L142" si="15">D33+D60+D87+D114+D141</f>
        <v>7.0873565414285711</v>
      </c>
      <c r="E142" s="70">
        <f t="shared" si="15"/>
        <v>7.0904275414285713</v>
      </c>
      <c r="F142" s="70">
        <f t="shared" si="15"/>
        <v>7.0934985414285716</v>
      </c>
      <c r="G142" s="70">
        <f t="shared" si="15"/>
        <v>7.0965695414285719</v>
      </c>
      <c r="H142" s="70">
        <f t="shared" si="15"/>
        <v>7.1027115414285706</v>
      </c>
      <c r="I142" s="70">
        <f t="shared" si="15"/>
        <v>7.0842855414285708</v>
      </c>
      <c r="J142" s="70">
        <f t="shared" si="15"/>
        <v>7.0873565414285711</v>
      </c>
      <c r="K142" s="70">
        <f t="shared" si="15"/>
        <v>0</v>
      </c>
      <c r="L142" s="70">
        <f t="shared" si="15"/>
        <v>0</v>
      </c>
      <c r="M142" s="70">
        <f t="shared" si="13"/>
        <v>56.726491331428569</v>
      </c>
    </row>
    <row r="143" spans="1:108" x14ac:dyDescent="0.3">
      <c r="B143" s="70" t="s">
        <v>95</v>
      </c>
      <c r="C143" s="70">
        <f>(C142-C5*5)</f>
        <v>1.7255918047120877</v>
      </c>
      <c r="D143" s="70">
        <f t="shared" ref="D143:L143" si="16">(D142-D5*5)</f>
        <v>1.728662804712088</v>
      </c>
      <c r="E143" s="70">
        <f t="shared" si="16"/>
        <v>1.7317338047120883</v>
      </c>
      <c r="F143" s="70">
        <f t="shared" si="16"/>
        <v>1.7348048047120885</v>
      </c>
      <c r="G143" s="70">
        <f t="shared" si="16"/>
        <v>1.7378758047120888</v>
      </c>
      <c r="H143" s="70">
        <f t="shared" si="16"/>
        <v>1.7440178047120876</v>
      </c>
      <c r="I143" s="70">
        <f t="shared" si="16"/>
        <v>1.7255918047120877</v>
      </c>
      <c r="J143" s="70">
        <f t="shared" si="16"/>
        <v>1.728662804712088</v>
      </c>
      <c r="K143" s="70">
        <f t="shared" si="16"/>
        <v>0</v>
      </c>
      <c r="L143" s="70">
        <f t="shared" si="16"/>
        <v>0</v>
      </c>
      <c r="M143" s="70"/>
    </row>
    <row r="144" spans="1:108" x14ac:dyDescent="0.3">
      <c r="B144" s="21" t="s">
        <v>96</v>
      </c>
      <c r="C144" s="21">
        <f>C143*Eligibilité_projet!B8</f>
        <v>9.5080108439636035</v>
      </c>
      <c r="D144" s="21">
        <f>D143*Eligibilité_projet!C8</f>
        <v>25.636069393880266</v>
      </c>
      <c r="E144" s="21">
        <f>E143*Eligibilité_projet!D8</f>
        <v>0.62342416969635173</v>
      </c>
      <c r="F144" s="21">
        <f>F143*Eligibilité_projet!E8</f>
        <v>1.387843843769671</v>
      </c>
      <c r="G144" s="21">
        <f>G143*Eligibilité_projet!F8</f>
        <v>4.2577957215446176</v>
      </c>
      <c r="H144" s="21">
        <f>H143*Eligibilité_projet!G8</f>
        <v>15.260155791230765</v>
      </c>
      <c r="I144" s="21">
        <f>I143*Eligibilité_projet!H8</f>
        <v>5.8842680540682197</v>
      </c>
      <c r="J144" s="21">
        <f>J143*Eligibilité_projet!I8</f>
        <v>1.4520767559581538</v>
      </c>
      <c r="K144" s="21">
        <f>K143*Eligibilité_projet!J8</f>
        <v>0</v>
      </c>
      <c r="L144" s="21">
        <f>L143*Eligibilité_projet!K8</f>
        <v>0</v>
      </c>
      <c r="M144" s="21">
        <f>SUM(C144:L144)</f>
        <v>64.009644574111647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zoomScale="70" zoomScaleNormal="70" workbookViewId="0">
      <selection activeCell="F58" sqref="F58"/>
    </sheetView>
  </sheetViews>
  <sheetFormatPr baseColWidth="10" defaultColWidth="11.44140625" defaultRowHeight="14.4" x14ac:dyDescent="0.3"/>
  <cols>
    <col min="1" max="1" width="32.5546875" customWidth="1"/>
    <col min="2" max="2" width="71.6640625" style="33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4" t="s">
        <v>97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4" spans="1:16" customFormat="1" ht="28.8" x14ac:dyDescent="0.3">
      <c r="B4" s="33"/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54</v>
      </c>
      <c r="N4" s="2"/>
      <c r="O4" s="2"/>
      <c r="P4" s="2"/>
    </row>
    <row r="5" spans="1:16" x14ac:dyDescent="0.3">
      <c r="A5" s="13" t="s">
        <v>98</v>
      </c>
      <c r="B5" s="7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22">
        <f t="shared" ref="M5:M20" si="0">SUM(C5:L5)</f>
        <v>0</v>
      </c>
    </row>
    <row r="6" spans="1:16" x14ac:dyDescent="0.3">
      <c r="B6" s="7" t="s">
        <v>100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22">
        <f t="shared" si="0"/>
        <v>0</v>
      </c>
    </row>
    <row r="7" spans="1:16" ht="28.8" x14ac:dyDescent="0.3">
      <c r="B7" s="7" t="s">
        <v>101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22">
        <f t="shared" si="0"/>
        <v>0</v>
      </c>
    </row>
    <row r="8" spans="1:16" ht="28.8" x14ac:dyDescent="0.3">
      <c r="B8" s="19" t="s">
        <v>102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4" t="s">
        <v>60</v>
      </c>
      <c r="B9" s="7" t="s">
        <v>103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22">
        <f t="shared" si="0"/>
        <v>0</v>
      </c>
    </row>
    <row r="10" spans="1:16" ht="28.8" x14ac:dyDescent="0.3">
      <c r="A10" s="34" t="s">
        <v>89</v>
      </c>
      <c r="B10" s="7" t="s">
        <v>103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22">
        <f t="shared" si="0"/>
        <v>0</v>
      </c>
    </row>
    <row r="11" spans="1:16" ht="28.8" x14ac:dyDescent="0.3">
      <c r="A11" s="34" t="s">
        <v>91</v>
      </c>
      <c r="B11" s="7" t="s">
        <v>103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22">
        <f t="shared" si="0"/>
        <v>0</v>
      </c>
    </row>
    <row r="12" spans="1:16" ht="28.8" x14ac:dyDescent="0.3">
      <c r="A12" s="34" t="s">
        <v>92</v>
      </c>
      <c r="B12" s="7" t="s">
        <v>103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22">
        <f t="shared" si="0"/>
        <v>0</v>
      </c>
    </row>
    <row r="13" spans="1:16" ht="28.8" x14ac:dyDescent="0.3">
      <c r="A13" s="34" t="s">
        <v>93</v>
      </c>
      <c r="B13" s="7" t="s">
        <v>103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2">
        <f t="shared" si="0"/>
        <v>0</v>
      </c>
    </row>
    <row r="14" spans="1:16" ht="28.8" x14ac:dyDescent="0.3">
      <c r="B14" s="19" t="s">
        <v>104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105</v>
      </c>
      <c r="B15" s="7" t="s">
        <v>99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22">
        <f t="shared" si="0"/>
        <v>0</v>
      </c>
    </row>
    <row r="16" spans="1:16" x14ac:dyDescent="0.3">
      <c r="B16" s="7" t="s">
        <v>100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22">
        <f t="shared" si="0"/>
        <v>0</v>
      </c>
    </row>
    <row r="17" spans="2:13" ht="28.8" x14ac:dyDescent="0.3">
      <c r="B17" s="7" t="s">
        <v>101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22">
        <f t="shared" si="0"/>
        <v>0</v>
      </c>
    </row>
    <row r="18" spans="2:13" ht="28.8" x14ac:dyDescent="0.3">
      <c r="B18" s="19" t="s">
        <v>102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106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22">
        <f t="shared" si="0"/>
        <v>0</v>
      </c>
    </row>
    <row r="20" spans="2:13" x14ac:dyDescent="0.3">
      <c r="B20" s="21" t="s">
        <v>107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5" t="s">
        <v>108</v>
      </c>
      <c r="C21" s="32">
        <f>'(ne pas modifier) BDD_REF'!$B$277*REIaval!D21</f>
        <v>7416.6726000000008</v>
      </c>
      <c r="D21" s="2">
        <v>26.7</v>
      </c>
    </row>
    <row r="22" spans="2:13" hidden="1" x14ac:dyDescent="0.3">
      <c r="B22" s="35" t="s">
        <v>109</v>
      </c>
      <c r="C22" s="32">
        <f>'(ne pas modifier) BDD_REF'!$B$277*REIaval!D22</f>
        <v>13138.8994</v>
      </c>
      <c r="D22" s="2">
        <v>47.3</v>
      </c>
    </row>
    <row r="23" spans="2:13" hidden="1" x14ac:dyDescent="0.3">
      <c r="B23" s="35" t="s">
        <v>110</v>
      </c>
      <c r="C23" s="32">
        <f>'(ne pas modifier) BDD_REF'!$B$277*REIaval!D23</f>
        <v>11166.675600000002</v>
      </c>
      <c r="D23" s="2">
        <v>40.200000000000003</v>
      </c>
    </row>
    <row r="24" spans="2:13" hidden="1" x14ac:dyDescent="0.3">
      <c r="B24" s="35" t="s">
        <v>111</v>
      </c>
      <c r="C24" s="32">
        <f>'(ne pas modifier) BDD_REF'!$B$277*REIaval!D24</f>
        <v>3861.1142000000004</v>
      </c>
      <c r="D24" s="2">
        <v>13.9</v>
      </c>
    </row>
    <row r="25" spans="2:13" hidden="1" x14ac:dyDescent="0.3">
      <c r="B25" s="35" t="s">
        <v>112</v>
      </c>
      <c r="C25" s="32">
        <f>'(ne pas modifier) BDD_REF'!$B$277*REIaval!D25</f>
        <v>3888.8920000000003</v>
      </c>
      <c r="D25" s="2">
        <v>14</v>
      </c>
    </row>
    <row r="26" spans="2:13" hidden="1" x14ac:dyDescent="0.3">
      <c r="B26" s="35" t="s">
        <v>113</v>
      </c>
      <c r="C26" s="32">
        <f>'(ne pas modifier) BDD_REF'!$B$277*REIaval!D26</f>
        <v>12305.565399999999</v>
      </c>
      <c r="D26" s="2">
        <v>44.3</v>
      </c>
    </row>
    <row r="27" spans="2:13" hidden="1" x14ac:dyDescent="0.3">
      <c r="B27" s="35" t="s">
        <v>114</v>
      </c>
      <c r="C27" s="32">
        <f>'(ne pas modifier) BDD_REF'!$B$277*REIaval!D27</f>
        <v>7916.6730000000007</v>
      </c>
      <c r="D27" s="2">
        <v>28.5</v>
      </c>
    </row>
    <row r="28" spans="2:13" hidden="1" x14ac:dyDescent="0.3">
      <c r="B28" s="35" t="s">
        <v>115</v>
      </c>
      <c r="C28" s="32">
        <f>'(ne pas modifier) BDD_REF'!$B$277*REIaval!D28</f>
        <v>7777.7840000000006</v>
      </c>
      <c r="D28" s="2">
        <v>28</v>
      </c>
    </row>
    <row r="29" spans="2:13" hidden="1" x14ac:dyDescent="0.3">
      <c r="B29" s="35" t="s">
        <v>116</v>
      </c>
      <c r="C29" s="32">
        <f>'(ne pas modifier) BDD_REF'!$B$277*REIaval!D29</f>
        <v>7833.3396000000002</v>
      </c>
      <c r="D29" s="2">
        <v>28.2</v>
      </c>
    </row>
    <row r="30" spans="2:13" hidden="1" x14ac:dyDescent="0.3">
      <c r="B30" s="35" t="s">
        <v>117</v>
      </c>
      <c r="C30" s="32">
        <f>'(ne pas modifier) BDD_REF'!$B$277*REIaval!D30</f>
        <v>11944.454000000002</v>
      </c>
      <c r="D30" s="2">
        <v>43</v>
      </c>
    </row>
    <row r="31" spans="2:13" hidden="1" x14ac:dyDescent="0.3">
      <c r="B31" s="35" t="s">
        <v>118</v>
      </c>
      <c r="C31" s="32">
        <f>'(ne pas modifier) BDD_REF'!$B$277*REIaval!D31</f>
        <v>11666.676000000001</v>
      </c>
      <c r="D31" s="2">
        <v>42</v>
      </c>
    </row>
    <row r="32" spans="2:13" hidden="1" x14ac:dyDescent="0.3">
      <c r="B32" s="35" t="s">
        <v>119</v>
      </c>
      <c r="C32" s="32">
        <f>'(ne pas modifier) BDD_REF'!$B$277*REIaval!D32</f>
        <v>11111.12</v>
      </c>
      <c r="D32" s="2">
        <v>40</v>
      </c>
    </row>
    <row r="33" spans="2:4" hidden="1" x14ac:dyDescent="0.3">
      <c r="B33" s="35" t="s">
        <v>120</v>
      </c>
      <c r="C33" s="32">
        <f>'(ne pas modifier) BDD_REF'!$B$277*REIaval!D33</f>
        <v>10750.008600000001</v>
      </c>
      <c r="D33" s="2">
        <v>38.700000000000003</v>
      </c>
    </row>
    <row r="34" spans="2:4" hidden="1" x14ac:dyDescent="0.3">
      <c r="B34" s="35" t="s">
        <v>121</v>
      </c>
      <c r="C34" s="32">
        <f>'(ne pas modifier) BDD_REF'!$B$277*REIaval!D34</f>
        <v>694.44500000000005</v>
      </c>
      <c r="D34" s="2">
        <v>2.5</v>
      </c>
    </row>
    <row r="35" spans="2:4" hidden="1" x14ac:dyDescent="0.3">
      <c r="B35" s="35" t="s">
        <v>122</v>
      </c>
      <c r="C35" s="32">
        <f>'(ne pas modifier) BDD_REF'!$B$277*REIaval!D35</f>
        <v>13333.344000000001</v>
      </c>
      <c r="D35" s="2">
        <v>48</v>
      </c>
    </row>
    <row r="36" spans="2:4" hidden="1" x14ac:dyDescent="0.3">
      <c r="B36" s="35" t="s">
        <v>123</v>
      </c>
      <c r="C36" s="32">
        <f>'(ne pas modifier) BDD_REF'!$B$277*REIaval!D36</f>
        <v>11944.454000000002</v>
      </c>
      <c r="D36" s="2">
        <v>43</v>
      </c>
    </row>
    <row r="37" spans="2:4" hidden="1" x14ac:dyDescent="0.3">
      <c r="B37" s="35" t="s">
        <v>124</v>
      </c>
      <c r="C37" s="32">
        <f>'(ne pas modifier) BDD_REF'!$B$277*REIaval!D37</f>
        <v>13777.788800000002</v>
      </c>
      <c r="D37" s="2">
        <v>49.6</v>
      </c>
    </row>
    <row r="38" spans="2:4" hidden="1" x14ac:dyDescent="0.3">
      <c r="B38" s="35" t="s">
        <v>125</v>
      </c>
      <c r="C38" s="32">
        <f>'(ne pas modifier) BDD_REF'!$B$277*REIaval!D38</f>
        <v>12777.788</v>
      </c>
      <c r="D38" s="2">
        <v>46</v>
      </c>
    </row>
    <row r="39" spans="2:4" hidden="1" x14ac:dyDescent="0.3">
      <c r="B39" s="35" t="s">
        <v>126</v>
      </c>
      <c r="C39" s="32">
        <f>'(ne pas modifier) BDD_REF'!$B$277*REIaval!D39</f>
        <v>4888.8928000000005</v>
      </c>
      <c r="D39" s="2">
        <v>17.600000000000001</v>
      </c>
    </row>
    <row r="40" spans="2:4" hidden="1" x14ac:dyDescent="0.3">
      <c r="B40" s="35" t="s">
        <v>127</v>
      </c>
      <c r="C40" s="32">
        <f>'(ne pas modifier) BDD_REF'!$B$277*REIaval!D40</f>
        <v>8888.8960000000006</v>
      </c>
      <c r="D40" s="2">
        <v>32</v>
      </c>
    </row>
    <row r="41" spans="2:4" hidden="1" x14ac:dyDescent="0.3">
      <c r="B41" s="35" t="s">
        <v>128</v>
      </c>
      <c r="C41" s="32">
        <f>'(ne pas modifier) BDD_REF'!$B$277*REIaval!D41</f>
        <v>10583.341800000002</v>
      </c>
      <c r="D41" s="2">
        <v>38.1</v>
      </c>
    </row>
    <row r="42" spans="2:4" hidden="1" x14ac:dyDescent="0.3">
      <c r="B42" s="35" t="s">
        <v>129</v>
      </c>
      <c r="C42" s="32">
        <f>'(ne pas modifier) BDD_REF'!$B$277*REIaval!D42</f>
        <v>12250.009800000002</v>
      </c>
      <c r="D42" s="2">
        <v>44.1</v>
      </c>
    </row>
    <row r="43" spans="2:4" hidden="1" x14ac:dyDescent="0.3">
      <c r="B43" s="35" t="s">
        <v>130</v>
      </c>
      <c r="C43" s="32">
        <f>'(ne pas modifier) BDD_REF'!$B$277*REIaval!D43</f>
        <v>3305.5582000000004</v>
      </c>
      <c r="D43" s="2">
        <v>11.9</v>
      </c>
    </row>
    <row r="44" spans="2:4" hidden="1" x14ac:dyDescent="0.3">
      <c r="B44" s="35" t="s">
        <v>131</v>
      </c>
      <c r="C44" s="32">
        <f>'(ne pas modifier) BDD_REF'!$B$277*REIaval!D44</f>
        <v>12361.121000000001</v>
      </c>
      <c r="D44" s="2">
        <v>44.5</v>
      </c>
    </row>
    <row r="45" spans="2:4" hidden="1" x14ac:dyDescent="0.3">
      <c r="B45" s="35" t="s">
        <v>132</v>
      </c>
      <c r="C45" s="32">
        <f>'(ne pas modifier) BDD_REF'!$B$277*REIaval!D45</f>
        <v>11750.009400000001</v>
      </c>
      <c r="D45" s="2">
        <v>42.3</v>
      </c>
    </row>
    <row r="46" spans="2:4" hidden="1" x14ac:dyDescent="0.3">
      <c r="B46" s="35" t="s">
        <v>133</v>
      </c>
      <c r="C46" s="32">
        <f>'(ne pas modifier) BDD_REF'!$B$277*REIaval!D46</f>
        <v>3638.8918000000003</v>
      </c>
      <c r="D46" s="2">
        <v>13.1</v>
      </c>
    </row>
    <row r="47" spans="2:4" hidden="1" x14ac:dyDescent="0.3">
      <c r="B47" s="35" t="s">
        <v>134</v>
      </c>
      <c r="C47" s="32">
        <f>'(ne pas modifier) BDD_REF'!$B$277*REIaval!D47</f>
        <v>13138.8994</v>
      </c>
      <c r="D47" s="2">
        <v>47.3</v>
      </c>
    </row>
    <row r="48" spans="2:4" hidden="1" x14ac:dyDescent="0.3">
      <c r="B48" s="35" t="s">
        <v>135</v>
      </c>
      <c r="C48" s="32">
        <f>'(ne pas modifier) BDD_REF'!$B$277*REIaval!D48</f>
        <v>2200.0017600000001</v>
      </c>
      <c r="D48" s="2">
        <v>7.92</v>
      </c>
    </row>
    <row r="49" spans="1:13" hidden="1" x14ac:dyDescent="0.3">
      <c r="B49" s="35" t="s">
        <v>136</v>
      </c>
      <c r="C49" s="32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6" t="s">
        <v>137</v>
      </c>
      <c r="C51" s="36" t="s">
        <v>138</v>
      </c>
      <c r="M51" s="2"/>
    </row>
    <row r="52" spans="1:13" ht="28.8" x14ac:dyDescent="0.3">
      <c r="A52" s="35" t="s">
        <v>139</v>
      </c>
      <c r="B52" s="35" t="s">
        <v>118</v>
      </c>
      <c r="C52" s="37">
        <f>0.324/1000</f>
        <v>3.2400000000000001E-4</v>
      </c>
      <c r="M52" s="2"/>
    </row>
    <row r="53" spans="1:13" x14ac:dyDescent="0.3">
      <c r="B53" s="35" t="s">
        <v>119</v>
      </c>
      <c r="C53" s="37">
        <f>0.325/1000</f>
        <v>3.2499999999999999E-4</v>
      </c>
      <c r="M53" s="2"/>
    </row>
    <row r="54" spans="1:13" x14ac:dyDescent="0.3">
      <c r="B54" s="35" t="s">
        <v>140</v>
      </c>
      <c r="C54" s="37">
        <f>0.335/1000</f>
        <v>3.3500000000000001E-4</v>
      </c>
      <c r="M54" s="2"/>
    </row>
    <row r="55" spans="1:13" x14ac:dyDescent="0.3">
      <c r="B55" s="35" t="s">
        <v>141</v>
      </c>
      <c r="C55" s="37">
        <f>0.282/1000</f>
        <v>2.8199999999999997E-4</v>
      </c>
      <c r="M55" s="2"/>
    </row>
    <row r="56" spans="1:13" ht="28.8" x14ac:dyDescent="0.3">
      <c r="A56" s="35" t="s">
        <v>142</v>
      </c>
      <c r="B56" s="35" t="s">
        <v>143</v>
      </c>
      <c r="C56" s="37">
        <f>0.311/1000</f>
        <v>3.1100000000000002E-4</v>
      </c>
      <c r="M56" s="2"/>
    </row>
    <row r="57" spans="1:13" x14ac:dyDescent="0.3">
      <c r="B57" s="35" t="s">
        <v>144</v>
      </c>
      <c r="C57" s="35">
        <f>0.313/1000</f>
        <v>3.1300000000000002E-4</v>
      </c>
      <c r="M57" s="2"/>
    </row>
    <row r="58" spans="1:13" x14ac:dyDescent="0.3">
      <c r="B58" s="35" t="s">
        <v>145</v>
      </c>
      <c r="C58" s="35">
        <f>0.319/1000</f>
        <v>3.19E-4</v>
      </c>
      <c r="M58" s="2"/>
    </row>
    <row r="59" spans="1:13" x14ac:dyDescent="0.3">
      <c r="B59" s="35" t="s">
        <v>146</v>
      </c>
      <c r="C59" s="35">
        <f>0.306/1000</f>
        <v>3.0600000000000001E-4</v>
      </c>
      <c r="M59" s="2"/>
    </row>
    <row r="60" spans="1:13" x14ac:dyDescent="0.3">
      <c r="B60" s="35" t="s">
        <v>147</v>
      </c>
      <c r="C60" s="35">
        <f>0.174/1000</f>
        <v>1.74E-4</v>
      </c>
      <c r="M60" s="2"/>
    </row>
    <row r="61" spans="1:13" x14ac:dyDescent="0.3">
      <c r="B61" s="35" t="s">
        <v>148</v>
      </c>
      <c r="C61" s="35">
        <f>0.273/1000</f>
        <v>2.7300000000000002E-4</v>
      </c>
      <c r="M61" s="2"/>
    </row>
    <row r="62" spans="1:13" x14ac:dyDescent="0.3">
      <c r="B62" s="35" t="s">
        <v>125</v>
      </c>
      <c r="C62" s="35">
        <f>0.272/1000</f>
        <v>2.72E-4</v>
      </c>
      <c r="M62" s="2"/>
    </row>
    <row r="63" spans="1:13" x14ac:dyDescent="0.3">
      <c r="B63" s="35" t="s">
        <v>149</v>
      </c>
      <c r="C63" s="35">
        <f>0.311/1000</f>
        <v>3.1100000000000002E-4</v>
      </c>
      <c r="M63" s="2"/>
    </row>
    <row r="64" spans="1:13" x14ac:dyDescent="0.3">
      <c r="B64" s="35" t="s">
        <v>150</v>
      </c>
      <c r="C64" s="35">
        <f>0.132/1000</f>
        <v>1.3200000000000001E-4</v>
      </c>
      <c r="M64" s="2"/>
    </row>
    <row r="65" spans="1:13" x14ac:dyDescent="0.3">
      <c r="B65" s="35" t="s">
        <v>151</v>
      </c>
      <c r="C65" s="35">
        <f>0.238/1000</f>
        <v>2.3799999999999998E-4</v>
      </c>
      <c r="M65" s="2"/>
    </row>
    <row r="66" spans="1:13" x14ac:dyDescent="0.3">
      <c r="B66" s="35" t="s">
        <v>152</v>
      </c>
      <c r="C66" s="35">
        <f>0.23/1000</f>
        <v>2.3000000000000001E-4</v>
      </c>
      <c r="M66" s="2"/>
    </row>
    <row r="67" spans="1:13" ht="43.2" x14ac:dyDescent="0.3">
      <c r="A67" s="35" t="s">
        <v>153</v>
      </c>
      <c r="B67" s="35" t="s">
        <v>154</v>
      </c>
      <c r="C67" s="35">
        <f>0.327/1000</f>
        <v>3.2700000000000003E-4</v>
      </c>
      <c r="M67" s="2"/>
    </row>
    <row r="68" spans="1:13" x14ac:dyDescent="0.3">
      <c r="B68" s="35" t="s">
        <v>155</v>
      </c>
      <c r="C68" s="35">
        <f>0.331/1000</f>
        <v>3.3100000000000002E-4</v>
      </c>
      <c r="M68" s="2"/>
    </row>
    <row r="69" spans="1:13" x14ac:dyDescent="0.3">
      <c r="B69" s="35" t="s">
        <v>156</v>
      </c>
      <c r="C69" s="35">
        <f>0.331/1000</f>
        <v>3.3100000000000002E-4</v>
      </c>
      <c r="M69" s="2"/>
    </row>
    <row r="70" spans="1:13" ht="28.8" x14ac:dyDescent="0.3">
      <c r="A70" s="35" t="s">
        <v>157</v>
      </c>
      <c r="B70" s="35" t="s">
        <v>158</v>
      </c>
      <c r="C70" s="35">
        <f>0.307/1000</f>
        <v>3.0699999999999998E-4</v>
      </c>
      <c r="M70" s="2"/>
    </row>
    <row r="71" spans="1:13" x14ac:dyDescent="0.3">
      <c r="B71" s="35" t="s">
        <v>159</v>
      </c>
      <c r="C71" s="35">
        <f>0.308/1000</f>
        <v>3.0800000000000001E-4</v>
      </c>
      <c r="M71" s="2"/>
    </row>
    <row r="72" spans="1:13" x14ac:dyDescent="0.3">
      <c r="B72" s="35" t="s">
        <v>160</v>
      </c>
      <c r="C72" s="35">
        <f>0.313/1000</f>
        <v>3.1300000000000002E-4</v>
      </c>
      <c r="M72" s="2"/>
    </row>
    <row r="73" spans="1:13" ht="28.8" x14ac:dyDescent="0.3">
      <c r="A73" s="35" t="s">
        <v>161</v>
      </c>
      <c r="B73" s="35" t="s">
        <v>162</v>
      </c>
      <c r="C73" s="35">
        <f>0.322/1000</f>
        <v>3.2200000000000002E-4</v>
      </c>
      <c r="M73" s="2"/>
    </row>
    <row r="74" spans="1:13" ht="28.8" x14ac:dyDescent="0.3">
      <c r="A74" s="35" t="s">
        <v>163</v>
      </c>
      <c r="B74" s="35" t="s">
        <v>164</v>
      </c>
      <c r="C74" s="35">
        <f>0.227/1000</f>
        <v>2.2700000000000002E-4</v>
      </c>
      <c r="M74" s="2"/>
    </row>
    <row r="75" spans="1:13" x14ac:dyDescent="0.3">
      <c r="B75" s="35" t="s">
        <v>165</v>
      </c>
      <c r="C75" s="35">
        <f>0.244/1000</f>
        <v>2.4399999999999999E-4</v>
      </c>
      <c r="M75" s="2"/>
    </row>
    <row r="76" spans="1:13" ht="28.8" x14ac:dyDescent="0.3">
      <c r="A76" s="35" t="s">
        <v>166</v>
      </c>
      <c r="B76" s="35" t="s">
        <v>167</v>
      </c>
      <c r="C76" s="35">
        <f>0.27/1000</f>
        <v>2.7E-4</v>
      </c>
      <c r="M76" s="2"/>
    </row>
    <row r="77" spans="1:13" x14ac:dyDescent="0.3">
      <c r="C77" s="26"/>
      <c r="M77" s="2"/>
    </row>
    <row r="78" spans="1:13" ht="50.25" customHeight="1" x14ac:dyDescent="0.3">
      <c r="B78" s="8" t="s">
        <v>168</v>
      </c>
      <c r="M78" s="2"/>
    </row>
    <row r="79" spans="1:13" x14ac:dyDescent="0.3">
      <c r="B79" s="26"/>
      <c r="M79" s="2"/>
    </row>
    <row r="80" spans="1:13" x14ac:dyDescent="0.3">
      <c r="B80" s="26"/>
      <c r="M80" s="2"/>
    </row>
    <row r="81" spans="2:13" x14ac:dyDescent="0.3">
      <c r="B81" s="26"/>
      <c r="M81" s="2"/>
    </row>
    <row r="82" spans="2:13" x14ac:dyDescent="0.3">
      <c r="B82" s="26"/>
      <c r="M82" s="2"/>
    </row>
    <row r="83" spans="2:13" x14ac:dyDescent="0.3">
      <c r="B83" s="26"/>
      <c r="M83" s="2"/>
    </row>
    <row r="84" spans="2:13" x14ac:dyDescent="0.3">
      <c r="B84" s="26"/>
      <c r="M84" s="2"/>
    </row>
    <row r="85" spans="2:13" x14ac:dyDescent="0.3">
      <c r="B85" s="26"/>
      <c r="M85" s="2"/>
    </row>
    <row r="86" spans="2:13" x14ac:dyDescent="0.3">
      <c r="B86" s="26"/>
      <c r="M86" s="2"/>
    </row>
    <row r="87" spans="2:13" x14ac:dyDescent="0.3">
      <c r="B87" s="26"/>
      <c r="M87" s="2"/>
    </row>
    <row r="88" spans="2:13" x14ac:dyDescent="0.3">
      <c r="B88" s="26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J33" sqref="J33"/>
    </sheetView>
  </sheetViews>
  <sheetFormatPr baseColWidth="10" defaultColWidth="11.44140625" defaultRowHeight="14.4" x14ac:dyDescent="0.3"/>
  <cols>
    <col min="2" max="2" width="31" style="33" customWidth="1"/>
  </cols>
  <sheetData>
    <row r="2" spans="1:17" x14ac:dyDescent="0.3">
      <c r="A2" s="111" t="s">
        <v>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3" spans="1:17" x14ac:dyDescent="0.3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7" ht="28.8" x14ac:dyDescent="0.3">
      <c r="A4" t="s">
        <v>169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54</v>
      </c>
      <c r="N4" s="2"/>
      <c r="O4" s="2"/>
      <c r="P4" s="2"/>
      <c r="Q4" s="2"/>
    </row>
    <row r="5" spans="1:17" x14ac:dyDescent="0.3">
      <c r="A5" s="13">
        <v>1</v>
      </c>
      <c r="B5" s="7" t="s">
        <v>170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2.4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2.4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2.4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2.4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2.4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2.4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2.4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19.2</v>
      </c>
      <c r="N5" s="2"/>
      <c r="O5" s="2"/>
      <c r="P5" s="2"/>
      <c r="Q5" s="2"/>
    </row>
    <row r="6" spans="1:17" x14ac:dyDescent="0.3">
      <c r="A6" s="13">
        <v>2</v>
      </c>
      <c r="B6" s="7" t="s">
        <v>170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3.72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3.72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3.72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3.72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3.72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3.72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3.72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29.759999999999998</v>
      </c>
      <c r="N6" s="2"/>
      <c r="O6" s="2"/>
      <c r="P6" s="2"/>
      <c r="Q6" s="2"/>
    </row>
    <row r="7" spans="1:17" x14ac:dyDescent="0.3">
      <c r="A7" s="13">
        <v>3</v>
      </c>
      <c r="B7" s="7" t="s">
        <v>170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5.04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5.04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5.04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5.04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5.04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5.04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5.04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40.32</v>
      </c>
      <c r="N7" s="2"/>
      <c r="O7" s="2"/>
      <c r="P7" s="2"/>
      <c r="Q7" s="2"/>
    </row>
    <row r="8" spans="1:17" x14ac:dyDescent="0.3">
      <c r="A8" s="13">
        <v>4</v>
      </c>
      <c r="B8" s="7" t="s">
        <v>170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6.36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6.36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6.36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6.36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6.36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6.36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6.36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50.88</v>
      </c>
      <c r="N8" s="2"/>
      <c r="O8" s="2"/>
      <c r="P8" s="2"/>
      <c r="Q8" s="2"/>
    </row>
    <row r="9" spans="1:17" x14ac:dyDescent="0.3">
      <c r="A9" s="13">
        <v>5</v>
      </c>
      <c r="B9" s="7" t="s">
        <v>170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6.6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6.6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6.6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6.6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6.6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6.6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6.6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52.800000000000004</v>
      </c>
      <c r="N9" s="2"/>
      <c r="O9" s="2"/>
      <c r="P9" s="2"/>
      <c r="Q9" s="2"/>
    </row>
    <row r="10" spans="1:17" x14ac:dyDescent="0.3">
      <c r="A10" s="13">
        <v>6</v>
      </c>
      <c r="B10" s="7" t="s">
        <v>170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7.7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7.7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7.7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7.7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7.7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7.7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7.7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61.600000000000009</v>
      </c>
      <c r="N10" s="2"/>
      <c r="O10" s="2"/>
      <c r="P10" s="2"/>
      <c r="Q10" s="2"/>
    </row>
    <row r="11" spans="1:17" x14ac:dyDescent="0.3">
      <c r="A11" s="13">
        <v>7</v>
      </c>
      <c r="B11" s="7" t="s">
        <v>170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8.8000000000000007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8.8000000000000007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8.8000000000000007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8.8000000000000007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8.8000000000000007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8.8000000000000007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8.8000000000000007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70.399999999999991</v>
      </c>
      <c r="N11" s="2"/>
      <c r="O11" s="2"/>
      <c r="P11" s="2"/>
      <c r="Q11" s="2"/>
    </row>
    <row r="12" spans="1:17" x14ac:dyDescent="0.3">
      <c r="A12" s="13">
        <v>8</v>
      </c>
      <c r="B12" s="7" t="s">
        <v>170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9.9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9.9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9.9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9.9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9.9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9.9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9.9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79.2</v>
      </c>
      <c r="N12" s="2"/>
      <c r="O12" s="2"/>
      <c r="P12" s="2"/>
      <c r="Q12" s="2"/>
    </row>
    <row r="13" spans="1:17" x14ac:dyDescent="0.3">
      <c r="A13" s="13">
        <v>9</v>
      </c>
      <c r="B13" s="7" t="s">
        <v>170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11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11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11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11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11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11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11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88</v>
      </c>
      <c r="N13" s="2"/>
      <c r="O13" s="2"/>
      <c r="P13" s="2"/>
      <c r="Q13" s="2"/>
    </row>
    <row r="14" spans="1:17" x14ac:dyDescent="0.3">
      <c r="A14" s="13">
        <v>10</v>
      </c>
      <c r="B14" s="7" t="s">
        <v>170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12.1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12.1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12.1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12.1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12.1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12.1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12.1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96.799999999999983</v>
      </c>
      <c r="N14" s="2"/>
      <c r="O14" s="2"/>
      <c r="P14" s="2"/>
      <c r="Q14" s="2"/>
    </row>
    <row r="15" spans="1:17" x14ac:dyDescent="0.3">
      <c r="A15" s="13">
        <v>11</v>
      </c>
      <c r="B15" s="7" t="s">
        <v>170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12.46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12.46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12.46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12.46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12.46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12.46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12.46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99.68</v>
      </c>
      <c r="N15" s="2"/>
      <c r="O15" s="2"/>
      <c r="P15" s="2"/>
      <c r="Q15" s="2"/>
    </row>
    <row r="16" spans="1:17" x14ac:dyDescent="0.3">
      <c r="A16" s="13">
        <v>12</v>
      </c>
      <c r="B16" s="7" t="s">
        <v>170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12.82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12.82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12.82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12.82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12.82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12.82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12.82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102.55999999999997</v>
      </c>
      <c r="N16" s="2"/>
      <c r="O16" s="2"/>
      <c r="P16" s="2"/>
      <c r="Q16" s="2"/>
    </row>
    <row r="17" spans="1:17" x14ac:dyDescent="0.3">
      <c r="A17" s="13">
        <v>13</v>
      </c>
      <c r="B17" s="7" t="s">
        <v>170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13.18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13.18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13.18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13.18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13.18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13.18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13.18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105.44000000000003</v>
      </c>
      <c r="N17" s="2"/>
      <c r="O17" s="2"/>
      <c r="P17" s="2"/>
      <c r="Q17" s="2"/>
    </row>
    <row r="18" spans="1:17" x14ac:dyDescent="0.3">
      <c r="A18" s="13">
        <v>14</v>
      </c>
      <c r="B18" s="7" t="s">
        <v>170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13.54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13.54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13.54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13.54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13.54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13.54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13.54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108.31999999999996</v>
      </c>
      <c r="N18" s="2"/>
      <c r="O18" s="2"/>
      <c r="P18" s="2"/>
      <c r="Q18" s="2"/>
    </row>
    <row r="19" spans="1:17" x14ac:dyDescent="0.3">
      <c r="A19" s="13">
        <v>15</v>
      </c>
      <c r="B19" s="7" t="s">
        <v>170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13.9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13.9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13.9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13.9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13.9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13.9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13.9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111.20000000000002</v>
      </c>
      <c r="N19" s="2"/>
      <c r="O19" s="2"/>
      <c r="P19" s="2"/>
      <c r="Q19" s="2"/>
    </row>
    <row r="20" spans="1:17" x14ac:dyDescent="0.3">
      <c r="A20" s="13">
        <v>16</v>
      </c>
      <c r="B20" s="7" t="s">
        <v>170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13.98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13.98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13.98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13.98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13.98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13.98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13.98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111.84000000000002</v>
      </c>
      <c r="N20" s="2"/>
      <c r="O20" s="2"/>
      <c r="P20" s="2"/>
      <c r="Q20" s="2"/>
    </row>
    <row r="21" spans="1:17" x14ac:dyDescent="0.3">
      <c r="A21" s="13">
        <v>17</v>
      </c>
      <c r="B21" s="7" t="s">
        <v>170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14.06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14.06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14.06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14.06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14.06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14.06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14.06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112.48</v>
      </c>
      <c r="N21" s="2"/>
      <c r="O21" s="2"/>
      <c r="P21" s="2"/>
      <c r="Q21" s="2"/>
    </row>
    <row r="22" spans="1:17" x14ac:dyDescent="0.3">
      <c r="A22" s="13">
        <v>18</v>
      </c>
      <c r="B22" s="7" t="s">
        <v>170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14.14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14.14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14.14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14.14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14.14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14.14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14.14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113.12</v>
      </c>
      <c r="N22" s="2"/>
      <c r="O22" s="2"/>
      <c r="P22" s="2"/>
      <c r="Q22" s="2"/>
    </row>
    <row r="23" spans="1:17" x14ac:dyDescent="0.3">
      <c r="A23" s="13">
        <v>19</v>
      </c>
      <c r="B23" s="7" t="s">
        <v>170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14.22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14.22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14.22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14.22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14.22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14.22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14.22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113.76</v>
      </c>
      <c r="N23" s="2"/>
      <c r="O23" s="2"/>
      <c r="P23" s="2"/>
      <c r="Q23" s="2"/>
    </row>
    <row r="24" spans="1:17" x14ac:dyDescent="0.3">
      <c r="A24" s="13">
        <v>20</v>
      </c>
      <c r="B24" s="7" t="s">
        <v>170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14.3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14.3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14.3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14.3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14.3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14.3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14.3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114.39999999999999</v>
      </c>
      <c r="N24" s="2"/>
      <c r="O24" s="2"/>
      <c r="P24" s="2"/>
      <c r="Q24" s="2"/>
    </row>
    <row r="25" spans="1:17" x14ac:dyDescent="0.3">
      <c r="A25" s="7"/>
      <c r="B25" s="7" t="s">
        <v>171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210.22</v>
      </c>
      <c r="F25" s="22">
        <f>SUMIF($A5:$A24,"&lt;"&amp;Eligibilité_projet!E14+1,F5:F24)</f>
        <v>210.22</v>
      </c>
      <c r="G25" s="22">
        <f>SUMIF($A5:$A24,"&lt;"&amp;Eligibilité_projet!F14+1,G5:G24)</f>
        <v>210.22</v>
      </c>
      <c r="H25" s="22">
        <f>SUMIF($A5:$A24,"&lt;"&amp;Eligibilité_projet!G14+1,H5:H24)</f>
        <v>210.22</v>
      </c>
      <c r="I25" s="22">
        <f>SUMIF($A5:$A24,"&lt;"&amp;Eligibilité_projet!H14+1,I5:I24)</f>
        <v>210.22</v>
      </c>
      <c r="J25" s="22">
        <f>SUMIF($A5:$A24,"&lt;"&amp;Eligibilité_projet!I14+1,J5:J24)</f>
        <v>210.22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1681.76</v>
      </c>
      <c r="N25" s="2"/>
      <c r="O25" s="2"/>
      <c r="P25" s="2"/>
      <c r="Q25" s="2"/>
    </row>
    <row r="26" spans="1:17" ht="28.8" x14ac:dyDescent="0.3">
      <c r="A26" s="7" t="s">
        <v>172</v>
      </c>
      <c r="B26" s="7" t="s">
        <v>173</v>
      </c>
      <c r="C26" s="38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8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8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8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8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8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8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8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8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8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174</v>
      </c>
      <c r="C27" s="39">
        <f>Eligibilité_projet!B14 + 1</f>
        <v>21</v>
      </c>
      <c r="D27" s="39">
        <f>Eligibilité_projet!C14 + 1</f>
        <v>21</v>
      </c>
      <c r="E27" s="39">
        <f>Eligibilité_projet!D14 + 1</f>
        <v>21</v>
      </c>
      <c r="F27" s="39">
        <f>Eligibilité_projet!E14 + 1</f>
        <v>21</v>
      </c>
      <c r="G27" s="39">
        <f>Eligibilité_projet!F14 + 1</f>
        <v>21</v>
      </c>
      <c r="H27" s="39">
        <f>Eligibilité_projet!G14 + 1</f>
        <v>21</v>
      </c>
      <c r="I27" s="39">
        <f>Eligibilité_projet!H14 + 1</f>
        <v>21</v>
      </c>
      <c r="J27" s="39">
        <f>Eligibilité_projet!I14 + 1</f>
        <v>21</v>
      </c>
      <c r="K27" s="39">
        <f>Eligibilité_projet!J14 + 1</f>
        <v>1</v>
      </c>
      <c r="L27" s="39">
        <f>Eligibilité_projet!K14 + 1</f>
        <v>1</v>
      </c>
      <c r="M27" s="22">
        <f t="shared" si="0"/>
        <v>170</v>
      </c>
      <c r="N27" s="2"/>
      <c r="O27" s="2"/>
      <c r="P27" s="2"/>
      <c r="Q27" s="2"/>
    </row>
    <row r="28" spans="1:17" x14ac:dyDescent="0.3">
      <c r="B28" s="21" t="s">
        <v>175</v>
      </c>
      <c r="C28" s="24">
        <f>((C25/C27)-C26)*Eligibilité_projet!B8*44/12</f>
        <v>202.24498730158732</v>
      </c>
      <c r="D28" s="24">
        <f>((D25/D27)-D26)*Eligibilité_projet!C8*44/12</f>
        <v>544.33632698412691</v>
      </c>
      <c r="E28" s="24">
        <f>((E25/E27)-E26)*Eligibilité_projet!D8*44/12</f>
        <v>13.21382857142857</v>
      </c>
      <c r="F28" s="24">
        <f>((F25/F27)-F26)*Eligibilité_projet!E8*44/12</f>
        <v>29.36406349206349</v>
      </c>
      <c r="G28" s="24">
        <f>((G25/G27)-G26)*Eligibilité_projet!F8*44/12</f>
        <v>89.927444444444447</v>
      </c>
      <c r="H28" s="24">
        <f>((H25/H27)-H26)*Eligibilité_projet!G8*44/12</f>
        <v>321.16944444444442</v>
      </c>
      <c r="I28" s="24">
        <f>((I25/I27)-I26)*Eligibilité_projet!H8*44/12</f>
        <v>125.16432063492063</v>
      </c>
      <c r="J28" s="24">
        <f>((J25/J27)-J26)*Eligibilité_projet!I8*44/12</f>
        <v>30.832266666666666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1356.2526825396824</v>
      </c>
      <c r="N28" s="2"/>
      <c r="O28" s="2"/>
      <c r="P28" s="2"/>
      <c r="Q28" s="2"/>
    </row>
    <row r="29" spans="1:17" x14ac:dyDescent="0.3">
      <c r="A29" s="2"/>
      <c r="B29" s="2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H27" sqref="H27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11" t="s">
        <v>53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ht="28.8" x14ac:dyDescent="0.3"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54</v>
      </c>
      <c r="N4" s="2"/>
      <c r="O4" s="2"/>
      <c r="P4" s="2"/>
    </row>
    <row r="5" spans="1:16" x14ac:dyDescent="0.3">
      <c r="B5" s="7" t="s">
        <v>176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34.299999999999997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34.299999999999997</v>
      </c>
      <c r="E5" s="38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34.299999999999997</v>
      </c>
      <c r="F5" s="38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34.299999999999997</v>
      </c>
      <c r="G5" s="38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34.299999999999997</v>
      </c>
      <c r="H5" s="38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34.299999999999997</v>
      </c>
      <c r="I5" s="38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34.299999999999997</v>
      </c>
      <c r="J5" s="38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34.299999999999997</v>
      </c>
      <c r="K5" s="38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8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274.40000000000003</v>
      </c>
      <c r="N5" s="2"/>
      <c r="O5" s="2"/>
      <c r="P5" s="2"/>
    </row>
    <row r="6" spans="1:16" x14ac:dyDescent="0.3">
      <c r="B6" s="7" t="s">
        <v>177</v>
      </c>
      <c r="C6" s="22">
        <f>IF(Eligibilité_projet!B13="Hors climat Mediterranéen",'(ne pas modifier) BDD_REF'!$C$271,IF(Eligibilité_projet!B13="",0,'(ne pas modifier) BDD_REF'!$B$271))</f>
        <v>41.5</v>
      </c>
      <c r="D6" s="22">
        <f>IF(Eligibilité_projet!C13="Hors climat Mediterranéen",'(ne pas modifier) BDD_REF'!$C$271,IF(Eligibilité_projet!C13="",0,'(ne pas modifier) BDD_REF'!$B$271))</f>
        <v>41.5</v>
      </c>
      <c r="E6" s="22">
        <f>IF(Eligibilité_projet!D13="Hors climat Mediterranéen",'(ne pas modifier) BDD_REF'!$C$271,IF(Eligibilité_projet!D13="",0,'(ne pas modifier) BDD_REF'!$B$271))</f>
        <v>41.5</v>
      </c>
      <c r="F6" s="22">
        <f>IF(Eligibilité_projet!E13="Hors climat Mediterranéen",'(ne pas modifier) BDD_REF'!$C$271,IF(Eligibilité_projet!E13="",0,'(ne pas modifier) BDD_REF'!$B$271))</f>
        <v>41.5</v>
      </c>
      <c r="G6" s="22">
        <f>IF(Eligibilité_projet!F13="Hors climat Mediterranéen",'(ne pas modifier) BDD_REF'!$C$271,IF(Eligibilité_projet!F13="",0,'(ne pas modifier) BDD_REF'!$B$271))</f>
        <v>41.5</v>
      </c>
      <c r="H6" s="22">
        <f>IF(Eligibilité_projet!G13="Hors climat Mediterranéen",'(ne pas modifier) BDD_REF'!$C$271,IF(Eligibilité_projet!G13="",0,'(ne pas modifier) BDD_REF'!$B$271))</f>
        <v>41.5</v>
      </c>
      <c r="I6" s="22">
        <f>IF(Eligibilité_projet!H13="Hors climat Mediterranéen",'(ne pas modifier) BDD_REF'!$C$271,IF(Eligibilité_projet!H13="",0,'(ne pas modifier) BDD_REF'!$B$271))</f>
        <v>41.5</v>
      </c>
      <c r="J6" s="22">
        <f>IF(Eligibilité_projet!I13="Hors climat Mediterranéen",'(ne pas modifier) BDD_REF'!$C$271,IF(Eligibilité_projet!I13="",0,'(ne pas modifier) BDD_REF'!$B$271))</f>
        <v>41.5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332</v>
      </c>
      <c r="N6" s="2"/>
      <c r="O6" s="2"/>
      <c r="P6" s="2"/>
    </row>
    <row r="7" spans="1:16" x14ac:dyDescent="0.3">
      <c r="B7" s="7" t="s">
        <v>178</v>
      </c>
      <c r="C7" s="22">
        <f>Eligibilité_projet!B15</f>
        <v>0.75</v>
      </c>
      <c r="D7" s="22">
        <f>Eligibilité_projet!C15</f>
        <v>0.75</v>
      </c>
      <c r="E7" s="22">
        <f>Eligibilité_projet!D15</f>
        <v>0.75</v>
      </c>
      <c r="F7" s="22">
        <f>Eligibilité_projet!E15</f>
        <v>0.75</v>
      </c>
      <c r="G7" s="22">
        <f>Eligibilité_projet!F15</f>
        <v>0.75</v>
      </c>
      <c r="H7" s="22">
        <f>Eligibilité_projet!G15</f>
        <v>0.75</v>
      </c>
      <c r="I7" s="22">
        <f>Eligibilité_projet!H15</f>
        <v>0.75</v>
      </c>
      <c r="J7" s="22">
        <f>Eligibilité_projet!I15</f>
        <v>0.75</v>
      </c>
      <c r="K7" s="22">
        <f>Eligibilité_projet!J15</f>
        <v>0</v>
      </c>
      <c r="L7" s="22">
        <f>Eligibilité_projet!K15</f>
        <v>0</v>
      </c>
      <c r="M7" s="22">
        <f>SUM(C7:L7)</f>
        <v>6</v>
      </c>
      <c r="N7" s="2"/>
      <c r="O7" s="2"/>
      <c r="P7" s="2"/>
    </row>
    <row r="8" spans="1:16" ht="28.8" x14ac:dyDescent="0.3">
      <c r="B8" s="7" t="s">
        <v>179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20</v>
      </c>
      <c r="H8" s="22">
        <f>Eligibilité_projet!G14</f>
        <v>20</v>
      </c>
      <c r="I8" s="22">
        <f>Eligibilité_projet!H14</f>
        <v>20</v>
      </c>
      <c r="J8" s="22">
        <f>Eligibilité_projet!I14</f>
        <v>20</v>
      </c>
      <c r="K8" s="22">
        <f>Eligibilité_projet!J14</f>
        <v>0</v>
      </c>
      <c r="L8" s="22">
        <f>Eligibilité_projet!K14</f>
        <v>0</v>
      </c>
      <c r="M8" s="22">
        <f>SUM(C8:L8)</f>
        <v>160</v>
      </c>
      <c r="N8" s="2"/>
      <c r="O8" s="2"/>
      <c r="P8" s="2"/>
    </row>
    <row r="9" spans="1:16" x14ac:dyDescent="0.3">
      <c r="B9" s="21" t="s">
        <v>180</v>
      </c>
      <c r="C9" s="21">
        <f>((C6-C5)+('(ne pas modifier) BDD_REF'!$B$275*C7*C8))*Eligibilité_projet!B8*44/12</f>
        <v>293.95850000000002</v>
      </c>
      <c r="D9" s="21">
        <f>((D6-D5)+('(ne pas modifier) BDD_REF'!$B$275*D7*D8))*Eligibilité_projet!C8*44/12</f>
        <v>791.18050000000005</v>
      </c>
      <c r="E9" s="21">
        <f>((E6-E5)+('(ne pas modifier) BDD_REF'!$B$275*E7*E8))*Eligibilité_projet!D8*44/12</f>
        <v>19.206</v>
      </c>
      <c r="F9" s="21">
        <f>((F6-F5)+('(ne pas modifier) BDD_REF'!$B$275*F7*F8))*Eligibilité_projet!E8*44/12</f>
        <v>42.680000000000007</v>
      </c>
      <c r="G9" s="21">
        <f>((G6-G5)+('(ne pas modifier) BDD_REF'!$B$275*G7*G8))*Eligibilité_projet!F8*44/12</f>
        <v>130.70750000000001</v>
      </c>
      <c r="H9" s="21">
        <f>((H6-H5)+('(ne pas modifier) BDD_REF'!$B$275*H7*H8))*Eligibilité_projet!G8*44/12</f>
        <v>466.81250000000006</v>
      </c>
      <c r="I9" s="21">
        <f>((I6-I5)+('(ne pas modifier) BDD_REF'!$B$275*I7*I8))*Eligibilité_projet!H8*44/12</f>
        <v>181.92350000000002</v>
      </c>
      <c r="J9" s="21">
        <f>((J6-J5)+('(ne pas modifier) BDD_REF'!$B$275*J7*J8))*Eligibilité_projet!I8*44/12</f>
        <v>44.814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1971.2825000000003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I16" sqref="I1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4" t="s">
        <v>181</v>
      </c>
      <c r="C2" s="116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7" t="s">
        <v>182</v>
      </c>
      <c r="C4" s="118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2" t="s">
        <v>183</v>
      </c>
      <c r="B6" s="3" t="s">
        <v>184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0" t="s">
        <v>185</v>
      </c>
      <c r="B7" s="3" t="s">
        <v>184</v>
      </c>
      <c r="C7" s="15">
        <f>IF(Eligibilité_projet!C2="OUI","/",'RECeff + REIamont (2)'!M144)</f>
        <v>64.009644574111647</v>
      </c>
      <c r="D7" s="2"/>
      <c r="E7" s="2"/>
      <c r="F7" s="2"/>
    </row>
    <row r="8" spans="1:6" x14ac:dyDescent="0.3">
      <c r="A8" s="16"/>
      <c r="B8" s="3" t="s">
        <v>107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186</v>
      </c>
      <c r="C9" s="15">
        <f>RECant_biom!M28</f>
        <v>1356.2526825396824</v>
      </c>
      <c r="D9" s="2"/>
      <c r="E9" s="2"/>
      <c r="F9" s="2"/>
    </row>
    <row r="10" spans="1:6" x14ac:dyDescent="0.3">
      <c r="A10" s="2"/>
      <c r="B10" s="3" t="s">
        <v>180</v>
      </c>
      <c r="C10" s="15">
        <f>RECant_sol!M9</f>
        <v>1971.2825000000003</v>
      </c>
      <c r="D10" s="2"/>
      <c r="E10" s="2"/>
      <c r="F10" s="2"/>
    </row>
    <row r="11" spans="1:6" x14ac:dyDescent="0.3">
      <c r="A11" s="2"/>
      <c r="B11" s="19" t="s">
        <v>187</v>
      </c>
      <c r="C11" s="41">
        <f>SUM(IF(Eligibilité_projet!C2="OUI",-C6,-C7),-C8,C10,C9)</f>
        <v>3263.5255379655709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7" t="s">
        <v>188</v>
      </c>
      <c r="C13" s="118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184</v>
      </c>
      <c r="C15" s="15">
        <f>IF(Eligibilité_projet!C2="OUI",C6*(1-0.15),C7)</f>
        <v>64.009644574111647</v>
      </c>
      <c r="D15" s="2"/>
      <c r="E15" s="2"/>
      <c r="F15" s="2"/>
    </row>
    <row r="16" spans="1:6" x14ac:dyDescent="0.3">
      <c r="A16" s="2"/>
      <c r="B16" s="3" t="s">
        <v>107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186</v>
      </c>
      <c r="C17" s="15">
        <f>C9*(1-0.1)</f>
        <v>1220.6274142857142</v>
      </c>
      <c r="D17" s="2"/>
      <c r="E17" s="2"/>
      <c r="F17" s="2"/>
    </row>
    <row r="18" spans="1:6" x14ac:dyDescent="0.3">
      <c r="A18" s="2"/>
      <c r="B18" s="3" t="s">
        <v>180</v>
      </c>
      <c r="C18" s="15">
        <f>RE!C10</f>
        <v>1971.2825000000003</v>
      </c>
      <c r="D18" s="2"/>
      <c r="E18" s="2"/>
      <c r="F18" s="2"/>
    </row>
    <row r="19" spans="1:6" x14ac:dyDescent="0.3">
      <c r="A19" s="2"/>
      <c r="B19" s="19" t="s">
        <v>187</v>
      </c>
      <c r="C19" s="41">
        <f>SUM(-C15,-C16,((C17+C18)*(0.9)))</f>
        <v>2808.7092782830314</v>
      </c>
      <c r="D19" s="2"/>
      <c r="E19" s="2"/>
      <c r="F19" s="2"/>
    </row>
    <row r="20" spans="1:6" x14ac:dyDescent="0.3">
      <c r="A20" s="2"/>
      <c r="B20" s="2"/>
    </row>
    <row r="22" spans="1:6" s="33" customFormat="1" hidden="1" x14ac:dyDescent="0.3"/>
    <row r="23" spans="1:6" s="33" customFormat="1" hidden="1" x14ac:dyDescent="0.3"/>
    <row r="24" spans="1:6" s="33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topLeftCell="A69"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6" t="s">
        <v>189</v>
      </c>
      <c r="B1" s="47" t="s">
        <v>190</v>
      </c>
      <c r="C1" s="47" t="s">
        <v>29</v>
      </c>
      <c r="D1" s="47" t="s">
        <v>191</v>
      </c>
      <c r="E1" s="48" t="s">
        <v>192</v>
      </c>
      <c r="F1" s="33"/>
      <c r="G1" s="33"/>
      <c r="H1" s="49"/>
    </row>
    <row r="2" spans="1:8" ht="15" customHeight="1" x14ac:dyDescent="0.3">
      <c r="A2" s="50" t="s">
        <v>193</v>
      </c>
      <c r="B2" s="50" t="s">
        <v>26</v>
      </c>
      <c r="C2" s="37" t="s">
        <v>30</v>
      </c>
      <c r="D2" s="37" t="str">
        <f t="shared" ref="D2:D10" si="0">CONCATENATE(B2," - ",C2)</f>
        <v>Hors climat Mediterranéen - Grandes cultures</v>
      </c>
      <c r="E2" s="37">
        <v>52</v>
      </c>
    </row>
    <row r="3" spans="1:8" x14ac:dyDescent="0.3">
      <c r="A3" s="50" t="s">
        <v>193</v>
      </c>
      <c r="B3" s="50" t="s">
        <v>26</v>
      </c>
      <c r="C3" s="37" t="s">
        <v>194</v>
      </c>
      <c r="D3" s="37" t="str">
        <f t="shared" si="0"/>
        <v>Hors climat Mediterranéen - Prairies permanentes</v>
      </c>
      <c r="E3" s="37">
        <v>85</v>
      </c>
    </row>
    <row r="4" spans="1:8" x14ac:dyDescent="0.3">
      <c r="A4" s="50" t="s">
        <v>193</v>
      </c>
      <c r="B4" s="50" t="s">
        <v>26</v>
      </c>
      <c r="C4" s="37" t="s">
        <v>195</v>
      </c>
      <c r="D4" s="37" t="str">
        <f t="shared" si="0"/>
        <v>Hors climat Mediterranéen - Viticulture</v>
      </c>
      <c r="E4" s="37">
        <v>34</v>
      </c>
    </row>
    <row r="5" spans="1:8" x14ac:dyDescent="0.3">
      <c r="A5" s="50" t="s">
        <v>193</v>
      </c>
      <c r="B5" s="50" t="s">
        <v>26</v>
      </c>
      <c r="C5" s="37" t="s">
        <v>196</v>
      </c>
      <c r="D5" s="37" t="str">
        <f t="shared" si="0"/>
        <v>Hors climat Mediterranéen - Vergers</v>
      </c>
      <c r="E5" s="37">
        <v>47</v>
      </c>
    </row>
    <row r="6" spans="1:8" ht="15" customHeight="1" x14ac:dyDescent="0.3">
      <c r="A6" s="50" t="s">
        <v>193</v>
      </c>
      <c r="B6" s="50" t="s">
        <v>197</v>
      </c>
      <c r="C6" s="37" t="s">
        <v>30</v>
      </c>
      <c r="D6" s="37" t="str">
        <f t="shared" si="0"/>
        <v>Climat Sec Mediterranéen - Grandes cultures</v>
      </c>
      <c r="E6" s="37">
        <v>43.1</v>
      </c>
    </row>
    <row r="7" spans="1:8" x14ac:dyDescent="0.3">
      <c r="A7" s="50" t="s">
        <v>193</v>
      </c>
      <c r="B7" s="50" t="s">
        <v>197</v>
      </c>
      <c r="C7" s="37" t="b">
        <f>IF(Eligibilité_projet!B13="",'(ne pas modifier) BDD_REF'!B234:E234)</f>
        <v>0</v>
      </c>
      <c r="D7" s="37" t="str">
        <f t="shared" si="0"/>
        <v>Climat Sec Mediterranéen - FAUX</v>
      </c>
      <c r="E7" s="37">
        <v>49.5</v>
      </c>
    </row>
    <row r="8" spans="1:8" x14ac:dyDescent="0.3">
      <c r="A8" s="50" t="s">
        <v>193</v>
      </c>
      <c r="B8" s="50" t="s">
        <v>197</v>
      </c>
      <c r="C8" s="37" t="s">
        <v>195</v>
      </c>
      <c r="D8" s="37" t="str">
        <f t="shared" si="0"/>
        <v>Climat Sec Mediterranéen - Viticulture</v>
      </c>
      <c r="E8" s="37">
        <v>34.299999999999997</v>
      </c>
    </row>
    <row r="9" spans="1:8" x14ac:dyDescent="0.3">
      <c r="A9" s="50" t="s">
        <v>193</v>
      </c>
      <c r="B9" s="50" t="s">
        <v>197</v>
      </c>
      <c r="C9" s="37" t="s">
        <v>196</v>
      </c>
      <c r="D9" s="37" t="str">
        <f t="shared" si="0"/>
        <v>Climat Sec Mediterranéen - Vergers</v>
      </c>
      <c r="E9" s="37">
        <v>41.5</v>
      </c>
    </row>
    <row r="10" spans="1:8" x14ac:dyDescent="0.3">
      <c r="A10" s="50" t="s">
        <v>193</v>
      </c>
      <c r="B10" s="50" t="s">
        <v>197</v>
      </c>
      <c r="C10" s="37" t="s">
        <v>198</v>
      </c>
      <c r="D10" s="37" t="str">
        <f t="shared" si="0"/>
        <v>Climat Sec Mediterranéen - Friche herbacée</v>
      </c>
      <c r="E10" s="37">
        <v>52.7</v>
      </c>
    </row>
    <row r="11" spans="1:8" x14ac:dyDescent="0.3">
      <c r="A11" s="50" t="s">
        <v>199</v>
      </c>
      <c r="B11" s="50" t="s">
        <v>26</v>
      </c>
      <c r="C11" s="37" t="s">
        <v>30</v>
      </c>
      <c r="D11" s="37" t="str">
        <f>CONCATENATE(B11," - ",C11)</f>
        <v>Hors climat Mediterranéen - Grandes cultures</v>
      </c>
      <c r="E11" s="37">
        <f>(E5-E2)/20</f>
        <v>-0.25</v>
      </c>
    </row>
    <row r="12" spans="1:8" x14ac:dyDescent="0.3">
      <c r="A12" s="50" t="s">
        <v>199</v>
      </c>
      <c r="B12" s="50" t="s">
        <v>26</v>
      </c>
      <c r="C12" s="37" t="s">
        <v>194</v>
      </c>
      <c r="D12" s="37" t="str">
        <f t="shared" ref="D12:D17" si="1">CONCATENATE(B12," - ",C12)</f>
        <v>Hors climat Mediterranéen - Prairies permanentes</v>
      </c>
      <c r="E12" s="37">
        <f>(E5-E3)/20</f>
        <v>-1.9</v>
      </c>
    </row>
    <row r="13" spans="1:8" x14ac:dyDescent="0.3">
      <c r="A13" s="50" t="s">
        <v>199</v>
      </c>
      <c r="B13" s="50" t="s">
        <v>26</v>
      </c>
      <c r="C13" s="37" t="s">
        <v>195</v>
      </c>
      <c r="D13" s="37" t="str">
        <f t="shared" si="1"/>
        <v>Hors climat Mediterranéen - Viticulture</v>
      </c>
      <c r="E13" s="37">
        <f>(E5-E4)/20</f>
        <v>0.65</v>
      </c>
    </row>
    <row r="14" spans="1:8" x14ac:dyDescent="0.3">
      <c r="A14" s="50" t="s">
        <v>199</v>
      </c>
      <c r="B14" s="50" t="s">
        <v>197</v>
      </c>
      <c r="C14" s="37" t="s">
        <v>30</v>
      </c>
      <c r="D14" s="37" t="str">
        <f t="shared" si="1"/>
        <v>Climat Sec Mediterranéen - Grandes cultures</v>
      </c>
      <c r="E14" s="37">
        <f>(E9-E6)/20</f>
        <v>-8.0000000000000071E-2</v>
      </c>
      <c r="G14" s="51"/>
    </row>
    <row r="15" spans="1:8" x14ac:dyDescent="0.3">
      <c r="A15" s="50" t="s">
        <v>199</v>
      </c>
      <c r="B15" s="50" t="s">
        <v>197</v>
      </c>
      <c r="C15" s="37" t="s">
        <v>194</v>
      </c>
      <c r="D15" s="37" t="str">
        <f t="shared" si="1"/>
        <v>Climat Sec Mediterranéen - Prairies permanentes</v>
      </c>
      <c r="E15" s="37">
        <f>(E9-E7)/20</f>
        <v>-0.4</v>
      </c>
      <c r="G15" s="51"/>
    </row>
    <row r="16" spans="1:8" x14ac:dyDescent="0.3">
      <c r="A16" s="50" t="s">
        <v>199</v>
      </c>
      <c r="B16" s="50" t="s">
        <v>197</v>
      </c>
      <c r="C16" s="37" t="s">
        <v>195</v>
      </c>
      <c r="D16" s="37" t="str">
        <f t="shared" si="1"/>
        <v>Climat Sec Mediterranéen - Viticulture</v>
      </c>
      <c r="E16" s="37">
        <f>(E9-E8)/20</f>
        <v>0.36000000000000015</v>
      </c>
      <c r="G16" s="51"/>
    </row>
    <row r="17" spans="1:7" x14ac:dyDescent="0.3">
      <c r="A17" s="50" t="s">
        <v>199</v>
      </c>
      <c r="B17" s="50" t="s">
        <v>197</v>
      </c>
      <c r="C17" s="37" t="s">
        <v>198</v>
      </c>
      <c r="D17" s="37" t="str">
        <f t="shared" si="1"/>
        <v>Climat Sec Mediterranéen - Friche herbacée</v>
      </c>
      <c r="E17" s="37">
        <f>(E9-E10)/20</f>
        <v>-0.56000000000000016</v>
      </c>
      <c r="G17" s="51"/>
    </row>
    <row r="20" spans="1:7" x14ac:dyDescent="0.3">
      <c r="A20" s="52" t="s">
        <v>200</v>
      </c>
      <c r="B20" s="52" t="s">
        <v>23</v>
      </c>
      <c r="C20" s="52" t="s">
        <v>201</v>
      </c>
      <c r="D20" s="52" t="s">
        <v>202</v>
      </c>
    </row>
    <row r="21" spans="1:7" x14ac:dyDescent="0.3">
      <c r="A21" s="37" t="s">
        <v>203</v>
      </c>
      <c r="B21" s="37" t="s">
        <v>204</v>
      </c>
      <c r="C21" s="37" t="str">
        <f>CONCATENATE(A21," - ",B21)</f>
        <v>Abricotier - Gobelet</v>
      </c>
      <c r="D21" s="37">
        <v>300</v>
      </c>
    </row>
    <row r="22" spans="1:7" x14ac:dyDescent="0.3">
      <c r="A22" s="37" t="s">
        <v>205</v>
      </c>
      <c r="B22" s="37" t="s">
        <v>204</v>
      </c>
      <c r="C22" s="37" t="str">
        <f t="shared" ref="C22:C42" si="2">CONCATENATE(A22," - ",B22)</f>
        <v>Amandier - Gobelet</v>
      </c>
      <c r="D22" s="37">
        <v>150</v>
      </c>
    </row>
    <row r="23" spans="1:7" x14ac:dyDescent="0.3">
      <c r="A23" s="37" t="s">
        <v>206</v>
      </c>
      <c r="B23" s="37" t="s">
        <v>207</v>
      </c>
      <c r="C23" s="37" t="str">
        <f t="shared" si="2"/>
        <v>Cerisier de table - Axe</v>
      </c>
      <c r="D23" s="37">
        <v>600</v>
      </c>
    </row>
    <row r="24" spans="1:7" x14ac:dyDescent="0.3">
      <c r="A24" s="37" t="s">
        <v>208</v>
      </c>
      <c r="B24" s="37" t="s">
        <v>204</v>
      </c>
      <c r="C24" s="37" t="str">
        <f t="shared" si="2"/>
        <v>Cerisier - Gobelet</v>
      </c>
      <c r="D24" s="37">
        <v>150</v>
      </c>
    </row>
    <row r="25" spans="1:7" x14ac:dyDescent="0.3">
      <c r="A25" s="37" t="s">
        <v>209</v>
      </c>
      <c r="B25" s="37" t="s">
        <v>210</v>
      </c>
      <c r="C25" s="37" t="str">
        <f t="shared" si="2"/>
        <v>Châtaignier - Plein vent</v>
      </c>
      <c r="D25" s="37">
        <v>40</v>
      </c>
    </row>
    <row r="26" spans="1:7" x14ac:dyDescent="0.3">
      <c r="A26" s="37" t="s">
        <v>211</v>
      </c>
      <c r="B26" s="37" t="s">
        <v>210</v>
      </c>
      <c r="C26" s="37" t="str">
        <f t="shared" si="2"/>
        <v>Clémentinier - Plein vent</v>
      </c>
      <c r="D26" s="37">
        <v>500</v>
      </c>
    </row>
    <row r="27" spans="1:7" x14ac:dyDescent="0.3">
      <c r="A27" s="37" t="s">
        <v>212</v>
      </c>
      <c r="B27" s="37" t="s">
        <v>204</v>
      </c>
      <c r="C27" s="37" t="str">
        <f t="shared" si="2"/>
        <v>Cognassier - Gobelet</v>
      </c>
      <c r="D27" s="37">
        <v>300</v>
      </c>
    </row>
    <row r="28" spans="1:7" x14ac:dyDescent="0.3">
      <c r="A28" s="37" t="s">
        <v>212</v>
      </c>
      <c r="B28" s="37" t="s">
        <v>207</v>
      </c>
      <c r="C28" s="37" t="str">
        <f t="shared" si="2"/>
        <v>Cognassier - Axe</v>
      </c>
      <c r="D28" s="37">
        <v>1000</v>
      </c>
    </row>
    <row r="29" spans="1:7" x14ac:dyDescent="0.3">
      <c r="A29" s="37" t="s">
        <v>213</v>
      </c>
      <c r="B29" s="37" t="s">
        <v>204</v>
      </c>
      <c r="C29" s="37" t="str">
        <f t="shared" si="2"/>
        <v>Figuier - Gobelet</v>
      </c>
      <c r="D29" s="37">
        <v>200</v>
      </c>
    </row>
    <row r="30" spans="1:7" x14ac:dyDescent="0.3">
      <c r="A30" s="37" t="s">
        <v>214</v>
      </c>
      <c r="B30" s="37" t="s">
        <v>215</v>
      </c>
      <c r="C30" s="37" t="str">
        <f t="shared" si="2"/>
        <v>Kiwi - T-Barre</v>
      </c>
      <c r="D30" s="37">
        <v>350</v>
      </c>
    </row>
    <row r="31" spans="1:7" x14ac:dyDescent="0.3">
      <c r="A31" s="37" t="s">
        <v>216</v>
      </c>
      <c r="B31" s="37" t="s">
        <v>204</v>
      </c>
      <c r="C31" s="37" t="str">
        <f t="shared" si="2"/>
        <v>Noisetier - Gobelet</v>
      </c>
      <c r="D31" s="37">
        <v>250</v>
      </c>
    </row>
    <row r="32" spans="1:7" x14ac:dyDescent="0.3">
      <c r="A32" s="37" t="s">
        <v>217</v>
      </c>
      <c r="B32" s="37" t="s">
        <v>210</v>
      </c>
      <c r="C32" s="37" t="str">
        <f t="shared" si="2"/>
        <v>Noyer - Plein vent</v>
      </c>
      <c r="D32" s="37">
        <v>50</v>
      </c>
    </row>
    <row r="33" spans="1:7" x14ac:dyDescent="0.3">
      <c r="A33" s="37" t="s">
        <v>218</v>
      </c>
      <c r="B33" s="37" t="s">
        <v>207</v>
      </c>
      <c r="C33" s="37" t="str">
        <f t="shared" si="2"/>
        <v>Pêcher - Axe</v>
      </c>
      <c r="D33" s="37">
        <v>1000</v>
      </c>
    </row>
    <row r="34" spans="1:7" x14ac:dyDescent="0.3">
      <c r="A34" s="37" t="s">
        <v>218</v>
      </c>
      <c r="B34" s="37" t="s">
        <v>219</v>
      </c>
      <c r="C34" s="37" t="str">
        <f t="shared" si="2"/>
        <v>Pêcher - Upsilon</v>
      </c>
      <c r="D34" s="37">
        <v>500</v>
      </c>
    </row>
    <row r="35" spans="1:7" x14ac:dyDescent="0.3">
      <c r="A35" s="37" t="s">
        <v>218</v>
      </c>
      <c r="B35" s="37" t="s">
        <v>220</v>
      </c>
      <c r="C35" s="37" t="str">
        <f t="shared" si="2"/>
        <v>Pêcher - Palmette</v>
      </c>
      <c r="D35" s="37">
        <v>500</v>
      </c>
    </row>
    <row r="36" spans="1:7" x14ac:dyDescent="0.3">
      <c r="A36" s="37" t="s">
        <v>218</v>
      </c>
      <c r="B36" s="37" t="s">
        <v>204</v>
      </c>
      <c r="C36" s="37" t="str">
        <f t="shared" si="2"/>
        <v>Pêcher - Gobelet</v>
      </c>
      <c r="D36" s="37">
        <v>350</v>
      </c>
    </row>
    <row r="37" spans="1:7" x14ac:dyDescent="0.3">
      <c r="A37" s="37" t="s">
        <v>221</v>
      </c>
      <c r="B37" s="37" t="s">
        <v>207</v>
      </c>
      <c r="C37" s="37" t="str">
        <f t="shared" si="2"/>
        <v>Poirier - Axe</v>
      </c>
      <c r="D37" s="37">
        <v>1000</v>
      </c>
    </row>
    <row r="38" spans="1:7" x14ac:dyDescent="0.3">
      <c r="A38" s="37" t="s">
        <v>221</v>
      </c>
      <c r="B38" s="37" t="s">
        <v>204</v>
      </c>
      <c r="C38" s="37" t="str">
        <f t="shared" si="2"/>
        <v>Poirier - Gobelet</v>
      </c>
      <c r="D38" s="37">
        <v>300</v>
      </c>
    </row>
    <row r="39" spans="1:7" x14ac:dyDescent="0.3">
      <c r="A39" s="37" t="s">
        <v>222</v>
      </c>
      <c r="B39" s="37" t="s">
        <v>207</v>
      </c>
      <c r="C39" s="37" t="str">
        <f t="shared" si="2"/>
        <v>Pommier - Axe</v>
      </c>
      <c r="D39" s="37">
        <v>1000</v>
      </c>
    </row>
    <row r="40" spans="1:7" x14ac:dyDescent="0.3">
      <c r="A40" s="37" t="s">
        <v>222</v>
      </c>
      <c r="B40" s="37" t="s">
        <v>204</v>
      </c>
      <c r="C40" s="37" t="str">
        <f t="shared" si="2"/>
        <v>Pommier - Gobelet</v>
      </c>
      <c r="D40" s="37">
        <v>300</v>
      </c>
    </row>
    <row r="41" spans="1:7" x14ac:dyDescent="0.3">
      <c r="A41" s="37" t="s">
        <v>223</v>
      </c>
      <c r="B41" s="37" t="s">
        <v>207</v>
      </c>
      <c r="C41" s="37" t="str">
        <f t="shared" si="2"/>
        <v>Prunier de table - Axe</v>
      </c>
      <c r="D41" s="37">
        <v>1000</v>
      </c>
    </row>
    <row r="42" spans="1:7" x14ac:dyDescent="0.3">
      <c r="A42" s="37" t="s">
        <v>223</v>
      </c>
      <c r="B42" s="37" t="s">
        <v>204</v>
      </c>
      <c r="C42" s="37" t="str">
        <f t="shared" si="2"/>
        <v>Prunier de table - Gobelet</v>
      </c>
      <c r="D42" s="37">
        <v>300</v>
      </c>
    </row>
    <row r="44" spans="1:7" ht="15.6" x14ac:dyDescent="0.3">
      <c r="B44" s="119" t="s">
        <v>197</v>
      </c>
      <c r="C44" s="120"/>
      <c r="D44" s="121"/>
      <c r="E44" s="119" t="s">
        <v>224</v>
      </c>
      <c r="F44" s="120"/>
      <c r="G44" s="121"/>
    </row>
    <row r="45" spans="1:7" ht="31.2" x14ac:dyDescent="0.3">
      <c r="A45" s="53" t="s">
        <v>225</v>
      </c>
      <c r="B45" s="54" t="s">
        <v>226</v>
      </c>
      <c r="C45" s="47" t="s">
        <v>227</v>
      </c>
      <c r="D45" s="55" t="s">
        <v>228</v>
      </c>
      <c r="E45" s="54" t="s">
        <v>226</v>
      </c>
      <c r="F45" s="47" t="s">
        <v>227</v>
      </c>
      <c r="G45" s="55" t="s">
        <v>228</v>
      </c>
    </row>
    <row r="46" spans="1:7" x14ac:dyDescent="0.3">
      <c r="A46" s="37">
        <v>1</v>
      </c>
      <c r="B46" s="37">
        <v>2.4</v>
      </c>
      <c r="C46" s="37">
        <v>9.9</v>
      </c>
      <c r="D46" s="37">
        <f>B46-C46</f>
        <v>-7.5</v>
      </c>
      <c r="E46" s="37">
        <v>2.7</v>
      </c>
      <c r="F46" s="37">
        <v>5</v>
      </c>
      <c r="G46" s="37">
        <f>E46-F46</f>
        <v>-2.2999999999999998</v>
      </c>
    </row>
    <row r="47" spans="1:7" x14ac:dyDescent="0.3">
      <c r="A47" s="37">
        <v>2</v>
      </c>
      <c r="B47" s="37">
        <v>3.72</v>
      </c>
      <c r="C47" s="37">
        <v>9.9</v>
      </c>
      <c r="D47" s="37">
        <f t="shared" ref="D47:D65" si="3">B47-C47</f>
        <v>-6.18</v>
      </c>
      <c r="E47" s="37">
        <v>4.2</v>
      </c>
      <c r="F47" s="37">
        <v>5</v>
      </c>
      <c r="G47" s="37">
        <f t="shared" ref="G47:G65" si="4">E47-F47</f>
        <v>-0.79999999999999982</v>
      </c>
    </row>
    <row r="48" spans="1:7" x14ac:dyDescent="0.3">
      <c r="A48" s="37">
        <v>3</v>
      </c>
      <c r="B48" s="37">
        <v>5.04</v>
      </c>
      <c r="C48" s="37">
        <v>9.9</v>
      </c>
      <c r="D48" s="37">
        <f t="shared" si="3"/>
        <v>-4.8600000000000003</v>
      </c>
      <c r="E48" s="37">
        <v>5.6</v>
      </c>
      <c r="F48" s="37">
        <v>5</v>
      </c>
      <c r="G48" s="37">
        <f t="shared" si="4"/>
        <v>0.59999999999999964</v>
      </c>
    </row>
    <row r="49" spans="1:7" x14ac:dyDescent="0.3">
      <c r="A49" s="37">
        <v>4</v>
      </c>
      <c r="B49" s="37">
        <v>6.36</v>
      </c>
      <c r="C49" s="37">
        <v>9.9</v>
      </c>
      <c r="D49" s="37">
        <f t="shared" si="3"/>
        <v>-3.54</v>
      </c>
      <c r="E49" s="37">
        <v>7.1</v>
      </c>
      <c r="F49" s="37">
        <v>5</v>
      </c>
      <c r="G49" s="37">
        <f t="shared" si="4"/>
        <v>2.0999999999999996</v>
      </c>
    </row>
    <row r="50" spans="1:7" x14ac:dyDescent="0.3">
      <c r="A50" s="37">
        <v>5</v>
      </c>
      <c r="B50" s="37">
        <v>6.6</v>
      </c>
      <c r="C50" s="37">
        <v>9.9</v>
      </c>
      <c r="D50" s="37">
        <f t="shared" si="3"/>
        <v>-3.3000000000000007</v>
      </c>
      <c r="E50" s="37">
        <v>7.4</v>
      </c>
      <c r="F50" s="37">
        <v>5</v>
      </c>
      <c r="G50" s="37">
        <f t="shared" si="4"/>
        <v>2.4000000000000004</v>
      </c>
    </row>
    <row r="51" spans="1:7" x14ac:dyDescent="0.3">
      <c r="A51" s="37">
        <v>6</v>
      </c>
      <c r="B51" s="37">
        <v>7.7</v>
      </c>
      <c r="C51" s="37">
        <v>9.9</v>
      </c>
      <c r="D51" s="37">
        <f t="shared" si="3"/>
        <v>-2.2000000000000002</v>
      </c>
      <c r="E51" s="37">
        <v>8.6</v>
      </c>
      <c r="F51" s="37">
        <v>5</v>
      </c>
      <c r="G51" s="37">
        <f t="shared" si="4"/>
        <v>3.5999999999999996</v>
      </c>
    </row>
    <row r="52" spans="1:7" x14ac:dyDescent="0.3">
      <c r="A52" s="37">
        <v>7</v>
      </c>
      <c r="B52" s="37">
        <v>8.8000000000000007</v>
      </c>
      <c r="C52" s="37">
        <v>9.9</v>
      </c>
      <c r="D52" s="37">
        <f t="shared" si="3"/>
        <v>-1.0999999999999996</v>
      </c>
      <c r="E52" s="37">
        <v>9.8000000000000007</v>
      </c>
      <c r="F52" s="37">
        <v>5</v>
      </c>
      <c r="G52" s="37">
        <f t="shared" si="4"/>
        <v>4.8000000000000007</v>
      </c>
    </row>
    <row r="53" spans="1:7" x14ac:dyDescent="0.3">
      <c r="A53" s="37">
        <v>8</v>
      </c>
      <c r="B53" s="37">
        <v>9.9</v>
      </c>
      <c r="C53" s="37">
        <v>9.9</v>
      </c>
      <c r="D53" s="37">
        <f t="shared" si="3"/>
        <v>0</v>
      </c>
      <c r="E53" s="37">
        <v>11.1</v>
      </c>
      <c r="F53" s="37">
        <v>5</v>
      </c>
      <c r="G53" s="37">
        <f t="shared" si="4"/>
        <v>6.1</v>
      </c>
    </row>
    <row r="54" spans="1:7" x14ac:dyDescent="0.3">
      <c r="A54" s="37">
        <v>9</v>
      </c>
      <c r="B54" s="37">
        <v>11</v>
      </c>
      <c r="C54" s="37">
        <v>9.9</v>
      </c>
      <c r="D54" s="37">
        <f t="shared" si="3"/>
        <v>1.0999999999999996</v>
      </c>
      <c r="E54" s="37">
        <v>12.3</v>
      </c>
      <c r="F54" s="37">
        <v>5</v>
      </c>
      <c r="G54" s="37">
        <f t="shared" si="4"/>
        <v>7.3000000000000007</v>
      </c>
    </row>
    <row r="55" spans="1:7" x14ac:dyDescent="0.3">
      <c r="A55" s="37">
        <v>10</v>
      </c>
      <c r="B55" s="37">
        <v>12.1</v>
      </c>
      <c r="C55" s="37">
        <v>9.9</v>
      </c>
      <c r="D55" s="37">
        <f t="shared" si="3"/>
        <v>2.1999999999999993</v>
      </c>
      <c r="E55" s="37">
        <v>13.5</v>
      </c>
      <c r="F55" s="37">
        <v>5</v>
      </c>
      <c r="G55" s="37">
        <f t="shared" si="4"/>
        <v>8.5</v>
      </c>
    </row>
    <row r="56" spans="1:7" x14ac:dyDescent="0.3">
      <c r="A56" s="37">
        <v>11</v>
      </c>
      <c r="B56" s="37">
        <v>12.46</v>
      </c>
      <c r="C56" s="37">
        <v>9.9</v>
      </c>
      <c r="D56" s="37">
        <f t="shared" si="3"/>
        <v>2.5600000000000005</v>
      </c>
      <c r="E56" s="37">
        <v>13.9</v>
      </c>
      <c r="F56" s="37">
        <v>5</v>
      </c>
      <c r="G56" s="37">
        <f t="shared" si="4"/>
        <v>8.9</v>
      </c>
    </row>
    <row r="57" spans="1:7" x14ac:dyDescent="0.3">
      <c r="A57" s="37">
        <v>12</v>
      </c>
      <c r="B57" s="37">
        <v>12.82</v>
      </c>
      <c r="C57" s="37">
        <v>9.9</v>
      </c>
      <c r="D57" s="37">
        <f t="shared" si="3"/>
        <v>2.92</v>
      </c>
      <c r="E57" s="37">
        <v>14.3</v>
      </c>
      <c r="F57" s="37">
        <v>5</v>
      </c>
      <c r="G57" s="37">
        <f t="shared" si="4"/>
        <v>9.3000000000000007</v>
      </c>
    </row>
    <row r="58" spans="1:7" x14ac:dyDescent="0.3">
      <c r="A58" s="37">
        <v>13</v>
      </c>
      <c r="B58" s="37">
        <v>13.18</v>
      </c>
      <c r="C58" s="37">
        <v>9.9</v>
      </c>
      <c r="D58" s="37">
        <f t="shared" si="3"/>
        <v>3.2799999999999994</v>
      </c>
      <c r="E58" s="37">
        <v>14.7</v>
      </c>
      <c r="F58" s="37">
        <v>5</v>
      </c>
      <c r="G58" s="37">
        <f t="shared" si="4"/>
        <v>9.6999999999999993</v>
      </c>
    </row>
    <row r="59" spans="1:7" x14ac:dyDescent="0.3">
      <c r="A59" s="37">
        <v>14</v>
      </c>
      <c r="B59" s="37">
        <v>13.54</v>
      </c>
      <c r="C59" s="37">
        <v>9.9</v>
      </c>
      <c r="D59" s="37">
        <f t="shared" si="3"/>
        <v>3.6399999999999988</v>
      </c>
      <c r="E59" s="37">
        <v>15.1</v>
      </c>
      <c r="F59" s="37">
        <v>5</v>
      </c>
      <c r="G59" s="37">
        <f t="shared" si="4"/>
        <v>10.1</v>
      </c>
    </row>
    <row r="60" spans="1:7" x14ac:dyDescent="0.3">
      <c r="A60" s="37">
        <v>15</v>
      </c>
      <c r="B60" s="37">
        <v>13.9</v>
      </c>
      <c r="C60" s="37">
        <v>9.9</v>
      </c>
      <c r="D60" s="37">
        <f t="shared" si="3"/>
        <v>4</v>
      </c>
      <c r="E60" s="37">
        <v>15.6</v>
      </c>
      <c r="F60" s="37">
        <v>5</v>
      </c>
      <c r="G60" s="37">
        <f t="shared" si="4"/>
        <v>10.6</v>
      </c>
    </row>
    <row r="61" spans="1:7" x14ac:dyDescent="0.3">
      <c r="A61" s="37">
        <v>16</v>
      </c>
      <c r="B61" s="37">
        <v>13.98</v>
      </c>
      <c r="C61" s="37">
        <v>9.9</v>
      </c>
      <c r="D61" s="37">
        <f t="shared" si="3"/>
        <v>4.08</v>
      </c>
      <c r="E61" s="37">
        <v>15.6</v>
      </c>
      <c r="F61" s="37">
        <v>5</v>
      </c>
      <c r="G61" s="37">
        <f t="shared" si="4"/>
        <v>10.6</v>
      </c>
    </row>
    <row r="62" spans="1:7" x14ac:dyDescent="0.3">
      <c r="A62" s="37">
        <v>17</v>
      </c>
      <c r="B62" s="37">
        <v>14.06</v>
      </c>
      <c r="C62" s="37">
        <v>9.9</v>
      </c>
      <c r="D62" s="37">
        <f t="shared" si="3"/>
        <v>4.16</v>
      </c>
      <c r="E62" s="37">
        <v>15.7</v>
      </c>
      <c r="F62" s="37">
        <v>5</v>
      </c>
      <c r="G62" s="37">
        <f t="shared" si="4"/>
        <v>10.7</v>
      </c>
    </row>
    <row r="63" spans="1:7" x14ac:dyDescent="0.3">
      <c r="A63" s="37">
        <v>18</v>
      </c>
      <c r="B63" s="37">
        <v>14.14</v>
      </c>
      <c r="C63" s="37">
        <v>9.9</v>
      </c>
      <c r="D63" s="37">
        <f t="shared" si="3"/>
        <v>4.24</v>
      </c>
      <c r="E63" s="37">
        <v>15.8</v>
      </c>
      <c r="F63" s="37">
        <v>5</v>
      </c>
      <c r="G63" s="37">
        <f t="shared" si="4"/>
        <v>10.8</v>
      </c>
    </row>
    <row r="64" spans="1:7" x14ac:dyDescent="0.3">
      <c r="A64" s="37">
        <v>19</v>
      </c>
      <c r="B64" s="37">
        <v>14.22</v>
      </c>
      <c r="C64" s="37">
        <v>9.9</v>
      </c>
      <c r="D64" s="37">
        <f t="shared" si="3"/>
        <v>4.32</v>
      </c>
      <c r="E64" s="37">
        <v>15.9</v>
      </c>
      <c r="F64" s="37">
        <v>5</v>
      </c>
      <c r="G64" s="37">
        <f t="shared" si="4"/>
        <v>10.9</v>
      </c>
    </row>
    <row r="65" spans="1:7" x14ac:dyDescent="0.3">
      <c r="A65" s="37">
        <v>20</v>
      </c>
      <c r="B65" s="37">
        <v>14.3</v>
      </c>
      <c r="C65" s="37">
        <v>9.9</v>
      </c>
      <c r="D65" s="37">
        <f t="shared" si="3"/>
        <v>4.4000000000000004</v>
      </c>
      <c r="E65" s="37">
        <v>16</v>
      </c>
      <c r="F65" s="37">
        <v>5</v>
      </c>
      <c r="G65" s="37">
        <f t="shared" si="4"/>
        <v>11</v>
      </c>
    </row>
    <row r="67" spans="1:7" ht="15.6" x14ac:dyDescent="0.3">
      <c r="A67" s="56" t="s">
        <v>229</v>
      </c>
      <c r="B67" s="56" t="s">
        <v>29</v>
      </c>
      <c r="C67" s="56" t="s">
        <v>230</v>
      </c>
      <c r="D67" s="56" t="s">
        <v>231</v>
      </c>
      <c r="E67" s="56" t="s">
        <v>232</v>
      </c>
    </row>
    <row r="68" spans="1:7" x14ac:dyDescent="0.3">
      <c r="A68" s="57">
        <v>10</v>
      </c>
      <c r="B68" s="37" t="s">
        <v>30</v>
      </c>
      <c r="C68" s="50" t="s">
        <v>197</v>
      </c>
      <c r="D68" s="37" t="str">
        <f>CONCATENATE(A68," - ",B68,"-",C68)</f>
        <v>10 - Grandes cultures-Climat Sec Mediterranéen</v>
      </c>
      <c r="E68" s="58">
        <f>SUM(B$46:B$55)/11</f>
        <v>6.6927272727272715</v>
      </c>
    </row>
    <row r="69" spans="1:7" x14ac:dyDescent="0.3">
      <c r="A69" s="57">
        <v>11</v>
      </c>
      <c r="B69" s="37" t="s">
        <v>30</v>
      </c>
      <c r="C69" s="50" t="s">
        <v>197</v>
      </c>
      <c r="D69" s="37" t="str">
        <f t="shared" ref="D69:D100" si="5">CONCATENATE(A69," - ",B69,"-",C69)</f>
        <v>11 - Grandes cultures-Climat Sec Mediterranéen</v>
      </c>
      <c r="E69" s="58">
        <f>SUM(B$46:B$56)/12</f>
        <v>7.173333333333332</v>
      </c>
    </row>
    <row r="70" spans="1:7" x14ac:dyDescent="0.3">
      <c r="A70" s="57">
        <v>12</v>
      </c>
      <c r="B70" s="37" t="s">
        <v>30</v>
      </c>
      <c r="C70" s="50" t="s">
        <v>197</v>
      </c>
      <c r="D70" s="37" t="str">
        <f t="shared" si="5"/>
        <v>12 - Grandes cultures-Climat Sec Mediterranéen</v>
      </c>
      <c r="E70" s="58">
        <f>SUM(B$46:B$57)/(A70+1)</f>
        <v>7.6076923076923055</v>
      </c>
    </row>
    <row r="71" spans="1:7" x14ac:dyDescent="0.3">
      <c r="A71" s="57">
        <v>13</v>
      </c>
      <c r="B71" s="37" t="s">
        <v>30</v>
      </c>
      <c r="C71" s="50" t="s">
        <v>197</v>
      </c>
      <c r="D71" s="37" t="str">
        <f t="shared" si="5"/>
        <v>13 - Grandes cultures-Climat Sec Mediterranéen</v>
      </c>
      <c r="E71" s="58">
        <f>SUM(B$46:B$58)/14</f>
        <v>8.0057142857142853</v>
      </c>
    </row>
    <row r="72" spans="1:7" x14ac:dyDescent="0.3">
      <c r="A72" s="57">
        <v>14</v>
      </c>
      <c r="B72" s="37" t="s">
        <v>30</v>
      </c>
      <c r="C72" s="50" t="s">
        <v>197</v>
      </c>
      <c r="D72" s="37" t="str">
        <f t="shared" si="5"/>
        <v>14 - Grandes cultures-Climat Sec Mediterranéen</v>
      </c>
      <c r="E72" s="58">
        <f>SUM(B$46:B$59)/15</f>
        <v>8.3746666666666645</v>
      </c>
    </row>
    <row r="73" spans="1:7" x14ac:dyDescent="0.3">
      <c r="A73" s="57">
        <v>15</v>
      </c>
      <c r="B73" s="37" t="s">
        <v>30</v>
      </c>
      <c r="C73" s="50" t="s">
        <v>197</v>
      </c>
      <c r="D73" s="37" t="str">
        <f t="shared" si="5"/>
        <v>15 - Grandes cultures-Climat Sec Mediterranéen</v>
      </c>
      <c r="E73" s="58">
        <f>SUM(B$46:B$60)/16</f>
        <v>8.7199999999999989</v>
      </c>
    </row>
    <row r="74" spans="1:7" x14ac:dyDescent="0.3">
      <c r="A74" s="57">
        <v>16</v>
      </c>
      <c r="B74" s="37" t="s">
        <v>30</v>
      </c>
      <c r="C74" s="50" t="s">
        <v>197</v>
      </c>
      <c r="D74" s="37" t="str">
        <f t="shared" si="5"/>
        <v>16 - Grandes cultures-Climat Sec Mediterranéen</v>
      </c>
      <c r="E74" s="58">
        <f>SUM(B$46:B$61)/17</f>
        <v>9.0294117647058805</v>
      </c>
    </row>
    <row r="75" spans="1:7" x14ac:dyDescent="0.3">
      <c r="A75" s="57">
        <v>17</v>
      </c>
      <c r="B75" s="37" t="s">
        <v>30</v>
      </c>
      <c r="C75" s="50" t="s">
        <v>197</v>
      </c>
      <c r="D75" s="37" t="str">
        <f t="shared" si="5"/>
        <v>17 - Grandes cultures-Climat Sec Mediterranéen</v>
      </c>
      <c r="E75" s="58">
        <f>SUM(B$46:B$62)/18</f>
        <v>9.3088888888888874</v>
      </c>
    </row>
    <row r="76" spans="1:7" x14ac:dyDescent="0.3">
      <c r="A76" s="57">
        <v>18</v>
      </c>
      <c r="B76" s="37" t="s">
        <v>30</v>
      </c>
      <c r="C76" s="50" t="s">
        <v>197</v>
      </c>
      <c r="D76" s="37" t="str">
        <f t="shared" si="5"/>
        <v>18 - Grandes cultures-Climat Sec Mediterranéen</v>
      </c>
      <c r="E76" s="58">
        <f>SUM(B$46:B$63)/19</f>
        <v>9.5631578947368414</v>
      </c>
    </row>
    <row r="77" spans="1:7" x14ac:dyDescent="0.3">
      <c r="A77" s="57">
        <v>19</v>
      </c>
      <c r="B77" s="37" t="s">
        <v>30</v>
      </c>
      <c r="C77" s="50" t="s">
        <v>197</v>
      </c>
      <c r="D77" s="37" t="str">
        <f t="shared" si="5"/>
        <v>19 - Grandes cultures-Climat Sec Mediterranéen</v>
      </c>
      <c r="E77" s="58">
        <f>SUM(B$46:B$64)/20</f>
        <v>9.7959999999999994</v>
      </c>
    </row>
    <row r="78" spans="1:7" x14ac:dyDescent="0.3">
      <c r="A78" s="57">
        <v>20</v>
      </c>
      <c r="B78" s="37" t="s">
        <v>30</v>
      </c>
      <c r="C78" s="50" t="s">
        <v>197</v>
      </c>
      <c r="D78" s="37" t="str">
        <f t="shared" si="5"/>
        <v>20 - Grandes cultures-Climat Sec Mediterranéen</v>
      </c>
      <c r="E78" s="58">
        <f>SUM(B$46:B$65)/21</f>
        <v>10.01047619047619</v>
      </c>
    </row>
    <row r="79" spans="1:7" x14ac:dyDescent="0.3">
      <c r="A79" s="57">
        <v>10</v>
      </c>
      <c r="B79" s="37" t="s">
        <v>194</v>
      </c>
      <c r="C79" s="50" t="s">
        <v>197</v>
      </c>
      <c r="D79" s="37" t="str">
        <f t="shared" si="5"/>
        <v>10 - Prairies permanentes-Climat Sec Mediterranéen</v>
      </c>
      <c r="E79" s="58">
        <f>SUM(B$46:B$55)/11</f>
        <v>6.6927272727272715</v>
      </c>
    </row>
    <row r="80" spans="1:7" x14ac:dyDescent="0.3">
      <c r="A80" s="57">
        <v>11</v>
      </c>
      <c r="B80" s="37" t="s">
        <v>194</v>
      </c>
      <c r="C80" s="50" t="s">
        <v>197</v>
      </c>
      <c r="D80" s="37" t="str">
        <f t="shared" si="5"/>
        <v>11 - Prairies permanentes-Climat Sec Mediterranéen</v>
      </c>
      <c r="E80" s="58">
        <f>SUM(B$46:B$56)/12</f>
        <v>7.173333333333332</v>
      </c>
    </row>
    <row r="81" spans="1:5" x14ac:dyDescent="0.3">
      <c r="A81" s="57">
        <v>12</v>
      </c>
      <c r="B81" s="37" t="s">
        <v>194</v>
      </c>
      <c r="C81" s="50" t="s">
        <v>197</v>
      </c>
      <c r="D81" s="37" t="str">
        <f t="shared" si="5"/>
        <v>12 - Prairies permanentes-Climat Sec Mediterranéen</v>
      </c>
      <c r="E81" s="58">
        <f>SUM(B$46:B$57)/(A81+1)</f>
        <v>7.6076923076923055</v>
      </c>
    </row>
    <row r="82" spans="1:5" x14ac:dyDescent="0.3">
      <c r="A82" s="57">
        <v>13</v>
      </c>
      <c r="B82" s="37" t="s">
        <v>194</v>
      </c>
      <c r="C82" s="50" t="s">
        <v>197</v>
      </c>
      <c r="D82" s="37" t="str">
        <f t="shared" si="5"/>
        <v>13 - Prairies permanentes-Climat Sec Mediterranéen</v>
      </c>
      <c r="E82" s="58">
        <f>SUM(B$46:B$58)/14</f>
        <v>8.0057142857142853</v>
      </c>
    </row>
    <row r="83" spans="1:5" x14ac:dyDescent="0.3">
      <c r="A83" s="57">
        <v>14</v>
      </c>
      <c r="B83" s="37" t="s">
        <v>194</v>
      </c>
      <c r="C83" s="50" t="s">
        <v>197</v>
      </c>
      <c r="D83" s="37" t="str">
        <f t="shared" si="5"/>
        <v>14 - Prairies permanentes-Climat Sec Mediterranéen</v>
      </c>
      <c r="E83" s="58">
        <f>SUM(B$46:B$59)/15</f>
        <v>8.3746666666666645</v>
      </c>
    </row>
    <row r="84" spans="1:5" x14ac:dyDescent="0.3">
      <c r="A84" s="57">
        <v>15</v>
      </c>
      <c r="B84" s="37" t="s">
        <v>194</v>
      </c>
      <c r="C84" s="50" t="s">
        <v>197</v>
      </c>
      <c r="D84" s="37" t="str">
        <f t="shared" si="5"/>
        <v>15 - Prairies permanentes-Climat Sec Mediterranéen</v>
      </c>
      <c r="E84" s="58">
        <f>SUM(B$46:B$60)/16</f>
        <v>8.7199999999999989</v>
      </c>
    </row>
    <row r="85" spans="1:5" x14ac:dyDescent="0.3">
      <c r="A85" s="57">
        <v>16</v>
      </c>
      <c r="B85" s="37" t="s">
        <v>194</v>
      </c>
      <c r="C85" s="50" t="s">
        <v>197</v>
      </c>
      <c r="D85" s="37" t="str">
        <f t="shared" si="5"/>
        <v>16 - Prairies permanentes-Climat Sec Mediterranéen</v>
      </c>
      <c r="E85" s="58">
        <f>SUM(B$46:B$61)/17</f>
        <v>9.0294117647058805</v>
      </c>
    </row>
    <row r="86" spans="1:5" x14ac:dyDescent="0.3">
      <c r="A86" s="57">
        <v>17</v>
      </c>
      <c r="B86" s="37" t="s">
        <v>194</v>
      </c>
      <c r="C86" s="50" t="s">
        <v>197</v>
      </c>
      <c r="D86" s="37" t="str">
        <f t="shared" si="5"/>
        <v>17 - Prairies permanentes-Climat Sec Mediterranéen</v>
      </c>
      <c r="E86" s="58">
        <f>SUM(B$46:B$62)/18</f>
        <v>9.3088888888888874</v>
      </c>
    </row>
    <row r="87" spans="1:5" x14ac:dyDescent="0.3">
      <c r="A87" s="57">
        <v>18</v>
      </c>
      <c r="B87" s="37" t="s">
        <v>194</v>
      </c>
      <c r="C87" s="50" t="s">
        <v>197</v>
      </c>
      <c r="D87" s="37" t="str">
        <f t="shared" si="5"/>
        <v>18 - Prairies permanentes-Climat Sec Mediterranéen</v>
      </c>
      <c r="E87" s="58">
        <f>SUM(B$46:B$63)/19</f>
        <v>9.5631578947368414</v>
      </c>
    </row>
    <row r="88" spans="1:5" x14ac:dyDescent="0.3">
      <c r="A88" s="57">
        <v>19</v>
      </c>
      <c r="B88" s="37" t="s">
        <v>194</v>
      </c>
      <c r="C88" s="50" t="s">
        <v>197</v>
      </c>
      <c r="D88" s="37" t="str">
        <f t="shared" si="5"/>
        <v>19 - Prairies permanentes-Climat Sec Mediterranéen</v>
      </c>
      <c r="E88" s="58">
        <f>SUM(B$46:B$64)/20</f>
        <v>9.7959999999999994</v>
      </c>
    </row>
    <row r="89" spans="1:5" x14ac:dyDescent="0.3">
      <c r="A89" s="57">
        <v>20</v>
      </c>
      <c r="B89" s="37" t="s">
        <v>194</v>
      </c>
      <c r="C89" s="50" t="s">
        <v>197</v>
      </c>
      <c r="D89" s="37" t="str">
        <f t="shared" si="5"/>
        <v>20 - Prairies permanentes-Climat Sec Mediterranéen</v>
      </c>
      <c r="E89" s="58">
        <f>SUM(B$46:B$65)/21</f>
        <v>10.01047619047619</v>
      </c>
    </row>
    <row r="90" spans="1:5" x14ac:dyDescent="0.3">
      <c r="A90" s="57">
        <v>10</v>
      </c>
      <c r="B90" s="37" t="s">
        <v>195</v>
      </c>
      <c r="C90" s="50" t="s">
        <v>197</v>
      </c>
      <c r="D90" s="37" t="str">
        <f t="shared" si="5"/>
        <v>10 - Viticulture-Climat Sec Mediterranéen</v>
      </c>
      <c r="E90" s="58">
        <f>SUM(D46:D55)/11</f>
        <v>-2.3072727272727271</v>
      </c>
    </row>
    <row r="91" spans="1:5" x14ac:dyDescent="0.3">
      <c r="A91" s="57">
        <v>11</v>
      </c>
      <c r="B91" s="37" t="s">
        <v>195</v>
      </c>
      <c r="C91" s="50" t="s">
        <v>197</v>
      </c>
      <c r="D91" s="37" t="str">
        <f t="shared" si="5"/>
        <v>11 - Viticulture-Climat Sec Mediterranéen</v>
      </c>
      <c r="E91" s="58">
        <f>SUM(D46:D56)/12</f>
        <v>-1.9016666666666666</v>
      </c>
    </row>
    <row r="92" spans="1:5" x14ac:dyDescent="0.3">
      <c r="A92" s="57">
        <v>12</v>
      </c>
      <c r="B92" s="37" t="s">
        <v>195</v>
      </c>
      <c r="C92" s="50" t="s">
        <v>197</v>
      </c>
      <c r="D92" s="37" t="str">
        <f t="shared" si="5"/>
        <v>12 - Viticulture-Climat Sec Mediterranéen</v>
      </c>
      <c r="E92" s="58">
        <f>SUM(D46:D57)/13</f>
        <v>-1.5307692307692307</v>
      </c>
    </row>
    <row r="93" spans="1:5" x14ac:dyDescent="0.3">
      <c r="A93" s="57">
        <v>13</v>
      </c>
      <c r="B93" s="37" t="s">
        <v>195</v>
      </c>
      <c r="C93" s="50" t="s">
        <v>197</v>
      </c>
      <c r="D93" s="37" t="str">
        <f t="shared" si="5"/>
        <v>13 - Viticulture-Climat Sec Mediterranéen</v>
      </c>
      <c r="E93" s="58">
        <f>SUM(D46:D58)/14</f>
        <v>-1.1871428571428571</v>
      </c>
    </row>
    <row r="94" spans="1:5" x14ac:dyDescent="0.3">
      <c r="A94" s="57">
        <v>14</v>
      </c>
      <c r="B94" s="37" t="s">
        <v>195</v>
      </c>
      <c r="C94" s="50" t="s">
        <v>197</v>
      </c>
      <c r="D94" s="37" t="str">
        <f t="shared" si="5"/>
        <v>14 - Viticulture-Climat Sec Mediterranéen</v>
      </c>
      <c r="E94" s="58">
        <f>SUM(D46:D59)/15</f>
        <v>-0.86533333333333329</v>
      </c>
    </row>
    <row r="95" spans="1:5" x14ac:dyDescent="0.3">
      <c r="A95" s="57">
        <v>15</v>
      </c>
      <c r="B95" s="37" t="s">
        <v>195</v>
      </c>
      <c r="C95" s="50" t="s">
        <v>197</v>
      </c>
      <c r="D95" s="37" t="str">
        <f t="shared" si="5"/>
        <v>15 - Viticulture-Climat Sec Mediterranéen</v>
      </c>
      <c r="E95" s="58">
        <f>SUM(D46:D60)/16</f>
        <v>-0.56124999999999992</v>
      </c>
    </row>
    <row r="96" spans="1:5" x14ac:dyDescent="0.3">
      <c r="A96" s="57">
        <v>16</v>
      </c>
      <c r="B96" s="37" t="s">
        <v>195</v>
      </c>
      <c r="C96" s="50" t="s">
        <v>197</v>
      </c>
      <c r="D96" s="37" t="str">
        <f t="shared" si="5"/>
        <v>16 - Viticulture-Climat Sec Mediterranéen</v>
      </c>
      <c r="E96" s="58">
        <f>SUM(D46:D61)/17</f>
        <v>-0.28823529411764698</v>
      </c>
    </row>
    <row r="97" spans="1:5" x14ac:dyDescent="0.3">
      <c r="A97" s="57">
        <v>17</v>
      </c>
      <c r="B97" s="37" t="s">
        <v>195</v>
      </c>
      <c r="C97" s="50" t="s">
        <v>197</v>
      </c>
      <c r="D97" s="37" t="str">
        <f t="shared" si="5"/>
        <v>17 - Viticulture-Climat Sec Mediterranéen</v>
      </c>
      <c r="E97" s="58">
        <f>SUM(D46:D62)/18</f>
        <v>-4.1111111111111022E-2</v>
      </c>
    </row>
    <row r="98" spans="1:5" x14ac:dyDescent="0.3">
      <c r="A98" s="57">
        <v>18</v>
      </c>
      <c r="B98" s="37" t="s">
        <v>195</v>
      </c>
      <c r="C98" s="50" t="s">
        <v>197</v>
      </c>
      <c r="D98" s="37" t="str">
        <f t="shared" si="5"/>
        <v>18 - Viticulture-Climat Sec Mediterranéen</v>
      </c>
      <c r="E98" s="58">
        <f>SUM(D46:D63)/19</f>
        <v>0.18421052631578957</v>
      </c>
    </row>
    <row r="99" spans="1:5" x14ac:dyDescent="0.3">
      <c r="A99" s="57">
        <v>19</v>
      </c>
      <c r="B99" s="37" t="s">
        <v>195</v>
      </c>
      <c r="C99" s="50" t="s">
        <v>197</v>
      </c>
      <c r="D99" s="37" t="str">
        <f t="shared" si="5"/>
        <v>19 - Viticulture-Climat Sec Mediterranéen</v>
      </c>
      <c r="E99" s="58">
        <f>SUM(D46:D64)/20</f>
        <v>0.39100000000000013</v>
      </c>
    </row>
    <row r="100" spans="1:5" x14ac:dyDescent="0.3">
      <c r="A100" s="57">
        <v>20</v>
      </c>
      <c r="B100" s="37" t="s">
        <v>195</v>
      </c>
      <c r="C100" s="50" t="s">
        <v>197</v>
      </c>
      <c r="D100" s="37" t="str">
        <f t="shared" si="5"/>
        <v>20 - Viticulture-Climat Sec Mediterranéen</v>
      </c>
      <c r="E100" s="58">
        <f>SUM(D46:D65)/21</f>
        <v>0.58190476190476204</v>
      </c>
    </row>
    <row r="101" spans="1:5" x14ac:dyDescent="0.3">
      <c r="A101" s="57">
        <v>10</v>
      </c>
      <c r="B101" s="37" t="s">
        <v>30</v>
      </c>
      <c r="C101" s="50" t="s">
        <v>26</v>
      </c>
      <c r="D101" s="37" t="str">
        <f>CONCATENATE(A101," - ",B101,"-",C101)</f>
        <v>10 - Grandes cultures-Hors climat Mediterranéen</v>
      </c>
      <c r="E101" s="58">
        <f>SUM(E$46:E$55)/11</f>
        <v>7.4818181818181833</v>
      </c>
    </row>
    <row r="102" spans="1:5" x14ac:dyDescent="0.3">
      <c r="A102" s="57">
        <v>11</v>
      </c>
      <c r="B102" s="37" t="s">
        <v>30</v>
      </c>
      <c r="C102" s="50" t="s">
        <v>26</v>
      </c>
      <c r="D102" s="37" t="str">
        <f t="shared" ref="D102:D133" si="6">CONCATENATE(A102," - ",B102,"-",C102)</f>
        <v>11 - Grandes cultures-Hors climat Mediterranéen</v>
      </c>
      <c r="E102" s="58">
        <f>SUM(E$46:E$56)/12</f>
        <v>8.0166666666666675</v>
      </c>
    </row>
    <row r="103" spans="1:5" x14ac:dyDescent="0.3">
      <c r="A103" s="57">
        <v>12</v>
      </c>
      <c r="B103" s="37" t="s">
        <v>30</v>
      </c>
      <c r="C103" s="50" t="s">
        <v>26</v>
      </c>
      <c r="D103" s="37" t="str">
        <f t="shared" si="6"/>
        <v>12 - Grandes cultures-Hors climat Mediterranéen</v>
      </c>
      <c r="E103" s="58">
        <f>SUM(E$46:E$57)/(A103+1)</f>
        <v>8.5000000000000018</v>
      </c>
    </row>
    <row r="104" spans="1:5" x14ac:dyDescent="0.3">
      <c r="A104" s="57">
        <v>13</v>
      </c>
      <c r="B104" s="37" t="s">
        <v>30</v>
      </c>
      <c r="C104" s="50" t="s">
        <v>26</v>
      </c>
      <c r="D104" s="37" t="str">
        <f t="shared" si="6"/>
        <v>13 - Grandes cultures-Hors climat Mediterranéen</v>
      </c>
      <c r="E104" s="58">
        <f>SUM(E$46:E$58)/14</f>
        <v>8.9428571428571448</v>
      </c>
    </row>
    <row r="105" spans="1:5" x14ac:dyDescent="0.3">
      <c r="A105" s="57">
        <v>14</v>
      </c>
      <c r="B105" s="37" t="s">
        <v>30</v>
      </c>
      <c r="C105" s="50" t="s">
        <v>26</v>
      </c>
      <c r="D105" s="37" t="str">
        <f t="shared" si="6"/>
        <v>14 - Grandes cultures-Hors climat Mediterranéen</v>
      </c>
      <c r="E105" s="58">
        <f>SUM(E$46:E$59)/15</f>
        <v>9.3533333333333335</v>
      </c>
    </row>
    <row r="106" spans="1:5" x14ac:dyDescent="0.3">
      <c r="A106" s="57">
        <v>15</v>
      </c>
      <c r="B106" s="37" t="s">
        <v>30</v>
      </c>
      <c r="C106" s="50" t="s">
        <v>26</v>
      </c>
      <c r="D106" s="37" t="str">
        <f t="shared" si="6"/>
        <v>15 - Grandes cultures-Hors climat Mediterranéen</v>
      </c>
      <c r="E106" s="58">
        <f>SUM(E$46:E$60)/16</f>
        <v>9.7437500000000004</v>
      </c>
    </row>
    <row r="107" spans="1:5" x14ac:dyDescent="0.3">
      <c r="A107" s="57">
        <v>16</v>
      </c>
      <c r="B107" s="37" t="s">
        <v>30</v>
      </c>
      <c r="C107" s="50" t="s">
        <v>26</v>
      </c>
      <c r="D107" s="37" t="str">
        <f t="shared" si="6"/>
        <v>16 - Grandes cultures-Hors climat Mediterranéen</v>
      </c>
      <c r="E107" s="58">
        <f>SUM(E$46:E$61)/17</f>
        <v>10.088235294117647</v>
      </c>
    </row>
    <row r="108" spans="1:5" x14ac:dyDescent="0.3">
      <c r="A108" s="57">
        <v>17</v>
      </c>
      <c r="B108" s="37" t="s">
        <v>30</v>
      </c>
      <c r="C108" s="50" t="s">
        <v>26</v>
      </c>
      <c r="D108" s="37" t="str">
        <f t="shared" si="6"/>
        <v>17 - Grandes cultures-Hors climat Mediterranéen</v>
      </c>
      <c r="E108" s="58">
        <f>SUM(E$46:E$62)/18</f>
        <v>10.399999999999999</v>
      </c>
    </row>
    <row r="109" spans="1:5" x14ac:dyDescent="0.3">
      <c r="A109" s="57">
        <v>18</v>
      </c>
      <c r="B109" s="37" t="s">
        <v>30</v>
      </c>
      <c r="C109" s="50" t="s">
        <v>26</v>
      </c>
      <c r="D109" s="37" t="str">
        <f t="shared" si="6"/>
        <v>18 - Grandes cultures-Hors climat Mediterranéen</v>
      </c>
      <c r="E109" s="58">
        <f>SUM(E$46:E$63)/19</f>
        <v>10.684210526315789</v>
      </c>
    </row>
    <row r="110" spans="1:5" x14ac:dyDescent="0.3">
      <c r="A110" s="57">
        <v>19</v>
      </c>
      <c r="B110" s="37" t="s">
        <v>30</v>
      </c>
      <c r="C110" s="50" t="s">
        <v>26</v>
      </c>
      <c r="D110" s="37" t="str">
        <f t="shared" si="6"/>
        <v>19 - Grandes cultures-Hors climat Mediterranéen</v>
      </c>
      <c r="E110" s="58">
        <f>SUM(E$46:E$64)/20</f>
        <v>10.945</v>
      </c>
    </row>
    <row r="111" spans="1:5" x14ac:dyDescent="0.3">
      <c r="A111" s="57">
        <v>20</v>
      </c>
      <c r="B111" s="37" t="s">
        <v>30</v>
      </c>
      <c r="C111" s="50" t="s">
        <v>26</v>
      </c>
      <c r="D111" s="37" t="str">
        <f t="shared" si="6"/>
        <v>20 - Grandes cultures-Hors climat Mediterranéen</v>
      </c>
      <c r="E111" s="58">
        <f>SUM(E$46:E$65)/21</f>
        <v>11.185714285714287</v>
      </c>
    </row>
    <row r="112" spans="1:5" x14ac:dyDescent="0.3">
      <c r="A112" s="57">
        <v>10</v>
      </c>
      <c r="B112" s="37" t="s">
        <v>194</v>
      </c>
      <c r="C112" s="50" t="s">
        <v>26</v>
      </c>
      <c r="D112" s="37" t="str">
        <f t="shared" si="6"/>
        <v>10 - Prairies permanentes-Hors climat Mediterranéen</v>
      </c>
      <c r="E112" s="58">
        <f>SUM(E$46:E$55)/11</f>
        <v>7.4818181818181833</v>
      </c>
    </row>
    <row r="113" spans="1:5" x14ac:dyDescent="0.3">
      <c r="A113" s="57">
        <v>11</v>
      </c>
      <c r="B113" s="37" t="s">
        <v>194</v>
      </c>
      <c r="C113" s="50" t="s">
        <v>26</v>
      </c>
      <c r="D113" s="37" t="str">
        <f t="shared" si="6"/>
        <v>11 - Prairies permanentes-Hors climat Mediterranéen</v>
      </c>
      <c r="E113" s="58">
        <f>SUM(E$46:E$56)/12</f>
        <v>8.0166666666666675</v>
      </c>
    </row>
    <row r="114" spans="1:5" x14ac:dyDescent="0.3">
      <c r="A114" s="57">
        <v>12</v>
      </c>
      <c r="B114" s="37" t="s">
        <v>194</v>
      </c>
      <c r="C114" s="50" t="s">
        <v>26</v>
      </c>
      <c r="D114" s="37" t="str">
        <f t="shared" si="6"/>
        <v>12 - Prairies permanentes-Hors climat Mediterranéen</v>
      </c>
      <c r="E114" s="58">
        <f>SUM(E$46:E$57)/(A114+1)</f>
        <v>8.5000000000000018</v>
      </c>
    </row>
    <row r="115" spans="1:5" x14ac:dyDescent="0.3">
      <c r="A115" s="57">
        <v>13</v>
      </c>
      <c r="B115" s="37" t="s">
        <v>194</v>
      </c>
      <c r="C115" s="50" t="s">
        <v>26</v>
      </c>
      <c r="D115" s="37" t="str">
        <f t="shared" si="6"/>
        <v>13 - Prairies permanentes-Hors climat Mediterranéen</v>
      </c>
      <c r="E115" s="58">
        <f>SUM(E$46:E$58)/14</f>
        <v>8.9428571428571448</v>
      </c>
    </row>
    <row r="116" spans="1:5" x14ac:dyDescent="0.3">
      <c r="A116" s="57">
        <v>14</v>
      </c>
      <c r="B116" s="37" t="s">
        <v>194</v>
      </c>
      <c r="C116" s="50" t="s">
        <v>26</v>
      </c>
      <c r="D116" s="37" t="str">
        <f t="shared" si="6"/>
        <v>14 - Prairies permanentes-Hors climat Mediterranéen</v>
      </c>
      <c r="E116" s="58">
        <f>SUM(E$46:E$59)/15</f>
        <v>9.3533333333333335</v>
      </c>
    </row>
    <row r="117" spans="1:5" x14ac:dyDescent="0.3">
      <c r="A117" s="57">
        <v>15</v>
      </c>
      <c r="B117" s="37" t="s">
        <v>194</v>
      </c>
      <c r="C117" s="50" t="s">
        <v>26</v>
      </c>
      <c r="D117" s="37" t="str">
        <f t="shared" si="6"/>
        <v>15 - Prairies permanentes-Hors climat Mediterranéen</v>
      </c>
      <c r="E117" s="58">
        <f>SUM(E$46:E$60)/16</f>
        <v>9.7437500000000004</v>
      </c>
    </row>
    <row r="118" spans="1:5" x14ac:dyDescent="0.3">
      <c r="A118" s="57">
        <v>16</v>
      </c>
      <c r="B118" s="37" t="s">
        <v>194</v>
      </c>
      <c r="C118" s="50" t="s">
        <v>26</v>
      </c>
      <c r="D118" s="37" t="str">
        <f t="shared" si="6"/>
        <v>16 - Prairies permanentes-Hors climat Mediterranéen</v>
      </c>
      <c r="E118" s="58">
        <f>SUM(E$46:E$61)/17</f>
        <v>10.088235294117647</v>
      </c>
    </row>
    <row r="119" spans="1:5" x14ac:dyDescent="0.3">
      <c r="A119" s="57">
        <v>17</v>
      </c>
      <c r="B119" s="37" t="s">
        <v>194</v>
      </c>
      <c r="C119" s="50" t="s">
        <v>26</v>
      </c>
      <c r="D119" s="37" t="str">
        <f t="shared" si="6"/>
        <v>17 - Prairies permanentes-Hors climat Mediterranéen</v>
      </c>
      <c r="E119" s="58">
        <f>SUM(E$46:E$62)/18</f>
        <v>10.399999999999999</v>
      </c>
    </row>
    <row r="120" spans="1:5" x14ac:dyDescent="0.3">
      <c r="A120" s="57">
        <v>18</v>
      </c>
      <c r="B120" s="37" t="s">
        <v>194</v>
      </c>
      <c r="C120" s="50" t="s">
        <v>26</v>
      </c>
      <c r="D120" s="37" t="str">
        <f t="shared" si="6"/>
        <v>18 - Prairies permanentes-Hors climat Mediterranéen</v>
      </c>
      <c r="E120" s="58">
        <f>SUM(E$46:E$63)/19</f>
        <v>10.684210526315789</v>
      </c>
    </row>
    <row r="121" spans="1:5" x14ac:dyDescent="0.3">
      <c r="A121" s="57">
        <v>19</v>
      </c>
      <c r="B121" s="37" t="s">
        <v>194</v>
      </c>
      <c r="C121" s="50" t="s">
        <v>26</v>
      </c>
      <c r="D121" s="37" t="str">
        <f t="shared" si="6"/>
        <v>19 - Prairies permanentes-Hors climat Mediterranéen</v>
      </c>
      <c r="E121" s="58">
        <f>SUM(E$46:E$64)/20</f>
        <v>10.945</v>
      </c>
    </row>
    <row r="122" spans="1:5" x14ac:dyDescent="0.3">
      <c r="A122" s="57">
        <v>20</v>
      </c>
      <c r="B122" s="37" t="s">
        <v>194</v>
      </c>
      <c r="C122" s="50" t="s">
        <v>26</v>
      </c>
      <c r="D122" s="37" t="str">
        <f t="shared" si="6"/>
        <v>20 - Prairies permanentes-Hors climat Mediterranéen</v>
      </c>
      <c r="E122" s="58">
        <f>SUM(E$46:E$65)/21</f>
        <v>11.185714285714287</v>
      </c>
    </row>
    <row r="123" spans="1:5" x14ac:dyDescent="0.3">
      <c r="A123" s="57">
        <v>10</v>
      </c>
      <c r="B123" s="37" t="s">
        <v>195</v>
      </c>
      <c r="C123" s="50" t="s">
        <v>26</v>
      </c>
      <c r="D123" s="37" t="str">
        <f t="shared" si="6"/>
        <v>10 - Viticulture-Hors climat Mediterranéen</v>
      </c>
      <c r="E123" s="58">
        <f>SUM(G$46:G$55)/11</f>
        <v>2.9363636363636361</v>
      </c>
    </row>
    <row r="124" spans="1:5" x14ac:dyDescent="0.3">
      <c r="A124" s="57">
        <v>11</v>
      </c>
      <c r="B124" s="37" t="s">
        <v>195</v>
      </c>
      <c r="C124" s="50" t="s">
        <v>26</v>
      </c>
      <c r="D124" s="37" t="str">
        <f t="shared" si="6"/>
        <v>11 - Viticulture-Hors climat Mediterranéen</v>
      </c>
      <c r="E124" s="58">
        <f>SUM(G$46:G$56)/12</f>
        <v>3.4333333333333331</v>
      </c>
    </row>
    <row r="125" spans="1:5" x14ac:dyDescent="0.3">
      <c r="A125" s="57">
        <v>12</v>
      </c>
      <c r="B125" s="37" t="s">
        <v>195</v>
      </c>
      <c r="C125" s="50" t="s">
        <v>26</v>
      </c>
      <c r="D125" s="37" t="str">
        <f t="shared" si="6"/>
        <v>12 - Viticulture-Hors climat Mediterranéen</v>
      </c>
      <c r="E125" s="58">
        <f>SUM(G$46:G$57)/(A125+1)</f>
        <v>3.8846153846153846</v>
      </c>
    </row>
    <row r="126" spans="1:5" x14ac:dyDescent="0.3">
      <c r="A126" s="57">
        <v>13</v>
      </c>
      <c r="B126" s="37" t="s">
        <v>195</v>
      </c>
      <c r="C126" s="50" t="s">
        <v>26</v>
      </c>
      <c r="D126" s="37" t="str">
        <f t="shared" si="6"/>
        <v>13 - Viticulture-Hors climat Mediterranéen</v>
      </c>
      <c r="E126" s="58">
        <f>SUM(G$46:G$58)/14</f>
        <v>4.3</v>
      </c>
    </row>
    <row r="127" spans="1:5" x14ac:dyDescent="0.3">
      <c r="A127" s="57">
        <v>14</v>
      </c>
      <c r="B127" s="37" t="s">
        <v>195</v>
      </c>
      <c r="C127" s="50" t="s">
        <v>26</v>
      </c>
      <c r="D127" s="37" t="str">
        <f t="shared" si="6"/>
        <v>14 - Viticulture-Hors climat Mediterranéen</v>
      </c>
      <c r="E127" s="58">
        <f>SUM(G$46:G$59)/15</f>
        <v>4.6866666666666665</v>
      </c>
    </row>
    <row r="128" spans="1:5" x14ac:dyDescent="0.3">
      <c r="A128" s="57">
        <v>15</v>
      </c>
      <c r="B128" s="37" t="s">
        <v>195</v>
      </c>
      <c r="C128" s="50" t="s">
        <v>26</v>
      </c>
      <c r="D128" s="37" t="str">
        <f t="shared" si="6"/>
        <v>15 - Viticulture-Hors climat Mediterranéen</v>
      </c>
      <c r="E128" s="58">
        <f>SUM(G$46:G$60)/16</f>
        <v>5.0562499999999995</v>
      </c>
    </row>
    <row r="129" spans="1:5" x14ac:dyDescent="0.3">
      <c r="A129" s="57">
        <v>16</v>
      </c>
      <c r="B129" s="37" t="s">
        <v>195</v>
      </c>
      <c r="C129" s="50" t="s">
        <v>26</v>
      </c>
      <c r="D129" s="37" t="str">
        <f t="shared" si="6"/>
        <v>16 - Viticulture-Hors climat Mediterranéen</v>
      </c>
      <c r="E129" s="58">
        <f>SUM(G$46:G$61)/17</f>
        <v>5.3823529411764701</v>
      </c>
    </row>
    <row r="130" spans="1:5" x14ac:dyDescent="0.3">
      <c r="A130" s="57">
        <v>17</v>
      </c>
      <c r="B130" s="37" t="s">
        <v>195</v>
      </c>
      <c r="C130" s="50" t="s">
        <v>26</v>
      </c>
      <c r="D130" s="37" t="str">
        <f t="shared" si="6"/>
        <v>17 - Viticulture-Hors climat Mediterranéen</v>
      </c>
      <c r="E130" s="58">
        <f>SUM(G$46:G$62)/18</f>
        <v>5.6777777777777771</v>
      </c>
    </row>
    <row r="131" spans="1:5" x14ac:dyDescent="0.3">
      <c r="A131" s="57">
        <v>18</v>
      </c>
      <c r="B131" s="37" t="s">
        <v>195</v>
      </c>
      <c r="C131" s="50" t="s">
        <v>26</v>
      </c>
      <c r="D131" s="37" t="str">
        <f t="shared" si="6"/>
        <v>18 - Viticulture-Hors climat Mediterranéen</v>
      </c>
      <c r="E131" s="58">
        <f>SUM(G$46:G$63)/19</f>
        <v>5.947368421052631</v>
      </c>
    </row>
    <row r="132" spans="1:5" x14ac:dyDescent="0.3">
      <c r="A132" s="57">
        <v>19</v>
      </c>
      <c r="B132" s="37" t="s">
        <v>195</v>
      </c>
      <c r="C132" s="50" t="s">
        <v>26</v>
      </c>
      <c r="D132" s="37" t="str">
        <f t="shared" si="6"/>
        <v>19 - Viticulture-Hors climat Mediterranéen</v>
      </c>
      <c r="E132" s="58">
        <f>SUM(G$46:G$64)/20</f>
        <v>6.1949999999999994</v>
      </c>
    </row>
    <row r="133" spans="1:5" x14ac:dyDescent="0.3">
      <c r="A133" s="57">
        <v>20</v>
      </c>
      <c r="B133" s="37" t="s">
        <v>195</v>
      </c>
      <c r="C133" s="50" t="s">
        <v>26</v>
      </c>
      <c r="D133" s="37" t="str">
        <f t="shared" si="6"/>
        <v>20 - Viticulture-Hors climat Mediterranéen</v>
      </c>
      <c r="E133" s="58">
        <f>SUM(G$46:G$65)/21</f>
        <v>6.4238095238095223</v>
      </c>
    </row>
    <row r="134" spans="1:5" x14ac:dyDescent="0.3">
      <c r="A134" s="59"/>
      <c r="C134" s="49"/>
    </row>
    <row r="135" spans="1:5" x14ac:dyDescent="0.3">
      <c r="A135" s="59"/>
      <c r="C135" s="49"/>
    </row>
    <row r="136" spans="1:5" ht="15.6" x14ac:dyDescent="0.3">
      <c r="A136" s="56" t="s">
        <v>233</v>
      </c>
      <c r="B136" s="56" t="s">
        <v>234</v>
      </c>
      <c r="C136" s="49"/>
    </row>
    <row r="137" spans="1:5" x14ac:dyDescent="0.3">
      <c r="A137" s="57" t="s">
        <v>235</v>
      </c>
      <c r="B137" s="60">
        <v>3023.6659187519999</v>
      </c>
      <c r="C137" s="49"/>
    </row>
    <row r="138" spans="1:5" x14ac:dyDescent="0.3">
      <c r="A138" s="57" t="s">
        <v>236</v>
      </c>
      <c r="B138" s="60">
        <v>3462.3325584952004</v>
      </c>
      <c r="C138" s="49"/>
    </row>
    <row r="139" spans="1:5" x14ac:dyDescent="0.3">
      <c r="A139" s="57" t="s">
        <v>237</v>
      </c>
      <c r="B139" s="60">
        <v>1051.9666372200002</v>
      </c>
      <c r="C139" s="49"/>
    </row>
    <row r="140" spans="1:5" x14ac:dyDescent="0.3">
      <c r="A140" s="57" t="s">
        <v>238</v>
      </c>
      <c r="B140" s="60">
        <v>680.11092420000011</v>
      </c>
      <c r="C140" s="49"/>
    </row>
    <row r="141" spans="1:5" x14ac:dyDescent="0.3">
      <c r="A141" s="57" t="s">
        <v>32</v>
      </c>
      <c r="B141" s="60">
        <v>3969.2165201334001</v>
      </c>
      <c r="C141" s="49"/>
    </row>
    <row r="142" spans="1:5" x14ac:dyDescent="0.3">
      <c r="A142" s="57" t="s">
        <v>36</v>
      </c>
      <c r="B142" s="60">
        <v>3120.9100082900004</v>
      </c>
      <c r="C142" s="49"/>
    </row>
    <row r="143" spans="1:5" x14ac:dyDescent="0.3">
      <c r="A143" s="57" t="s">
        <v>239</v>
      </c>
      <c r="B143" s="60">
        <v>3118.3572501499998</v>
      </c>
      <c r="C143" s="49"/>
    </row>
    <row r="144" spans="1:5" x14ac:dyDescent="0.3">
      <c r="A144" s="57" t="s">
        <v>240</v>
      </c>
      <c r="B144" s="60">
        <v>2602.140331525</v>
      </c>
      <c r="C144" s="49"/>
    </row>
    <row r="145" spans="1:2" x14ac:dyDescent="0.3">
      <c r="A145" s="57" t="s">
        <v>241</v>
      </c>
      <c r="B145" s="60">
        <v>4557.9951523</v>
      </c>
    </row>
    <row r="146" spans="1:2" x14ac:dyDescent="0.3">
      <c r="A146" s="57" t="s">
        <v>242</v>
      </c>
      <c r="B146" s="60">
        <v>3047.448611238</v>
      </c>
    </row>
    <row r="147" spans="1:2" x14ac:dyDescent="0.3">
      <c r="A147" s="57" t="s">
        <v>243</v>
      </c>
      <c r="B147" s="60">
        <v>740.69039574999999</v>
      </c>
    </row>
    <row r="148" spans="1:2" x14ac:dyDescent="0.3">
      <c r="A148" s="57" t="s">
        <v>244</v>
      </c>
      <c r="B148" s="60">
        <v>897.80714540400004</v>
      </c>
    </row>
    <row r="149" spans="1:2" x14ac:dyDescent="0.3">
      <c r="A149" s="57" t="s">
        <v>245</v>
      </c>
      <c r="B149" s="60">
        <v>883.16209499700005</v>
      </c>
    </row>
    <row r="150" spans="1:2" x14ac:dyDescent="0.3">
      <c r="A150" s="57" t="s">
        <v>246</v>
      </c>
      <c r="B150" s="60">
        <v>1019.94225066</v>
      </c>
    </row>
    <row r="151" spans="1:2" x14ac:dyDescent="0.3">
      <c r="A151" s="57" t="s">
        <v>247</v>
      </c>
      <c r="B151" s="60">
        <v>889.46139315170001</v>
      </c>
    </row>
    <row r="152" spans="1:2" x14ac:dyDescent="0.3">
      <c r="A152" s="57" t="s">
        <v>248</v>
      </c>
      <c r="B152" s="60">
        <v>752.72081800977992</v>
      </c>
    </row>
    <row r="153" spans="1:2" x14ac:dyDescent="0.3">
      <c r="A153" s="57" t="s">
        <v>249</v>
      </c>
      <c r="B153" s="60">
        <v>946.9611047855999</v>
      </c>
    </row>
    <row r="154" spans="1:2" x14ac:dyDescent="0.3">
      <c r="A154" s="57" t="s">
        <v>250</v>
      </c>
      <c r="B154" s="60">
        <v>1074.1029483240002</v>
      </c>
    </row>
    <row r="155" spans="1:2" x14ac:dyDescent="0.3">
      <c r="A155" s="57" t="s">
        <v>251</v>
      </c>
      <c r="B155" s="60">
        <v>1420.210775454</v>
      </c>
    </row>
    <row r="156" spans="1:2" x14ac:dyDescent="0.3">
      <c r="A156" s="57" t="s">
        <v>252</v>
      </c>
      <c r="B156" s="60">
        <v>774.61553566148007</v>
      </c>
    </row>
    <row r="157" spans="1:2" x14ac:dyDescent="0.3">
      <c r="A157" s="57" t="s">
        <v>253</v>
      </c>
      <c r="B157" s="60">
        <v>765.12397890409</v>
      </c>
    </row>
    <row r="158" spans="1:2" x14ac:dyDescent="0.3">
      <c r="A158" s="57" t="s">
        <v>254</v>
      </c>
      <c r="B158" s="60">
        <v>1001.1849360304</v>
      </c>
    </row>
    <row r="159" spans="1:2" x14ac:dyDescent="0.3">
      <c r="A159" s="57" t="s">
        <v>255</v>
      </c>
      <c r="B159" s="60">
        <v>1279.8013208596001</v>
      </c>
    </row>
    <row r="160" spans="1:2" x14ac:dyDescent="0.3">
      <c r="A160" s="57" t="s">
        <v>256</v>
      </c>
      <c r="B160" s="60">
        <v>723.80564597088994</v>
      </c>
    </row>
    <row r="161" spans="1:2" x14ac:dyDescent="0.3">
      <c r="A161" s="57" t="s">
        <v>257</v>
      </c>
      <c r="B161" s="60">
        <v>1232.6787939830401</v>
      </c>
    </row>
    <row r="162" spans="1:2" x14ac:dyDescent="0.3">
      <c r="A162" s="57" t="s">
        <v>258</v>
      </c>
      <c r="B162" s="60">
        <v>1788.5815223822999</v>
      </c>
    </row>
    <row r="163" spans="1:2" x14ac:dyDescent="0.3">
      <c r="A163" s="57" t="s">
        <v>259</v>
      </c>
      <c r="B163" s="60">
        <v>626.40579813411489</v>
      </c>
    </row>
    <row r="164" spans="1:2" x14ac:dyDescent="0.3">
      <c r="A164" s="57" t="s">
        <v>260</v>
      </c>
      <c r="B164" s="60">
        <v>1886.3492469093001</v>
      </c>
    </row>
    <row r="165" spans="1:2" x14ac:dyDescent="0.3">
      <c r="A165" s="57" t="s">
        <v>261</v>
      </c>
      <c r="B165" s="60">
        <v>1245.7052980295</v>
      </c>
    </row>
    <row r="166" spans="1:2" x14ac:dyDescent="0.3">
      <c r="A166" s="57" t="s">
        <v>262</v>
      </c>
      <c r="B166" s="60">
        <v>1283.4653141729998</v>
      </c>
    </row>
    <row r="167" spans="1:2" x14ac:dyDescent="0.3">
      <c r="A167" s="57" t="s">
        <v>263</v>
      </c>
      <c r="B167" s="60">
        <v>1487.4535399215001</v>
      </c>
    </row>
    <row r="168" spans="1:2" x14ac:dyDescent="0.3">
      <c r="A168" s="57" t="s">
        <v>264</v>
      </c>
      <c r="B168" s="60">
        <v>1457.6311863044998</v>
      </c>
    </row>
    <row r="169" spans="1:2" x14ac:dyDescent="0.3">
      <c r="A169" s="57" t="s">
        <v>265</v>
      </c>
      <c r="B169" s="60">
        <v>1441.472337333</v>
      </c>
    </row>
    <row r="170" spans="1:2" x14ac:dyDescent="0.3">
      <c r="A170" s="57" t="s">
        <v>266</v>
      </c>
      <c r="B170" s="60">
        <v>2444.8047991999997</v>
      </c>
    </row>
    <row r="171" spans="1:2" x14ac:dyDescent="0.3">
      <c r="A171" s="57" t="s">
        <v>34</v>
      </c>
      <c r="B171" s="60">
        <v>3601.9636359103997</v>
      </c>
    </row>
    <row r="172" spans="1:2" x14ac:dyDescent="0.3">
      <c r="A172" s="57" t="s">
        <v>267</v>
      </c>
      <c r="B172" s="60">
        <v>2724.2246671013995</v>
      </c>
    </row>
    <row r="173" spans="1:2" x14ac:dyDescent="0.3">
      <c r="A173" s="57" t="s">
        <v>268</v>
      </c>
      <c r="B173" s="60">
        <v>2678.1548398122004</v>
      </c>
    </row>
    <row r="174" spans="1:2" x14ac:dyDescent="0.3">
      <c r="A174" s="57" t="s">
        <v>269</v>
      </c>
      <c r="B174" s="60">
        <v>925.39090928000007</v>
      </c>
    </row>
    <row r="175" spans="1:2" x14ac:dyDescent="0.3">
      <c r="A175" s="57" t="s">
        <v>270</v>
      </c>
      <c r="B175" s="60">
        <v>832.84025582999993</v>
      </c>
    </row>
    <row r="176" spans="1:2" x14ac:dyDescent="0.3">
      <c r="A176" s="57" t="s">
        <v>271</v>
      </c>
      <c r="B176" s="60">
        <v>3847.6402921410004</v>
      </c>
    </row>
    <row r="177" spans="1:2" x14ac:dyDescent="0.3">
      <c r="A177" s="57" t="s">
        <v>272</v>
      </c>
      <c r="B177" s="60">
        <v>3849.2868810089999</v>
      </c>
    </row>
    <row r="178" spans="1:2" x14ac:dyDescent="0.3">
      <c r="A178" s="57" t="s">
        <v>273</v>
      </c>
      <c r="B178" s="60">
        <v>3453.8088875220001</v>
      </c>
    </row>
    <row r="179" spans="1:2" x14ac:dyDescent="0.3">
      <c r="A179" s="57" t="s">
        <v>274</v>
      </c>
      <c r="B179" s="60">
        <v>3391.1981881470001</v>
      </c>
    </row>
    <row r="180" spans="1:2" x14ac:dyDescent="0.3">
      <c r="A180" s="57" t="s">
        <v>275</v>
      </c>
      <c r="B180" s="60">
        <v>3759.2860042549196</v>
      </c>
    </row>
    <row r="181" spans="1:2" x14ac:dyDescent="0.3">
      <c r="A181" s="57" t="s">
        <v>276</v>
      </c>
      <c r="B181" s="60">
        <v>2658.9292517203125</v>
      </c>
    </row>
    <row r="182" spans="1:2" x14ac:dyDescent="0.3">
      <c r="A182" s="57" t="s">
        <v>277</v>
      </c>
      <c r="B182" s="60">
        <v>4303.8993272226562</v>
      </c>
    </row>
    <row r="183" spans="1:2" x14ac:dyDescent="0.3">
      <c r="A183" s="57" t="s">
        <v>278</v>
      </c>
      <c r="B183" s="60">
        <v>4054.8428879156254</v>
      </c>
    </row>
    <row r="184" spans="1:2" x14ac:dyDescent="0.3">
      <c r="A184" s="57" t="s">
        <v>279</v>
      </c>
      <c r="B184" s="60">
        <v>3165.3350675625002</v>
      </c>
    </row>
    <row r="185" spans="1:2" x14ac:dyDescent="0.3">
      <c r="A185" s="57" t="s">
        <v>280</v>
      </c>
      <c r="B185" s="60">
        <v>21727.520374600001</v>
      </c>
    </row>
    <row r="186" spans="1:2" x14ac:dyDescent="0.3">
      <c r="A186" s="57" t="s">
        <v>281</v>
      </c>
      <c r="B186" s="60">
        <v>763729.18826415588</v>
      </c>
    </row>
    <row r="187" spans="1:2" x14ac:dyDescent="0.3">
      <c r="A187" s="57" t="s">
        <v>282</v>
      </c>
      <c r="B187" s="60">
        <v>28201.949841089998</v>
      </c>
    </row>
    <row r="188" spans="1:2" x14ac:dyDescent="0.3">
      <c r="A188" s="57" t="s">
        <v>283</v>
      </c>
      <c r="B188" s="60">
        <v>745475.31653372501</v>
      </c>
    </row>
    <row r="189" spans="1:2" x14ac:dyDescent="0.3">
      <c r="A189" s="57" t="s">
        <v>284</v>
      </c>
      <c r="B189" s="60">
        <v>1313.2063369499999</v>
      </c>
    </row>
    <row r="190" spans="1:2" x14ac:dyDescent="0.3">
      <c r="A190" s="57" t="s">
        <v>285</v>
      </c>
      <c r="B190" s="60">
        <v>864.20333642999981</v>
      </c>
    </row>
    <row r="191" spans="1:2" x14ac:dyDescent="0.3">
      <c r="A191" s="57" t="s">
        <v>286</v>
      </c>
      <c r="B191" s="60">
        <v>2605.9006745199999</v>
      </c>
    </row>
    <row r="193" spans="1:2" x14ac:dyDescent="0.3">
      <c r="A193" s="23" t="s">
        <v>233</v>
      </c>
      <c r="B193" s="61" t="s">
        <v>234</v>
      </c>
    </row>
    <row r="194" spans="1:2" x14ac:dyDescent="0.3">
      <c r="A194" t="s">
        <v>287</v>
      </c>
      <c r="B194" s="62">
        <v>5895.9797374104</v>
      </c>
    </row>
    <row r="195" spans="1:2" x14ac:dyDescent="0.3">
      <c r="A195" t="s">
        <v>288</v>
      </c>
      <c r="B195" s="62">
        <v>2576.2094178333336</v>
      </c>
    </row>
    <row r="196" spans="1:2" x14ac:dyDescent="0.3">
      <c r="A196" t="s">
        <v>289</v>
      </c>
      <c r="B196" s="62">
        <v>4062.9965796000001</v>
      </c>
    </row>
    <row r="197" spans="1:2" x14ac:dyDescent="0.3">
      <c r="A197" t="s">
        <v>290</v>
      </c>
      <c r="B197" s="62">
        <v>4011.4789508640006</v>
      </c>
    </row>
    <row r="198" spans="1:2" x14ac:dyDescent="0.3">
      <c r="A198" t="s">
        <v>291</v>
      </c>
      <c r="B198" s="62">
        <v>2682.7232290992001</v>
      </c>
    </row>
    <row r="199" spans="1:2" x14ac:dyDescent="0.3">
      <c r="A199" t="s">
        <v>292</v>
      </c>
      <c r="B199" s="62">
        <v>2548.7495763313045</v>
      </c>
    </row>
    <row r="200" spans="1:2" x14ac:dyDescent="0.3">
      <c r="A200" t="s">
        <v>293</v>
      </c>
      <c r="B200" s="62">
        <v>3366.7024762240003</v>
      </c>
    </row>
    <row r="201" spans="1:2" x14ac:dyDescent="0.3">
      <c r="A201" t="s">
        <v>294</v>
      </c>
      <c r="B201" s="62">
        <v>3370.0393371360001</v>
      </c>
    </row>
    <row r="202" spans="1:2" x14ac:dyDescent="0.3">
      <c r="A202" t="s">
        <v>295</v>
      </c>
      <c r="B202" s="62">
        <v>3392.0923222031997</v>
      </c>
    </row>
    <row r="203" spans="1:2" x14ac:dyDescent="0.3">
      <c r="A203" t="s">
        <v>296</v>
      </c>
      <c r="B203" s="62">
        <v>3141.3860726075795</v>
      </c>
    </row>
    <row r="205" spans="1:2" x14ac:dyDescent="0.3">
      <c r="A205" s="23" t="s">
        <v>297</v>
      </c>
      <c r="B205" s="23" t="s">
        <v>192</v>
      </c>
    </row>
    <row r="206" spans="1:2" x14ac:dyDescent="0.3">
      <c r="A206" t="s">
        <v>298</v>
      </c>
      <c r="B206">
        <v>1.6E-2</v>
      </c>
    </row>
    <row r="207" spans="1:2" x14ac:dyDescent="0.3">
      <c r="A207" t="s">
        <v>299</v>
      </c>
      <c r="B207">
        <v>6.0000000000000001E-3</v>
      </c>
    </row>
    <row r="208" spans="1:2" x14ac:dyDescent="0.3">
      <c r="A208" t="s">
        <v>300</v>
      </c>
      <c r="B208" s="63">
        <v>0.01</v>
      </c>
    </row>
    <row r="209" spans="1:5" x14ac:dyDescent="0.3">
      <c r="A209" t="s">
        <v>301</v>
      </c>
      <c r="B209" s="63">
        <v>1.0999999999999999E-2</v>
      </c>
    </row>
    <row r="210" spans="1:5" x14ac:dyDescent="0.3">
      <c r="A210" t="s">
        <v>302</v>
      </c>
      <c r="B210" s="63">
        <v>5.7000000000000002E-2</v>
      </c>
    </row>
    <row r="211" spans="1:5" x14ac:dyDescent="0.3">
      <c r="A211" t="s">
        <v>303</v>
      </c>
      <c r="B211" s="63">
        <v>4.51</v>
      </c>
    </row>
    <row r="212" spans="1:5" x14ac:dyDescent="0.3">
      <c r="A212" t="s">
        <v>304</v>
      </c>
      <c r="B212" s="63">
        <v>1.45</v>
      </c>
    </row>
    <row r="213" spans="1:5" x14ac:dyDescent="0.3">
      <c r="A213" t="s">
        <v>305</v>
      </c>
      <c r="B213" s="63">
        <v>0.71</v>
      </c>
    </row>
    <row r="214" spans="1:5" x14ac:dyDescent="0.3">
      <c r="A214" s="64" t="s">
        <v>306</v>
      </c>
      <c r="B214" s="63">
        <v>6.0090000000000003</v>
      </c>
    </row>
    <row r="215" spans="1:5" x14ac:dyDescent="0.3">
      <c r="A215" s="64" t="s">
        <v>307</v>
      </c>
      <c r="B215" s="63">
        <v>8.9849999999999994</v>
      </c>
    </row>
    <row r="216" spans="1:5" x14ac:dyDescent="0.3">
      <c r="A216" s="64" t="s">
        <v>308</v>
      </c>
      <c r="B216" s="63">
        <v>25.134</v>
      </c>
    </row>
    <row r="217" spans="1:5" x14ac:dyDescent="0.3">
      <c r="A217" s="65" t="s">
        <v>309</v>
      </c>
      <c r="B217" s="63">
        <v>8.4779999999999998</v>
      </c>
    </row>
    <row r="218" spans="1:5" x14ac:dyDescent="0.3">
      <c r="A218" s="66"/>
    </row>
    <row r="219" spans="1:5" x14ac:dyDescent="0.3">
      <c r="A219" t="s">
        <v>310</v>
      </c>
      <c r="B219">
        <v>0.11</v>
      </c>
    </row>
    <row r="220" spans="1:5" x14ac:dyDescent="0.3">
      <c r="A220" t="s">
        <v>311</v>
      </c>
      <c r="B220">
        <v>0.21</v>
      </c>
    </row>
    <row r="221" spans="1:5" x14ac:dyDescent="0.3">
      <c r="A221" s="67" t="s">
        <v>312</v>
      </c>
      <c r="B221">
        <v>0.24</v>
      </c>
    </row>
    <row r="223" spans="1:5" x14ac:dyDescent="0.3">
      <c r="A223" s="23" t="s">
        <v>313</v>
      </c>
      <c r="B223" s="23" t="s">
        <v>314</v>
      </c>
      <c r="C223" s="23" t="s">
        <v>315</v>
      </c>
      <c r="D223" s="23" t="s">
        <v>316</v>
      </c>
      <c r="E223" s="23" t="s">
        <v>317</v>
      </c>
    </row>
    <row r="224" spans="1:5" x14ac:dyDescent="0.3">
      <c r="A224" t="s">
        <v>118</v>
      </c>
      <c r="B224" t="s">
        <v>318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123</v>
      </c>
      <c r="B225" t="s">
        <v>318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319</v>
      </c>
      <c r="B226" t="s">
        <v>318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122</v>
      </c>
      <c r="B227" t="s">
        <v>320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122</v>
      </c>
      <c r="B228" t="s">
        <v>321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322</v>
      </c>
      <c r="B229" t="s">
        <v>320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323</v>
      </c>
      <c r="B231">
        <v>265</v>
      </c>
    </row>
    <row r="234" spans="1:5" ht="15" customHeight="1" x14ac:dyDescent="0.3">
      <c r="A234" s="37"/>
      <c r="B234" s="37" t="s">
        <v>324</v>
      </c>
      <c r="C234" s="37"/>
      <c r="D234" s="37" t="s">
        <v>325</v>
      </c>
      <c r="E234" s="37"/>
    </row>
    <row r="235" spans="1:5" ht="15.6" x14ac:dyDescent="0.35">
      <c r="A235" s="37" t="s">
        <v>326</v>
      </c>
      <c r="B235" s="37" t="s">
        <v>327</v>
      </c>
      <c r="C235" s="37" t="s">
        <v>328</v>
      </c>
      <c r="D235" s="37" t="s">
        <v>327</v>
      </c>
      <c r="E235" s="37" t="s">
        <v>328</v>
      </c>
    </row>
    <row r="236" spans="1:5" x14ac:dyDescent="0.3">
      <c r="A236" s="37" t="s">
        <v>30</v>
      </c>
      <c r="B236" s="37">
        <v>0</v>
      </c>
      <c r="C236" s="37" t="s">
        <v>329</v>
      </c>
      <c r="D236" s="37">
        <v>0</v>
      </c>
      <c r="E236" s="37" t="s">
        <v>329</v>
      </c>
    </row>
    <row r="237" spans="1:5" x14ac:dyDescent="0.3">
      <c r="A237" s="37" t="s">
        <v>194</v>
      </c>
      <c r="B237" s="37">
        <v>0</v>
      </c>
      <c r="C237" s="37" t="s">
        <v>329</v>
      </c>
      <c r="D237" s="37">
        <v>0</v>
      </c>
      <c r="E237" s="37" t="s">
        <v>329</v>
      </c>
    </row>
    <row r="238" spans="1:5" x14ac:dyDescent="0.3">
      <c r="A238" s="37" t="s">
        <v>195</v>
      </c>
      <c r="B238" s="37">
        <v>5</v>
      </c>
      <c r="C238" s="37" t="s">
        <v>330</v>
      </c>
      <c r="D238" s="37">
        <v>9.9</v>
      </c>
      <c r="E238" s="37" t="s">
        <v>331</v>
      </c>
    </row>
    <row r="239" spans="1:5" x14ac:dyDescent="0.3">
      <c r="A239" s="37" t="s">
        <v>332</v>
      </c>
      <c r="B239" s="37">
        <v>16</v>
      </c>
      <c r="C239" s="37" t="s">
        <v>330</v>
      </c>
      <c r="D239" s="37">
        <v>14.3</v>
      </c>
      <c r="E239" s="37" t="s">
        <v>331</v>
      </c>
    </row>
    <row r="241" spans="1:3" ht="15" customHeight="1" x14ac:dyDescent="0.3">
      <c r="A241" s="37"/>
      <c r="B241" s="37" t="s">
        <v>324</v>
      </c>
      <c r="C241" s="37" t="s">
        <v>325</v>
      </c>
    </row>
    <row r="242" spans="1:3" ht="18.75" customHeight="1" x14ac:dyDescent="0.4">
      <c r="A242" s="37" t="s">
        <v>333</v>
      </c>
      <c r="B242" s="37" t="s">
        <v>334</v>
      </c>
      <c r="C242" s="37" t="s">
        <v>334</v>
      </c>
    </row>
    <row r="243" spans="1:3" x14ac:dyDescent="0.3">
      <c r="A243" s="37">
        <v>1</v>
      </c>
      <c r="B243" s="37">
        <v>2.7</v>
      </c>
      <c r="C243" s="37">
        <v>2.4</v>
      </c>
    </row>
    <row r="244" spans="1:3" x14ac:dyDescent="0.3">
      <c r="A244" s="37">
        <v>2</v>
      </c>
      <c r="B244" s="37">
        <v>4.2</v>
      </c>
      <c r="C244" s="37">
        <v>3.72</v>
      </c>
    </row>
    <row r="245" spans="1:3" x14ac:dyDescent="0.3">
      <c r="A245" s="37">
        <v>3</v>
      </c>
      <c r="B245" s="37">
        <v>5.6</v>
      </c>
      <c r="C245" s="37">
        <v>5.04</v>
      </c>
    </row>
    <row r="246" spans="1:3" x14ac:dyDescent="0.3">
      <c r="A246" s="37">
        <v>4</v>
      </c>
      <c r="B246" s="37">
        <v>7.1</v>
      </c>
      <c r="C246" s="37">
        <v>6.36</v>
      </c>
    </row>
    <row r="247" spans="1:3" x14ac:dyDescent="0.3">
      <c r="A247" s="37">
        <v>5</v>
      </c>
      <c r="B247" s="37">
        <v>7.4</v>
      </c>
      <c r="C247" s="37">
        <v>6.6</v>
      </c>
    </row>
    <row r="248" spans="1:3" x14ac:dyDescent="0.3">
      <c r="A248" s="37">
        <v>6</v>
      </c>
      <c r="B248" s="37">
        <v>8.6</v>
      </c>
      <c r="C248" s="37">
        <v>7.7</v>
      </c>
    </row>
    <row r="249" spans="1:3" x14ac:dyDescent="0.3">
      <c r="A249" s="37">
        <v>7</v>
      </c>
      <c r="B249" s="37">
        <v>9.8000000000000007</v>
      </c>
      <c r="C249" s="37">
        <v>8.8000000000000007</v>
      </c>
    </row>
    <row r="250" spans="1:3" x14ac:dyDescent="0.3">
      <c r="A250" s="37">
        <v>8</v>
      </c>
      <c r="B250" s="37">
        <v>11.1</v>
      </c>
      <c r="C250" s="37">
        <v>9.9</v>
      </c>
    </row>
    <row r="251" spans="1:3" x14ac:dyDescent="0.3">
      <c r="A251" s="37">
        <v>9</v>
      </c>
      <c r="B251" s="37">
        <v>12.3</v>
      </c>
      <c r="C251" s="37">
        <v>11</v>
      </c>
    </row>
    <row r="252" spans="1:3" x14ac:dyDescent="0.3">
      <c r="A252" s="37">
        <v>10</v>
      </c>
      <c r="B252" s="37">
        <v>13.5</v>
      </c>
      <c r="C252" s="37">
        <v>12.1</v>
      </c>
    </row>
    <row r="253" spans="1:3" x14ac:dyDescent="0.3">
      <c r="A253" s="37">
        <v>11</v>
      </c>
      <c r="B253" s="37">
        <v>13.9</v>
      </c>
      <c r="C253" s="37">
        <v>12.46</v>
      </c>
    </row>
    <row r="254" spans="1:3" x14ac:dyDescent="0.3">
      <c r="A254" s="37">
        <v>12</v>
      </c>
      <c r="B254" s="37">
        <v>14.3</v>
      </c>
      <c r="C254" s="37">
        <v>12.82</v>
      </c>
    </row>
    <row r="255" spans="1:3" x14ac:dyDescent="0.3">
      <c r="A255" s="37">
        <v>13</v>
      </c>
      <c r="B255" s="37">
        <v>14.7</v>
      </c>
      <c r="C255" s="37">
        <v>13.18</v>
      </c>
    </row>
    <row r="256" spans="1:3" x14ac:dyDescent="0.3">
      <c r="A256" s="37">
        <v>14</v>
      </c>
      <c r="B256" s="37">
        <v>15.1</v>
      </c>
      <c r="C256" s="37">
        <v>13.54</v>
      </c>
    </row>
    <row r="257" spans="1:3" x14ac:dyDescent="0.3">
      <c r="A257" s="37">
        <v>15</v>
      </c>
      <c r="B257" s="37">
        <v>15.6</v>
      </c>
      <c r="C257" s="37">
        <v>13.9</v>
      </c>
    </row>
    <row r="258" spans="1:3" x14ac:dyDescent="0.3">
      <c r="A258" s="37">
        <v>16</v>
      </c>
      <c r="B258" s="37">
        <v>15.6</v>
      </c>
      <c r="C258" s="37">
        <v>13.98</v>
      </c>
    </row>
    <row r="259" spans="1:3" x14ac:dyDescent="0.3">
      <c r="A259" s="37">
        <v>17</v>
      </c>
      <c r="B259" s="37">
        <v>15.7</v>
      </c>
      <c r="C259" s="37">
        <v>14.06</v>
      </c>
    </row>
    <row r="260" spans="1:3" x14ac:dyDescent="0.3">
      <c r="A260" s="37">
        <v>18</v>
      </c>
      <c r="B260" s="37">
        <v>15.8</v>
      </c>
      <c r="C260" s="37">
        <v>14.14</v>
      </c>
    </row>
    <row r="261" spans="1:3" x14ac:dyDescent="0.3">
      <c r="A261" s="37">
        <v>19</v>
      </c>
      <c r="B261" s="37">
        <v>15.9</v>
      </c>
      <c r="C261" s="37">
        <v>14.22</v>
      </c>
    </row>
    <row r="262" spans="1:3" x14ac:dyDescent="0.3">
      <c r="A262" s="37">
        <v>20</v>
      </c>
      <c r="B262" s="37">
        <v>16</v>
      </c>
      <c r="C262" s="37">
        <v>14.3</v>
      </c>
    </row>
    <row r="264" spans="1:3" ht="15" customHeight="1" x14ac:dyDescent="0.3">
      <c r="A264" s="37" t="s">
        <v>29</v>
      </c>
      <c r="B264" s="37" t="s">
        <v>335</v>
      </c>
      <c r="C264" s="37" t="s">
        <v>336</v>
      </c>
    </row>
    <row r="265" spans="1:3" x14ac:dyDescent="0.3">
      <c r="A265" s="37" t="s">
        <v>195</v>
      </c>
      <c r="B265" s="37">
        <v>34.299999999999997</v>
      </c>
      <c r="C265" s="37">
        <v>34</v>
      </c>
    </row>
    <row r="266" spans="1:3" x14ac:dyDescent="0.3">
      <c r="A266" s="37" t="s">
        <v>194</v>
      </c>
      <c r="B266" s="37">
        <v>49.5</v>
      </c>
      <c r="C266" s="37">
        <v>85</v>
      </c>
    </row>
    <row r="267" spans="1:3" x14ac:dyDescent="0.3">
      <c r="A267" s="37" t="s">
        <v>30</v>
      </c>
      <c r="B267" s="37">
        <v>43.1</v>
      </c>
      <c r="C267" s="37">
        <v>52</v>
      </c>
    </row>
    <row r="268" spans="1:3" x14ac:dyDescent="0.3">
      <c r="A268" s="37" t="s">
        <v>337</v>
      </c>
      <c r="B268" s="37" t="s">
        <v>338</v>
      </c>
      <c r="C268" s="37" t="s">
        <v>339</v>
      </c>
    </row>
    <row r="270" spans="1:3" ht="15" customHeight="1" x14ac:dyDescent="0.3">
      <c r="A270" s="37" t="s">
        <v>29</v>
      </c>
      <c r="B270" s="37" t="s">
        <v>340</v>
      </c>
      <c r="C270" s="37" t="s">
        <v>336</v>
      </c>
    </row>
    <row r="271" spans="1:3" x14ac:dyDescent="0.3">
      <c r="A271" s="37" t="s">
        <v>332</v>
      </c>
      <c r="B271" s="37">
        <v>41.5</v>
      </c>
      <c r="C271" s="37">
        <v>47</v>
      </c>
    </row>
    <row r="272" spans="1:3" x14ac:dyDescent="0.3">
      <c r="A272" s="37" t="s">
        <v>337</v>
      </c>
      <c r="B272" s="37" t="s">
        <v>338</v>
      </c>
      <c r="C272" s="37" t="s">
        <v>339</v>
      </c>
    </row>
    <row r="275" spans="1:2" x14ac:dyDescent="0.3">
      <c r="A275" s="37" t="s">
        <v>341</v>
      </c>
      <c r="B275" s="37">
        <v>0.49</v>
      </c>
    </row>
    <row r="277" spans="1:2" x14ac:dyDescent="0.3">
      <c r="A277" s="37" t="s">
        <v>342</v>
      </c>
      <c r="B277" s="37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2a4714-d66e-4dbb-b81b-29243416e29c">
      <Terms xmlns="http://schemas.microsoft.com/office/infopath/2007/PartnerControls"/>
    </lcf76f155ced4ddcb4097134ff3c332f>
    <TaxCatchAll xmlns="3b96300e-03ff-4344-acb9-1687b7c38f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52B9DA-3A79-480F-B1AE-AD89E7182491}">
  <ds:schemaRefs>
    <ds:schemaRef ds:uri="http://schemas.microsoft.com/office/2006/metadata/properties"/>
    <ds:schemaRef ds:uri="http://schemas.microsoft.com/office/infopath/2007/PartnerControls"/>
    <ds:schemaRef ds:uri="642a4714-d66e-4dbb-b81b-29243416e29c"/>
    <ds:schemaRef ds:uri="3b96300e-03ff-4344-acb9-1687b7c38fd5"/>
  </ds:schemaRefs>
</ds:datastoreItem>
</file>

<file path=customXml/itemProps2.xml><?xml version="1.0" encoding="utf-8"?>
<ds:datastoreItem xmlns:ds="http://schemas.openxmlformats.org/officeDocument/2006/customXml" ds:itemID="{C6AAF4D1-619A-40AA-8250-0A0479DDC2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9E07E-5D95-46B7-812C-A832B60B9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a4714-d66e-4dbb-b81b-29243416e29c"/>
    <ds:schemaRef ds:uri="3b96300e-03ff-4344-acb9-1687b7c3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HENAFF Morgane</dc:creator>
  <cp:keywords/>
  <dc:description/>
  <cp:lastModifiedBy>MONTEL MARQUIS Océane</cp:lastModifiedBy>
  <cp:revision/>
  <dcterms:created xsi:type="dcterms:W3CDTF">2020-09-28T09:31:11Z</dcterms:created>
  <dcterms:modified xsi:type="dcterms:W3CDTF">2024-07-01T14:08:07Z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0x010100A81A8E600F3DB142BA63AE76E3B1062E</vt:lpwstr>
  </property>
  <property fmtid="{D5CDD505-2E9C-101B-9397-08002B2CF9AE}" pid="3" name="MediaServiceImageTags">
    <vt:lpwstr/>
  </property>
  <property fmtid="{D5CDD505-2E9C-101B-9397-08002B2CF9AE}" pid="4" name="Order">
    <vt:r8>3600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