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GRAND CHAMP\"/>
    </mc:Choice>
  </mc:AlternateContent>
  <xr:revisionPtr revIDLastSave="0" documentId="13_ncr:1_{3F2358DD-4A53-49A0-A98C-2E77A170DE31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6" l="1"/>
  <c r="I22" i="6"/>
  <c r="I23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<sst xmlns="http://schemas.openxmlformats.org/spreadsheetml/2006/main" count="1171" uniqueCount="324">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</sst>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1.9960712331870976</c:v>
                </c:pt>
                <c:pt idx="2">
                  <c:v>2.7416990049638525</c:v>
                </c:pt>
                <c:pt idx="3">
                  <c:v>3.7670473110861704</c:v>
                </c:pt>
                <c:pt idx="4">
                  <c:v>5.1774741551981576</c:v>
                </c:pt>
                <c:pt idx="5">
                  <c:v>7.1181693875211574</c:v>
                </c:pt>
                <c:pt idx="6">
                  <c:v>9.7892655629651237</c:v>
                </c:pt>
                <c:pt idx="7">
                  <c:v>13.466699485205766</c:v>
                </c:pt>
                <c:pt idx="8">
                  <c:v>18.531019264339804</c:v>
                </c:pt>
                <c:pt idx="9">
                  <c:v>25.507171589561072</c:v>
                </c:pt>
                <c:pt idx="10">
                  <c:v>35.11946593524749</c:v>
                </c:pt>
                <c:pt idx="11">
                  <c:v>60.297639146616369</c:v>
                </c:pt>
                <c:pt idx="12">
                  <c:v>85.194768164020218</c:v>
                </c:pt>
                <c:pt idx="13">
                  <c:v>109.90665396759691</c:v>
                </c:pt>
                <c:pt idx="14">
                  <c:v>134.48126302738513</c:v>
                </c:pt>
                <c:pt idx="15">
                  <c:v>158.94734253479243</c:v>
                </c:pt>
                <c:pt idx="16">
                  <c:v>183.32399225800421</c:v>
                </c:pt>
                <c:pt idx="17">
                  <c:v>207.62479146984003</c:v>
                </c:pt>
                <c:pt idx="18">
                  <c:v>231.85987083514178</c:v>
                </c:pt>
                <c:pt idx="19">
                  <c:v>256.03706594115926</c:v>
                </c:pt>
                <c:pt idx="20">
                  <c:v>280.16260989796973</c:v>
                </c:pt>
                <c:pt idx="21">
                  <c:v>188.04464873361908</c:v>
                </c:pt>
                <c:pt idx="22">
                  <c:v>221.25703044371778</c:v>
                </c:pt>
                <c:pt idx="23">
                  <c:v>254.35482042421077</c:v>
                </c:pt>
                <c:pt idx="24">
                  <c:v>287.35503217179325</c:v>
                </c:pt>
                <c:pt idx="25">
                  <c:v>320.27044348252321</c:v>
                </c:pt>
                <c:pt idx="26">
                  <c:v>353.11098821334605</c:v>
                </c:pt>
                <c:pt idx="27">
                  <c:v>385.88460083872718</c:v>
                </c:pt>
                <c:pt idx="28">
                  <c:v>418.59775818754741</c:v>
                </c:pt>
                <c:pt idx="29">
                  <c:v>451.25584262505646</c:v>
                </c:pt>
                <c:pt idx="30">
                  <c:v>483.86339446304572</c:v>
                </c:pt>
                <c:pt idx="31">
                  <c:v>349.29312109132542</c:v>
                </c:pt>
                <c:pt idx="32">
                  <c:v>381.24052241560281</c:v>
                </c:pt>
                <c:pt idx="33">
                  <c:v>413.12970902158912</c:v>
                </c:pt>
                <c:pt idx="34">
                  <c:v>444.96580033395298</c:v>
                </c:pt>
                <c:pt idx="35">
                  <c:v>476.75312396624321</c:v>
                </c:pt>
                <c:pt idx="36">
                  <c:v>508.4953838956676</c:v>
                </c:pt>
                <c:pt idx="37">
                  <c:v>540.19578443936393</c:v>
                </c:pt>
                <c:pt idx="38">
                  <c:v>571.8571236111394</c:v>
                </c:pt>
                <c:pt idx="39">
                  <c:v>603.48186473059241</c:v>
                </c:pt>
                <c:pt idx="40">
                  <c:v>635.07219224690084</c:v>
                </c:pt>
                <c:pt idx="41">
                  <c:v>496.65631445060126</c:v>
                </c:pt>
                <c:pt idx="42">
                  <c:v>523.64091513728647</c:v>
                </c:pt>
                <c:pt idx="43">
                  <c:v>550.59622582737018</c:v>
                </c:pt>
                <c:pt idx="44">
                  <c:v>577.52388027951656</c:v>
                </c:pt>
                <c:pt idx="45">
                  <c:v>604.42534765809012</c:v>
                </c:pt>
                <c:pt idx="46">
                  <c:v>631.30195584847183</c:v>
                </c:pt>
                <c:pt idx="47">
                  <c:v>658.15491059834255</c:v>
                </c:pt>
                <c:pt idx="48">
                  <c:v>684.98531137525208</c:v>
                </c:pt>
                <c:pt idx="49">
                  <c:v>711.79416461281119</c:v>
                </c:pt>
                <c:pt idx="50">
                  <c:v>738.58239485956028</c:v>
                </c:pt>
                <c:pt idx="51">
                  <c:v>609.49604560795967</c:v>
                </c:pt>
                <c:pt idx="52">
                  <c:v>632.2445584894391</c:v>
                </c:pt>
                <c:pt idx="53">
                  <c:v>654.97615321685669</c:v>
                </c:pt>
                <c:pt idx="54">
                  <c:v>677.69149890374536</c:v>
                </c:pt>
                <c:pt idx="55">
                  <c:v>700.39121620344451</c:v>
                </c:pt>
                <c:pt idx="56">
                  <c:v>723.07588230699582</c:v>
                </c:pt>
                <c:pt idx="57">
                  <c:v>745.74603528189357</c:v>
                </c:pt>
                <c:pt idx="58">
                  <c:v>768.40217785639322</c:v>
                </c:pt>
                <c:pt idx="59">
                  <c:v>791.04478073480857</c:v>
                </c:pt>
                <c:pt idx="60">
                  <c:v>813.67428551393857</c:v>
                </c:pt>
                <c:pt idx="61">
                  <c:v>719.55073421012912</c:v>
                </c:pt>
                <c:pt idx="62">
                  <c:v>738.11259868718491</c:v>
                </c:pt>
                <c:pt idx="63">
                  <c:v>756.66496313732296</c:v>
                </c:pt>
                <c:pt idx="64">
                  <c:v>775.20809304811462</c:v>
                </c:pt>
                <c:pt idx="65">
                  <c:v>793.74224018427151</c:v>
                </c:pt>
                <c:pt idx="66">
                  <c:v>812.26764360731715</c:v>
                </c:pt>
                <c:pt idx="67">
                  <c:v>830.78453059749984</c:v>
                </c:pt>
                <c:pt idx="68">
                  <c:v>849.29311748933662</c:v>
                </c:pt>
                <c:pt idx="69">
                  <c:v>867.79361043061851</c:v>
                </c:pt>
                <c:pt idx="70">
                  <c:v>886.28620607340656</c:v>
                </c:pt>
                <c:pt idx="71">
                  <c:v>807.69571767022671</c:v>
                </c:pt>
                <c:pt idx="72">
                  <c:v>822.81626726121738</c:v>
                </c:pt>
                <c:pt idx="73">
                  <c:v>837.93122299822573</c:v>
                </c:pt>
                <c:pt idx="74">
                  <c:v>853.04069990631922</c:v>
                </c:pt>
                <c:pt idx="75">
                  <c:v>868.14480860757533</c:v>
                </c:pt>
                <c:pt idx="76">
                  <c:v>883.24365556486009</c:v>
                </c:pt>
                <c:pt idx="77">
                  <c:v>898.33734330808841</c:v>
                </c:pt>
                <c:pt idx="78">
                  <c:v>913.42597064450467</c:v>
                </c:pt>
                <c:pt idx="79">
                  <c:v>928.50963285436319</c:v>
                </c:pt>
                <c:pt idx="80">
                  <c:v>943.58842187324615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2.0745631571652896</c:v>
                </c:pt>
                <c:pt idx="2">
                  <c:v>3.0297422110396059</c:v>
                </c:pt>
                <c:pt idx="3">
                  <c:v>4.426694796399576</c:v>
                </c:pt>
                <c:pt idx="4">
                  <c:v>6.4706057550725733</c:v>
                </c:pt>
                <c:pt idx="5">
                  <c:v>9.462332887170275</c:v>
                </c:pt>
                <c:pt idx="6">
                  <c:v>13.843177914710504</c:v>
                </c:pt>
                <c:pt idx="7">
                  <c:v>20.260677428574223</c:v>
                </c:pt>
                <c:pt idx="8">
                  <c:v>29.665312227503268</c:v>
                </c:pt>
                <c:pt idx="9">
                  <c:v>43.452707245633206</c:v>
                </c:pt>
                <c:pt idx="10">
                  <c:v>63.672780247520365</c:v>
                </c:pt>
                <c:pt idx="11">
                  <c:v>74.211914277304729</c:v>
                </c:pt>
                <c:pt idx="12">
                  <c:v>94.339696661064423</c:v>
                </c:pt>
                <c:pt idx="13">
                  <c:v>114.35988002843902</c:v>
                </c:pt>
                <c:pt idx="14">
                  <c:v>134.29404570864804</c:v>
                </c:pt>
                <c:pt idx="15">
                  <c:v>154.15679349366337</c:v>
                </c:pt>
                <c:pt idx="16">
                  <c:v>173.95863427802908</c:v>
                </c:pt>
                <c:pt idx="17">
                  <c:v>193.70748241961215</c:v>
                </c:pt>
                <c:pt idx="18">
                  <c:v>213.40950296894428</c:v>
                </c:pt>
                <c:pt idx="19">
                  <c:v>233.06962789410557</c:v>
                </c:pt>
                <c:pt idx="20">
                  <c:v>252.69188827494611</c:v>
                </c:pt>
                <c:pt idx="21">
                  <c:v>158.90496348262437</c:v>
                </c:pt>
                <c:pt idx="22">
                  <c:v>180.82317750350458</c:v>
                </c:pt>
                <c:pt idx="23">
                  <c:v>202.67915683996458</c:v>
                </c:pt>
                <c:pt idx="24">
                  <c:v>224.48055915021379</c:v>
                </c:pt>
                <c:pt idx="25">
                  <c:v>246.23343069700653</c:v>
                </c:pt>
                <c:pt idx="26">
                  <c:v>267.942661077026</c:v>
                </c:pt>
                <c:pt idx="27">
                  <c:v>289.61228235764639</c:v>
                </c:pt>
                <c:pt idx="28">
                  <c:v>311.24567377041313</c:v>
                </c:pt>
                <c:pt idx="29">
                  <c:v>332.84570640959026</c:v>
                </c:pt>
                <c:pt idx="30">
                  <c:v>354.41484835314122</c:v>
                </c:pt>
                <c:pt idx="31">
                  <c:v>258.20796683564902</c:v>
                </c:pt>
                <c:pt idx="32">
                  <c:v>276.61506059958816</c:v>
                </c:pt>
                <c:pt idx="33">
                  <c:v>294.99466081803865</c:v>
                </c:pt>
                <c:pt idx="34">
                  <c:v>313.34872108947019</c:v>
                </c:pt>
                <c:pt idx="35">
                  <c:v>331.67894746173437</c:v>
                </c:pt>
                <c:pt idx="36">
                  <c:v>349.98684203459584</c:v>
                </c:pt>
                <c:pt idx="37">
                  <c:v>368.27373695629672</c:v>
                </c:pt>
                <c:pt idx="38">
                  <c:v>386.54082131190904</c:v>
                </c:pt>
                <c:pt idx="39">
                  <c:v>404.78916266210507</c:v>
                </c:pt>
                <c:pt idx="40">
                  <c:v>423.01972449465916</c:v>
                </c:pt>
                <c:pt idx="41">
                  <c:v>331.21221855116193</c:v>
                </c:pt>
                <c:pt idx="42">
                  <c:v>346.49017993514076</c:v>
                </c:pt>
                <c:pt idx="43">
                  <c:v>361.7533546354652</c:v>
                </c:pt>
                <c:pt idx="44">
                  <c:v>377.00245431440914</c:v>
                </c:pt>
                <c:pt idx="45">
                  <c:v>392.2381283696534</c:v>
                </c:pt>
                <c:pt idx="46">
                  <c:v>407.46097163939231</c:v>
                </c:pt>
                <c:pt idx="47">
                  <c:v>422.67153089581711</c:v>
                </c:pt>
                <c:pt idx="48">
                  <c:v>437.87031035511899</c:v>
                </c:pt>
                <c:pt idx="49">
                  <c:v>453.05777638262111</c:v>
                </c:pt>
                <c:pt idx="50">
                  <c:v>468.23436153418692</c:v>
                </c:pt>
                <c:pt idx="51">
                  <c:v>394.33056437804663</c:v>
                </c:pt>
                <c:pt idx="52">
                  <c:v>407.46097163939248</c:v>
                </c:pt>
                <c:pt idx="53">
                  <c:v>420.5822393983571</c:v>
                </c:pt>
                <c:pt idx="54">
                  <c:v>433.69469295434129</c:v>
                </c:pt>
                <c:pt idx="55">
                  <c:v>446.79863633235749</c:v>
                </c:pt>
                <c:pt idx="56">
                  <c:v>459.89435427063654</c:v>
                </c:pt>
                <c:pt idx="57">
                  <c:v>472.98211397005889</c:v>
                </c:pt>
                <c:pt idx="58">
                  <c:v>486.06216663988494</c:v>
                </c:pt>
                <c:pt idx="59">
                  <c:v>499.13474886845819</c:v>
                </c:pt>
                <c:pt idx="60">
                  <c:v>512.20008384285632</c:v>
                </c:pt>
                <c:pt idx="61">
                  <c:v>445.98712945328037</c:v>
                </c:pt>
                <c:pt idx="62">
                  <c:v>457.3453774458365</c:v>
                </c:pt>
                <c:pt idx="63">
                  <c:v>468.69760187850301</c:v>
                </c:pt>
                <c:pt idx="64">
                  <c:v>480.04396921749617</c:v>
                </c:pt>
                <c:pt idx="65">
                  <c:v>491.38463741771352</c:v>
                </c:pt>
                <c:pt idx="66">
                  <c:v>502.71975654847256</c:v>
                </c:pt>
                <c:pt idx="67">
                  <c:v>514.04946935988221</c:v>
                </c:pt>
                <c:pt idx="68">
                  <c:v>525.37391179668555</c:v>
                </c:pt>
                <c:pt idx="69">
                  <c:v>536.69321346550237</c:v>
                </c:pt>
                <c:pt idx="70">
                  <c:v>548.00749806060537</c:v>
                </c:pt>
                <c:pt idx="71">
                  <c:v>485.13639362991449</c:v>
                </c:pt>
                <c:pt idx="72">
                  <c:v>495.08650386656171</c:v>
                </c:pt>
                <c:pt idx="73">
                  <c:v>505.03237738917477</c:v>
                </c:pt>
                <c:pt idx="74">
                  <c:v>514.974109405685</c:v>
                </c:pt>
                <c:pt idx="75">
                  <c:v>524.91179114784131</c:v>
                </c:pt>
                <c:pt idx="76">
                  <c:v>534.84551011101053</c:v>
                </c:pt>
                <c:pt idx="77">
                  <c:v>544.77535027524038</c:v>
                </c:pt>
                <c:pt idx="78">
                  <c:v>554.70139230936479</c:v>
                </c:pt>
                <c:pt idx="79">
                  <c:v>564.62371375974271</c:v>
                </c:pt>
                <c:pt idx="80">
                  <c:v>574.54238922504044</c:v>
                </c:pt>
                <c:pt idx="81">
                  <c:v>7.6581912194083782E-12</c:v>
                </c:pt>
                <c:pt idx="82">
                  <c:v>7.6581912194083782E-12</c:v>
                </c:pt>
                <c:pt idx="83">
                  <c:v>7.6581912194083782E-12</c:v>
                </c:pt>
                <c:pt idx="84">
                  <c:v>7.6581912194083782E-12</c:v>
                </c:pt>
                <c:pt idx="85">
                  <c:v>7.6581912194083782E-12</c:v>
                </c:pt>
                <c:pt idx="86">
                  <c:v>7.6581912194083782E-12</c:v>
                </c:pt>
                <c:pt idx="87">
                  <c:v>7.6581912194083782E-12</c:v>
                </c:pt>
                <c:pt idx="88">
                  <c:v>7.6581912194083782E-12</c:v>
                </c:pt>
                <c:pt idx="89">
                  <c:v>7.6581912194083782E-12</c:v>
                </c:pt>
                <c:pt idx="90">
                  <c:v>7.6581912194083782E-12</c:v>
                </c:pt>
                <c:pt idx="91">
                  <c:v>7.6581912194083782E-12</c:v>
                </c:pt>
                <c:pt idx="92">
                  <c:v>7.6581912194083782E-12</c:v>
                </c:pt>
                <c:pt idx="93">
                  <c:v>7.6581912194083782E-12</c:v>
                </c:pt>
                <c:pt idx="94">
                  <c:v>7.6581912194083782E-12</c:v>
                </c:pt>
                <c:pt idx="95">
                  <c:v>7.6581912194083782E-12</c:v>
                </c:pt>
                <c:pt idx="96">
                  <c:v>7.6581912194083782E-12</c:v>
                </c:pt>
                <c:pt idx="97">
                  <c:v>7.6581912194083782E-12</c:v>
                </c:pt>
                <c:pt idx="98">
                  <c:v>7.6581912194083782E-12</c:v>
                </c:pt>
                <c:pt idx="99">
                  <c:v>7.6581912194083782E-12</c:v>
                </c:pt>
                <c:pt idx="100">
                  <c:v>7.6581912194083782E-12</c:v>
                </c:pt>
                <c:pt idx="101">
                  <c:v>7.6581912194083782E-12</c:v>
                </c:pt>
                <c:pt idx="102">
                  <c:v>7.6581912194083782E-12</c:v>
                </c:pt>
                <c:pt idx="103">
                  <c:v>7.6581912194083782E-12</c:v>
                </c:pt>
                <c:pt idx="104">
                  <c:v>7.6581912194083782E-12</c:v>
                </c:pt>
                <c:pt idx="105">
                  <c:v>7.6581912194083782E-12</c:v>
                </c:pt>
                <c:pt idx="106">
                  <c:v>7.6581912194083782E-12</c:v>
                </c:pt>
                <c:pt idx="107">
                  <c:v>7.6581912194083782E-12</c:v>
                </c:pt>
                <c:pt idx="108">
                  <c:v>7.6581912194083782E-12</c:v>
                </c:pt>
                <c:pt idx="109">
                  <c:v>7.6581912194083782E-12</c:v>
                </c:pt>
                <c:pt idx="110">
                  <c:v>7.6581912194083782E-12</c:v>
                </c:pt>
                <c:pt idx="111">
                  <c:v>7.6581912194083782E-12</c:v>
                </c:pt>
                <c:pt idx="112">
                  <c:v>7.6581912194083782E-12</c:v>
                </c:pt>
                <c:pt idx="113">
                  <c:v>7.6581912194083782E-12</c:v>
                </c:pt>
                <c:pt idx="114">
                  <c:v>7.6581912194083782E-12</c:v>
                </c:pt>
                <c:pt idx="115">
                  <c:v>7.6581912194083782E-12</c:v>
                </c:pt>
                <c:pt idx="116">
                  <c:v>7.6581912194083782E-12</c:v>
                </c:pt>
                <c:pt idx="117">
                  <c:v>7.6581912194083782E-12</c:v>
                </c:pt>
                <c:pt idx="118">
                  <c:v>7.6581912194083782E-12</c:v>
                </c:pt>
                <c:pt idx="119">
                  <c:v>7.6581912194083782E-12</c:v>
                </c:pt>
                <c:pt idx="120">
                  <c:v>7.6581912194083782E-12</c:v>
                </c:pt>
                <c:pt idx="121">
                  <c:v>7.6581912194083782E-12</c:v>
                </c:pt>
                <c:pt idx="122">
                  <c:v>7.6581912194083782E-12</c:v>
                </c:pt>
                <c:pt idx="123">
                  <c:v>7.6581912194083782E-12</c:v>
                </c:pt>
                <c:pt idx="124">
                  <c:v>7.6581912194083782E-12</c:v>
                </c:pt>
                <c:pt idx="125">
                  <c:v>7.6581912194083782E-12</c:v>
                </c:pt>
                <c:pt idx="126">
                  <c:v>7.6581912194083782E-12</c:v>
                </c:pt>
                <c:pt idx="127">
                  <c:v>7.6581912194083782E-12</c:v>
                </c:pt>
                <c:pt idx="128">
                  <c:v>7.6581912194083782E-12</c:v>
                </c:pt>
                <c:pt idx="129">
                  <c:v>7.6581912194083782E-12</c:v>
                </c:pt>
                <c:pt idx="130">
                  <c:v>7.6581912194083782E-12</c:v>
                </c:pt>
                <c:pt idx="131">
                  <c:v>7.6581912194083782E-12</c:v>
                </c:pt>
                <c:pt idx="132">
                  <c:v>7.6581912194083782E-12</c:v>
                </c:pt>
                <c:pt idx="133">
                  <c:v>7.6581912194083782E-12</c:v>
                </c:pt>
                <c:pt idx="134">
                  <c:v>7.6581912194083782E-12</c:v>
                </c:pt>
                <c:pt idx="135">
                  <c:v>7.6581912194083782E-12</c:v>
                </c:pt>
                <c:pt idx="136">
                  <c:v>7.6581912194083782E-12</c:v>
                </c:pt>
                <c:pt idx="137">
                  <c:v>7.6581912194083782E-12</c:v>
                </c:pt>
                <c:pt idx="138">
                  <c:v>7.6581912194083782E-12</c:v>
                </c:pt>
                <c:pt idx="139">
                  <c:v>7.6581912194083782E-12</c:v>
                </c:pt>
                <c:pt idx="140">
                  <c:v>7.6581912194083782E-12</c:v>
                </c:pt>
                <c:pt idx="141">
                  <c:v>7.6581912194083782E-12</c:v>
                </c:pt>
                <c:pt idx="142">
                  <c:v>7.6581912194083782E-12</c:v>
                </c:pt>
                <c:pt idx="143">
                  <c:v>7.6581912194083782E-12</c:v>
                </c:pt>
                <c:pt idx="144">
                  <c:v>7.6581912194083782E-12</c:v>
                </c:pt>
                <c:pt idx="145">
                  <c:v>7.6581912194083782E-12</c:v>
                </c:pt>
                <c:pt idx="146">
                  <c:v>7.6581912194083782E-12</c:v>
                </c:pt>
                <c:pt idx="147">
                  <c:v>7.6581912194083782E-12</c:v>
                </c:pt>
                <c:pt idx="148">
                  <c:v>7.6581912194083782E-12</c:v>
                </c:pt>
                <c:pt idx="149">
                  <c:v>7.6581912194083782E-12</c:v>
                </c:pt>
                <c:pt idx="150">
                  <c:v>7.6581912194083782E-12</c:v>
                </c:pt>
                <c:pt idx="151">
                  <c:v>7.6581912194083782E-12</c:v>
                </c:pt>
                <c:pt idx="152">
                  <c:v>7.6581912194083782E-12</c:v>
                </c:pt>
                <c:pt idx="153">
                  <c:v>7.6581912194083782E-12</c:v>
                </c:pt>
                <c:pt idx="154">
                  <c:v>7.6581912194083782E-12</c:v>
                </c:pt>
                <c:pt idx="155">
                  <c:v>7.6581912194083782E-12</c:v>
                </c:pt>
                <c:pt idx="156">
                  <c:v>7.6581912194083782E-12</c:v>
                </c:pt>
                <c:pt idx="157">
                  <c:v>7.6581912194083782E-12</c:v>
                </c:pt>
                <c:pt idx="158">
                  <c:v>7.6581912194083782E-12</c:v>
                </c:pt>
                <c:pt idx="159">
                  <c:v>7.6581912194083782E-12</c:v>
                </c:pt>
                <c:pt idx="160">
                  <c:v>7.6581912194083782E-12</c:v>
                </c:pt>
                <c:pt idx="161">
                  <c:v>7.6581912194083782E-12</c:v>
                </c:pt>
                <c:pt idx="162">
                  <c:v>7.6581912194083782E-12</c:v>
                </c:pt>
                <c:pt idx="163">
                  <c:v>7.6581912194083782E-12</c:v>
                </c:pt>
                <c:pt idx="164">
                  <c:v>7.6581912194083782E-12</c:v>
                </c:pt>
                <c:pt idx="165">
                  <c:v>7.6581912194083782E-12</c:v>
                </c:pt>
                <c:pt idx="166">
                  <c:v>7.6581912194083782E-12</c:v>
                </c:pt>
                <c:pt idx="167">
                  <c:v>7.6581912194083782E-12</c:v>
                </c:pt>
                <c:pt idx="168">
                  <c:v>7.6581912194083782E-12</c:v>
                </c:pt>
                <c:pt idx="169">
                  <c:v>7.6581912194083782E-12</c:v>
                </c:pt>
                <c:pt idx="170">
                  <c:v>7.6581912194083782E-12</c:v>
                </c:pt>
                <c:pt idx="171">
                  <c:v>7.6581912194083782E-12</c:v>
                </c:pt>
                <c:pt idx="172">
                  <c:v>7.6581912194083782E-12</c:v>
                </c:pt>
                <c:pt idx="173">
                  <c:v>7.6581912194083782E-12</c:v>
                </c:pt>
                <c:pt idx="174">
                  <c:v>7.6581912194083782E-12</c:v>
                </c:pt>
                <c:pt idx="175">
                  <c:v>7.6581912194083782E-12</c:v>
                </c:pt>
                <c:pt idx="176">
                  <c:v>7.6581912194083782E-12</c:v>
                </c:pt>
                <c:pt idx="177">
                  <c:v>7.6581912194083782E-12</c:v>
                </c:pt>
                <c:pt idx="178">
                  <c:v>7.6581912194083782E-12</c:v>
                </c:pt>
                <c:pt idx="179">
                  <c:v>7.6581912194083782E-12</c:v>
                </c:pt>
                <c:pt idx="180">
                  <c:v>7.6581912194083782E-12</c:v>
                </c:pt>
                <c:pt idx="181">
                  <c:v>7.6581912194083782E-12</c:v>
                </c:pt>
                <c:pt idx="182">
                  <c:v>7.6581912194083782E-12</c:v>
                </c:pt>
                <c:pt idx="183">
                  <c:v>7.6581912194083782E-12</c:v>
                </c:pt>
                <c:pt idx="184">
                  <c:v>7.6581912194083782E-12</c:v>
                </c:pt>
                <c:pt idx="185">
                  <c:v>7.6581912194083782E-12</c:v>
                </c:pt>
                <c:pt idx="186">
                  <c:v>7.6581912194083782E-12</c:v>
                </c:pt>
                <c:pt idx="187">
                  <c:v>7.6581912194083782E-12</c:v>
                </c:pt>
                <c:pt idx="188">
                  <c:v>7.6581912194083782E-12</c:v>
                </c:pt>
                <c:pt idx="189">
                  <c:v>7.6581912194083782E-12</c:v>
                </c:pt>
                <c:pt idx="190">
                  <c:v>7.6581912194083782E-12</c:v>
                </c:pt>
                <c:pt idx="191">
                  <c:v>7.6581912194083782E-12</c:v>
                </c:pt>
                <c:pt idx="192">
                  <c:v>7.6581912194083782E-12</c:v>
                </c:pt>
                <c:pt idx="193">
                  <c:v>7.6581912194083782E-12</c:v>
                </c:pt>
                <c:pt idx="194">
                  <c:v>7.6581912194083782E-12</c:v>
                </c:pt>
                <c:pt idx="195">
                  <c:v>7.6581912194083782E-12</c:v>
                </c:pt>
                <c:pt idx="196">
                  <c:v>7.6581912194083782E-12</c:v>
                </c:pt>
                <c:pt idx="197">
                  <c:v>7.6581912194083782E-12</c:v>
                </c:pt>
                <c:pt idx="198">
                  <c:v>7.6581912194083782E-12</c:v>
                </c:pt>
                <c:pt idx="199">
                  <c:v>7.6581912194083782E-12</c:v>
                </c:pt>
                <c:pt idx="200">
                  <c:v>7.6581912194083782E-12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5" zoomScale="80" zoomScaleNormal="80" workbookViewId="0">
      <selection activeCell="E11" sqref="E1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4.32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0.6</v>
      </c>
      <c r="D9" s="33">
        <f t="shared" ref="D9:D18" si="0">C9*$C$5</f>
        <v>2.5920000000000001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81</v>
      </c>
      <c r="C10" s="32">
        <v>0.4</v>
      </c>
      <c r="D10" s="33">
        <f t="shared" si="0"/>
        <v>1.7280000000000002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4.32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27</v>
      </c>
      <c r="C36" s="60"/>
      <c r="D36" s="60">
        <v>0</v>
      </c>
      <c r="E36" s="51"/>
      <c r="F36" s="51"/>
      <c r="G36" s="51"/>
      <c r="H36" s="51"/>
      <c r="I36" s="49">
        <f>IFERROR(B36/A36,"")</f>
        <v>2.7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228</v>
      </c>
      <c r="C37" s="60">
        <v>1</v>
      </c>
      <c r="D37" s="60">
        <v>104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20.100000000000001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399</v>
      </c>
      <c r="C38" s="60">
        <v>2</v>
      </c>
      <c r="D38" s="60">
        <v>140</v>
      </c>
      <c r="E38" s="51">
        <v>0.2</v>
      </c>
      <c r="F38" s="51">
        <v>0.4</v>
      </c>
      <c r="G38" s="51">
        <v>0.4</v>
      </c>
      <c r="H38" s="51"/>
      <c r="I38" s="53">
        <f t="shared" si="1"/>
        <v>27.5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527</v>
      </c>
      <c r="C39" s="60">
        <v>3</v>
      </c>
      <c r="D39" s="60">
        <v>140</v>
      </c>
      <c r="E39" s="51"/>
      <c r="F39" s="51"/>
      <c r="G39" s="51"/>
      <c r="H39" s="51"/>
      <c r="I39" s="49">
        <f t="shared" si="1"/>
        <v>26.8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v>615</v>
      </c>
      <c r="C40" s="60">
        <v>4</v>
      </c>
      <c r="D40" s="60">
        <v>129</v>
      </c>
      <c r="E40" s="51"/>
      <c r="F40" s="51"/>
      <c r="G40" s="51"/>
      <c r="H40" s="51"/>
      <c r="I40" s="49">
        <f t="shared" si="1"/>
        <v>22.8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679</v>
      </c>
      <c r="C41" s="60">
        <v>5</v>
      </c>
      <c r="D41" s="60">
        <v>96</v>
      </c>
      <c r="E41" s="51"/>
      <c r="F41" s="51"/>
      <c r="G41" s="51"/>
      <c r="H41" s="51"/>
      <c r="I41" s="53">
        <f t="shared" si="1"/>
        <v>19.3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v>741</v>
      </c>
      <c r="C42" s="60">
        <v>6</v>
      </c>
      <c r="D42" s="60">
        <v>80</v>
      </c>
      <c r="E42" s="51"/>
      <c r="F42" s="51"/>
      <c r="G42" s="51"/>
      <c r="H42" s="51"/>
      <c r="I42" s="53">
        <f t="shared" si="1"/>
        <v>15.8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v>790</v>
      </c>
      <c r="C43" s="60">
        <v>7</v>
      </c>
      <c r="D43" s="60">
        <v>790</v>
      </c>
      <c r="E43" s="51"/>
      <c r="F43" s="51"/>
      <c r="G43" s="51"/>
      <c r="H43" s="51"/>
      <c r="I43" s="49">
        <f t="shared" si="1"/>
        <v>12.9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Mélèze hybride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51</v>
      </c>
      <c r="C62" s="60">
        <v>1</v>
      </c>
      <c r="D62" s="60">
        <v>8</v>
      </c>
      <c r="E62" s="51"/>
      <c r="F62" s="51">
        <v>0.5</v>
      </c>
      <c r="G62" s="51">
        <v>0.5</v>
      </c>
      <c r="H62" s="51"/>
      <c r="I62" s="53">
        <f>IFERROR(B62/A62,"")</f>
        <v>5.0999999999999996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210</v>
      </c>
      <c r="C63" s="60">
        <v>2</v>
      </c>
      <c r="D63" s="60">
        <v>98</v>
      </c>
      <c r="E63" s="51"/>
      <c r="F63" s="51">
        <v>0.5</v>
      </c>
      <c r="G63" s="51">
        <v>0.5</v>
      </c>
      <c r="H63" s="51"/>
      <c r="I63" s="49">
        <f>IF(A63&lt;&gt;0,(B63-(B62-D62))/(A63-A62),"")</f>
        <v>16.7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297</v>
      </c>
      <c r="C64" s="60">
        <v>3</v>
      </c>
      <c r="D64" s="60">
        <v>98</v>
      </c>
      <c r="E64" s="51">
        <v>0.2</v>
      </c>
      <c r="F64" s="51">
        <v>0.4</v>
      </c>
      <c r="G64" s="51">
        <v>0.4</v>
      </c>
      <c r="H64" s="51"/>
      <c r="I64" s="49">
        <f>IF(A64&lt;&gt;0,(B64-(B63-D63))/(A64-A63),"")</f>
        <v>18.5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356</v>
      </c>
      <c r="C65" s="60">
        <v>4</v>
      </c>
      <c r="D65" s="60">
        <v>92</v>
      </c>
      <c r="E65" s="51"/>
      <c r="F65" s="51"/>
      <c r="G65" s="51"/>
      <c r="H65" s="51"/>
      <c r="I65" s="49">
        <f>IF(A65&lt;&gt;0,(B65-(B64-D64))/(A65-A64),"")</f>
        <v>15.7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50</v>
      </c>
      <c r="B66" s="60">
        <v>395</v>
      </c>
      <c r="C66" s="60">
        <v>5</v>
      </c>
      <c r="D66" s="60">
        <v>75</v>
      </c>
      <c r="E66" s="51"/>
      <c r="F66" s="51"/>
      <c r="G66" s="51"/>
      <c r="H66" s="51"/>
      <c r="I66" s="49">
        <f t="shared" ref="I66:I81" si="2">IF(A66&lt;&gt;0,(B66-(B65-D65))/(A66-A65),"")</f>
        <v>13.1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60</v>
      </c>
      <c r="B67" s="60">
        <v>433</v>
      </c>
      <c r="C67" s="60">
        <v>6</v>
      </c>
      <c r="D67" s="60">
        <v>67</v>
      </c>
      <c r="E67" s="51"/>
      <c r="F67" s="51"/>
      <c r="G67" s="51"/>
      <c r="H67" s="51"/>
      <c r="I67" s="49">
        <f t="shared" si="2"/>
        <v>11.3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70</v>
      </c>
      <c r="B68" s="60">
        <v>464</v>
      </c>
      <c r="C68" s="60">
        <v>7</v>
      </c>
      <c r="D68" s="60">
        <v>63</v>
      </c>
      <c r="E68" s="51"/>
      <c r="F68" s="51"/>
      <c r="G68" s="51"/>
      <c r="H68" s="51"/>
      <c r="I68" s="49">
        <f t="shared" si="2"/>
        <v>9.8000000000000007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80</v>
      </c>
      <c r="B69" s="50">
        <v>487</v>
      </c>
      <c r="C69" s="50">
        <v>8</v>
      </c>
      <c r="D69" s="50">
        <v>487</v>
      </c>
      <c r="E69" s="51"/>
      <c r="F69" s="51"/>
      <c r="G69" s="51"/>
      <c r="H69" s="51"/>
      <c r="I69" s="49">
        <f t="shared" si="2"/>
        <v>8.6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2" sqref="F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hybride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415.91544298418842</v>
      </c>
      <c r="T3" s="59">
        <f>IF('Données projet'!E9&gt;30,$R$33-$H$33,LOOKUP('Données projet'!$E$9,$A$3:$A$203,R3:R203)-LOOKUP('Données projet'!$E$9,$A$3:$A$203,$H$3:$H$203))</f>
        <v>422.79312683312583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248.1486444660062</v>
      </c>
      <c r="AO3" s="59">
        <f>IF('Données projet'!E10&gt;30,$AM$33-$H$33,LOOKUP('Données projet'!$E$10,$A$3:$A$203,AM3:AM203)-LOOKUP('Données projet'!$E$10,$A$3:$A$203,$H$3:$H$203))</f>
        <v>293.34458072322127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2.7</v>
      </c>
      <c r="N4" s="13">
        <f>IF('Données projet'!$A$36&gt;35,N3+M4-V3,IF(A4&lt;'Données projet'!$A$36,$K$205^A4,IF(A4='Données projet'!$A$36,'Données projet'!$B$36,N3+M4-V3)))</f>
        <v>1.3903891703159093</v>
      </c>
      <c r="O4" s="13">
        <f>N4*VLOOKUP('Données projet'!$B$9,Paramètres!$A$1:$I$89,3,0)*VLOOKUP('Données projet'!$B$9,Paramètres!$A$1:$I$89,5,0)</f>
        <v>0.77722754620659329</v>
      </c>
      <c r="P4" s="13">
        <f>EXP(-1.0587+0.8836*LN(O4)+0.284)</f>
        <v>0.36884206136494596</v>
      </c>
      <c r="Q4" s="20">
        <f t="shared" ref="Q4:Q34" si="2">(O4+P4)*0.475*44/12</f>
        <v>1.9960712331870976</v>
      </c>
      <c r="R4" s="59">
        <f t="shared" si="0"/>
        <v>295.3294045665204</v>
      </c>
      <c r="S4" s="59">
        <f ca="1">AVERAGE(OFFSET($R$3,0,0,'Données projet'!$E$9+1,1))-AVERAGE(OFFSET($H$3,0,0,'Données projet'!$E$9+1,1))</f>
        <v>415.91544298418842</v>
      </c>
      <c r="T4" s="59">
        <f>$T$3</f>
        <v>422.79312683312583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5.0999999999999996</v>
      </c>
      <c r="AI4" s="13">
        <f>IF('Données projet'!$A$62&gt;35,AI3+AH4-AQ3,IF(A4&lt;'Données projet'!$A$62,$AF$205^A4,IF(A4='Données projet'!$A$62,'Données projet'!$B$62,AI3+AH4-AQ3)))</f>
        <v>1.4816888666071193</v>
      </c>
      <c r="AJ4" s="13">
        <f>AI4*VLOOKUP('Données projet'!$B$10,Paramètres!$A$1:$I$89,3,0)*VLOOKUP('Données projet'!$B$10,Paramètres!$A$1:$I$89,5,0)</f>
        <v>0.80900212116748715</v>
      </c>
      <c r="AK4" s="13">
        <f>EXP(-1.0587+0.8836*LN(AJ4)+0.284)</f>
        <v>0.38213461978866009</v>
      </c>
      <c r="AL4" s="20">
        <f t="shared" ref="AL4:AL67" si="4">(AJ4+AK4)*0.475*44/12</f>
        <v>2.0745631571652896</v>
      </c>
      <c r="AM4" s="59">
        <f t="shared" ref="AM4:AM67" si="5">AL4+(AD4+AE4)*44/12</f>
        <v>295.40789649049862</v>
      </c>
      <c r="AN4" s="59">
        <f ca="1">AVERAGE(OFFSET($AM$3,0,0,'Données projet'!$E$10+1,1))-AVERAGE(OFFSET($H$3,0,0,'Données projet'!$E$10+1,1))</f>
        <v>248.1486444660062</v>
      </c>
      <c r="AO4" s="59">
        <f>$AO$3</f>
        <v>293.34458072322127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2.7</v>
      </c>
      <c r="N5" s="13">
        <f>IF('Données projet'!$A$36&gt;35,N4+M5-V4,IF(A5&lt;'Données projet'!$A$36,$K$205^A5,IF(A5='Données projet'!$A$36,'Données projet'!$B$36,N4+M5-V4)))</f>
        <v>1.9331820449317625</v>
      </c>
      <c r="O5" s="13">
        <f>N5*VLOOKUP('Données projet'!$B$9,Paramètres!$A$1:$I$89,3,0)*VLOOKUP('Données projet'!$B$9,Paramètres!$A$1:$I$89,5,0)</f>
        <v>1.0806487631168553</v>
      </c>
      <c r="P5" s="13">
        <f t="shared" ref="P5:P68" si="33">EXP(-1.0587+0.8836*LN(O5)+0.284)</f>
        <v>0.49353248375234221</v>
      </c>
      <c r="Q5" s="20">
        <f t="shared" si="2"/>
        <v>2.7416990049638525</v>
      </c>
      <c r="R5" s="59">
        <f t="shared" si="0"/>
        <v>296.07503233829715</v>
      </c>
      <c r="S5" s="59">
        <f ca="1">AVERAGE(OFFSET($R$3,0,0,'Données projet'!$E$9+1,1))-AVERAGE(OFFSET($H$3,0,0,'Données projet'!$E$9+1,1))</f>
        <v>415.91544298418842</v>
      </c>
      <c r="T5" s="59">
        <f t="shared" ref="T5:T68" si="34">$T$3</f>
        <v>422.79312683312583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5.0999999999999996</v>
      </c>
      <c r="AI5" s="13">
        <f>IF('Données projet'!$A$62&gt;35,AI4+AH5-AQ4,IF(A5&lt;'Données projet'!$A$62,$AF$205^A5,IF(A5='Données projet'!$A$62,'Données projet'!$B$62,AI4+AH5-AQ4)))</f>
        <v>2.1954018974274896</v>
      </c>
      <c r="AJ5" s="13">
        <f>AI5*VLOOKUP('Données projet'!$B$10,Paramètres!$A$1:$I$89,3,0)*VLOOKUP('Données projet'!$B$10,Paramètres!$A$1:$I$89,5,0)</f>
        <v>1.1986894359954092</v>
      </c>
      <c r="AK5" s="13">
        <f t="shared" ref="AK5:AK68" si="35">EXP(-1.0587+0.8836*LN(AJ5)+0.284)</f>
        <v>0.54087546986465163</v>
      </c>
      <c r="AL5" s="20">
        <f t="shared" si="4"/>
        <v>3.0297422110396059</v>
      </c>
      <c r="AM5" s="59">
        <f t="shared" si="5"/>
        <v>296.36307554437292</v>
      </c>
      <c r="AN5" s="59">
        <f ca="1">AVERAGE(OFFSET($AM$3,0,0,'Données projet'!$E$10+1,1))-AVERAGE(OFFSET($H$3,0,0,'Données projet'!$E$10+1,1))</f>
        <v>248.1486444660062</v>
      </c>
      <c r="AO5" s="59">
        <f t="shared" ref="AO5:AO68" si="36">$AO$3</f>
        <v>293.34458072322127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2.7</v>
      </c>
      <c r="N6" s="13">
        <f>IF('Données projet'!$A$36&gt;35,N5+M6-V5,IF(A6&lt;'Données projet'!$A$36,$K$205^A6,IF(A6='Données projet'!$A$36,'Données projet'!$B$36,N5+M6-V5)))</f>
        <v>2.6878753795222861</v>
      </c>
      <c r="O6" s="13">
        <f>N6*VLOOKUP('Données projet'!$B$9,Paramètres!$A$1:$I$89,3,0)*VLOOKUP('Données projet'!$B$9,Paramètres!$A$1:$I$89,5,0)</f>
        <v>1.5025223371529579</v>
      </c>
      <c r="P6" s="13">
        <f t="shared" si="33"/>
        <v>0.66037564050417386</v>
      </c>
      <c r="Q6" s="20">
        <f t="shared" si="2"/>
        <v>3.7670473110861704</v>
      </c>
      <c r="R6" s="59">
        <f t="shared" si="0"/>
        <v>297.10038064441949</v>
      </c>
      <c r="S6" s="59">
        <f ca="1">AVERAGE(OFFSET($R$3,0,0,'Données projet'!$E$9+1,1))-AVERAGE(OFFSET($H$3,0,0,'Données projet'!$E$9+1,1))</f>
        <v>415.91544298418842</v>
      </c>
      <c r="T6" s="59">
        <f t="shared" si="34"/>
        <v>422.79312683312583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5.0999999999999996</v>
      </c>
      <c r="AI6" s="13">
        <f>IF('Données projet'!$A$62&gt;35,AI5+AH6-AQ5,IF(A6&lt;'Données projet'!$A$62,$AF$205^A6,IF(A6='Données projet'!$A$62,'Données projet'!$B$62,AI5+AH6-AQ5)))</f>
        <v>3.252902549146456</v>
      </c>
      <c r="AJ6" s="13">
        <f>AI6*VLOOKUP('Données projet'!$B$10,Paramètres!$A$1:$I$89,3,0)*VLOOKUP('Données projet'!$B$10,Paramètres!$A$1:$I$89,5,0)</f>
        <v>1.7760847918339648</v>
      </c>
      <c r="AK6" s="13">
        <f t="shared" si="35"/>
        <v>0.76555815346722778</v>
      </c>
      <c r="AL6" s="20">
        <f t="shared" si="4"/>
        <v>4.426694796399576</v>
      </c>
      <c r="AM6" s="59">
        <f t="shared" si="5"/>
        <v>297.76002812973292</v>
      </c>
      <c r="AN6" s="59">
        <f ca="1">AVERAGE(OFFSET($AM$3,0,0,'Données projet'!$E$10+1,1))-AVERAGE(OFFSET($H$3,0,0,'Données projet'!$E$10+1,1))</f>
        <v>248.1486444660062</v>
      </c>
      <c r="AO6" s="59">
        <f t="shared" si="36"/>
        <v>293.34458072322127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2.7</v>
      </c>
      <c r="N7" s="13">
        <f>IF('Données projet'!$A$36&gt;35,N6+M7-V6,IF(A7&lt;'Données projet'!$A$36,$K$205^A7,IF(A7='Données projet'!$A$36,'Données projet'!$B$36,N6+M7-V6)))</f>
        <v>3.7371928188465509</v>
      </c>
      <c r="O7" s="13">
        <f>N7*VLOOKUP('Données projet'!$B$9,Paramètres!$A$1:$I$89,3,0)*VLOOKUP('Données projet'!$B$9,Paramètres!$A$1:$I$89,5,0)</f>
        <v>2.0890907857352219</v>
      </c>
      <c r="P7" s="13">
        <f t="shared" si="33"/>
        <v>0.88362164787137598</v>
      </c>
      <c r="Q7" s="20">
        <f t="shared" si="2"/>
        <v>5.1774741551981576</v>
      </c>
      <c r="R7" s="59">
        <f t="shared" si="0"/>
        <v>298.5108074885315</v>
      </c>
      <c r="S7" s="59">
        <f ca="1">AVERAGE(OFFSET($R$3,0,0,'Données projet'!$E$9+1,1))-AVERAGE(OFFSET($H$3,0,0,'Données projet'!$E$9+1,1))</f>
        <v>415.91544298418842</v>
      </c>
      <c r="T7" s="59">
        <f t="shared" si="34"/>
        <v>422.79312683312583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5.0999999999999996</v>
      </c>
      <c r="AI7" s="13">
        <f>IF('Données projet'!$A$62&gt;35,AI6+AH7-AQ6,IF(A7&lt;'Données projet'!$A$62,$AF$205^A7,IF(A7='Données projet'!$A$62,'Données projet'!$B$62,AI6+AH7-AQ6)))</f>
        <v>4.8197894912282218</v>
      </c>
      <c r="AJ7" s="13">
        <f>AI7*VLOOKUP('Données projet'!$B$10,Paramètres!$A$1:$I$89,3,0)*VLOOKUP('Données projet'!$B$10,Paramètres!$A$1:$I$89,5,0)</f>
        <v>2.6316050622106091</v>
      </c>
      <c r="AK7" s="13">
        <f t="shared" si="35"/>
        <v>1.0835752756301034</v>
      </c>
      <c r="AL7" s="20">
        <f t="shared" si="4"/>
        <v>6.4706057550725733</v>
      </c>
      <c r="AM7" s="59">
        <f t="shared" si="5"/>
        <v>299.80393908840591</v>
      </c>
      <c r="AN7" s="59">
        <f ca="1">AVERAGE(OFFSET($AM$3,0,0,'Données projet'!$E$10+1,1))-AVERAGE(OFFSET($H$3,0,0,'Données projet'!$E$10+1,1))</f>
        <v>248.1486444660062</v>
      </c>
      <c r="AO7" s="59">
        <f t="shared" si="36"/>
        <v>293.34458072322127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2.7</v>
      </c>
      <c r="N8" s="13">
        <f>IF('Données projet'!$A$36&gt;35,N7+M8-V7,IF(A8&lt;'Données projet'!$A$36,$K$205^A8,IF(A8='Données projet'!$A$36,'Données projet'!$B$36,N7+M8-V7)))</f>
        <v>5.1961524227066302</v>
      </c>
      <c r="O8" s="13">
        <f>N8*VLOOKUP('Données projet'!$B$9,Paramètres!$A$1:$I$89,3,0)*VLOOKUP('Données projet'!$B$9,Paramètres!$A$1:$I$89,5,0)</f>
        <v>2.9046492042930061</v>
      </c>
      <c r="P8" s="13">
        <f t="shared" si="33"/>
        <v>1.1823380038531133</v>
      </c>
      <c r="Q8" s="20">
        <f t="shared" si="2"/>
        <v>7.1181693875211574</v>
      </c>
      <c r="R8" s="59">
        <f t="shared" si="0"/>
        <v>300.45150272085448</v>
      </c>
      <c r="S8" s="59">
        <f ca="1">AVERAGE(OFFSET($R$3,0,0,'Données projet'!$E$9+1,1))-AVERAGE(OFFSET($H$3,0,0,'Données projet'!$E$9+1,1))</f>
        <v>415.91544298418842</v>
      </c>
      <c r="T8" s="59">
        <f t="shared" si="34"/>
        <v>422.79312683312583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5.0999999999999996</v>
      </c>
      <c r="AI8" s="13">
        <f>IF('Données projet'!$A$62&gt;35,AI7+AH8-AQ7,IF(A8&lt;'Données projet'!$A$62,$AF$205^A8,IF(A8='Données projet'!$A$62,'Données projet'!$B$62,AI7+AH8-AQ7)))</f>
        <v>7.1414284285428478</v>
      </c>
      <c r="AJ8" s="13">
        <f>AI8*VLOOKUP('Données projet'!$B$10,Paramètres!$A$1:$I$89,3,0)*VLOOKUP('Données projet'!$B$10,Paramètres!$A$1:$I$89,5,0)</f>
        <v>3.8992199219843946</v>
      </c>
      <c r="AK8" s="13">
        <f t="shared" si="35"/>
        <v>1.5336984821325097</v>
      </c>
      <c r="AL8" s="20">
        <f t="shared" si="4"/>
        <v>9.462332887170275</v>
      </c>
      <c r="AM8" s="59">
        <f t="shared" si="5"/>
        <v>302.79566622050356</v>
      </c>
      <c r="AN8" s="59">
        <f ca="1">AVERAGE(OFFSET($AM$3,0,0,'Données projet'!$E$10+1,1))-AVERAGE(OFFSET($H$3,0,0,'Données projet'!$E$10+1,1))</f>
        <v>248.1486444660062</v>
      </c>
      <c r="AO8" s="59">
        <f t="shared" si="36"/>
        <v>293.34458072322127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2.7</v>
      </c>
      <c r="N9" s="13">
        <f>IF('Données projet'!$A$36&gt;35,N8+M9-V8,IF(A9&lt;'Données projet'!$A$36,$K$205^A9,IF(A9='Données projet'!$A$36,'Données projet'!$B$36,N8+M9-V8)))</f>
        <v>7.2246740558420726</v>
      </c>
      <c r="O9" s="13">
        <f>N9*VLOOKUP('Données projet'!$B$9,Paramètres!$A$1:$I$89,3,0)*VLOOKUP('Données projet'!$B$9,Paramètres!$A$1:$I$89,5,0)</f>
        <v>4.0385927972157187</v>
      </c>
      <c r="P9" s="13">
        <f t="shared" si="33"/>
        <v>1.5820381480274153</v>
      </c>
      <c r="Q9" s="20">
        <f t="shared" si="2"/>
        <v>9.7892655629651237</v>
      </c>
      <c r="R9" s="59">
        <f t="shared" si="0"/>
        <v>303.12259889629843</v>
      </c>
      <c r="S9" s="59">
        <f ca="1">AVERAGE(OFFSET($R$3,0,0,'Données projet'!$E$9+1,1))-AVERAGE(OFFSET($H$3,0,0,'Données projet'!$E$9+1,1))</f>
        <v>415.91544298418842</v>
      </c>
      <c r="T9" s="59">
        <f t="shared" si="34"/>
        <v>422.79312683312583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5.0999999999999996</v>
      </c>
      <c r="AI9" s="13">
        <f>IF('Données projet'!$A$62&gt;35,AI8+AH9-AQ8,IF(A9&lt;'Données projet'!$A$62,$AF$205^A9,IF(A9='Données projet'!$A$62,'Données projet'!$B$62,AI8+AH9-AQ8)))</f>
        <v>10.581374994243513</v>
      </c>
      <c r="AJ9" s="13">
        <f>AI9*VLOOKUP('Données projet'!$B$10,Paramètres!$A$1:$I$89,3,0)*VLOOKUP('Données projet'!$B$10,Paramètres!$A$1:$I$89,5,0)</f>
        <v>5.7774307468569575</v>
      </c>
      <c r="AK9" s="13">
        <f t="shared" si="35"/>
        <v>2.1708053764218018</v>
      </c>
      <c r="AL9" s="20">
        <f t="shared" si="4"/>
        <v>13.843177914710504</v>
      </c>
      <c r="AM9" s="59">
        <f t="shared" si="5"/>
        <v>307.17651124804382</v>
      </c>
      <c r="AN9" s="59">
        <f ca="1">AVERAGE(OFFSET($AM$3,0,0,'Données projet'!$E$10+1,1))-AVERAGE(OFFSET($H$3,0,0,'Données projet'!$E$10+1,1))</f>
        <v>248.1486444660062</v>
      </c>
      <c r="AO9" s="59">
        <f t="shared" si="36"/>
        <v>293.34458072322127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2.7</v>
      </c>
      <c r="N10" s="13">
        <f>IF('Données projet'!$A$36&gt;35,N9+M10-V9,IF(A10&lt;'Données projet'!$A$36,$K$205^A10,IF(A10='Données projet'!$A$36,'Données projet'!$B$36,N9+M10-V9)))</f>
        <v>10.045108566305135</v>
      </c>
      <c r="O10" s="13">
        <f>N10*VLOOKUP('Données projet'!$B$9,Paramètres!$A$1:$I$89,3,0)*VLOOKUP('Données projet'!$B$9,Paramètres!$A$1:$I$89,5,0)</f>
        <v>5.6152156885645708</v>
      </c>
      <c r="P10" s="13">
        <f t="shared" si="33"/>
        <v>2.1168605708837163</v>
      </c>
      <c r="Q10" s="20">
        <f t="shared" si="2"/>
        <v>13.466699485205766</v>
      </c>
      <c r="R10" s="59">
        <f t="shared" si="0"/>
        <v>306.80003281853908</v>
      </c>
      <c r="S10" s="59">
        <f ca="1">AVERAGE(OFFSET($R$3,0,0,'Données projet'!$E$9+1,1))-AVERAGE(OFFSET($H$3,0,0,'Données projet'!$E$9+1,1))</f>
        <v>415.91544298418842</v>
      </c>
      <c r="T10" s="59">
        <f t="shared" si="34"/>
        <v>422.79312683312583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5.0999999999999996</v>
      </c>
      <c r="AI10" s="13">
        <f>IF('Données projet'!$A$62&gt;35,AI9+AH10-AQ9,IF(A10&lt;'Données projet'!$A$62,$AF$205^A10,IF(A10='Données projet'!$A$62,'Données projet'!$B$62,AI9+AH10-AQ9)))</f>
        <v>15.678305522365584</v>
      </c>
      <c r="AJ10" s="13">
        <f>AI10*VLOOKUP('Données projet'!$B$10,Paramètres!$A$1:$I$89,3,0)*VLOOKUP('Données projet'!$B$10,Paramètres!$A$1:$I$89,5,0)</f>
        <v>8.5603548152116087</v>
      </c>
      <c r="AK10" s="13">
        <f t="shared" si="35"/>
        <v>3.0725700241611493</v>
      </c>
      <c r="AL10" s="20">
        <f t="shared" si="4"/>
        <v>20.260677428574223</v>
      </c>
      <c r="AM10" s="59">
        <f t="shared" si="5"/>
        <v>313.59401076190755</v>
      </c>
      <c r="AN10" s="59">
        <f ca="1">AVERAGE(OFFSET($AM$3,0,0,'Données projet'!$E$10+1,1))-AVERAGE(OFFSET($H$3,0,0,'Données projet'!$E$10+1,1))</f>
        <v>248.1486444660062</v>
      </c>
      <c r="AO10" s="59">
        <f t="shared" si="36"/>
        <v>293.34458072322127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2.7</v>
      </c>
      <c r="N11" s="13">
        <f>IF('Données projet'!$A$36&gt;35,N10+M11-V10,IF(A11&lt;'Données projet'!$A$36,$K$205^A11,IF(A11='Données projet'!$A$36,'Données projet'!$B$36,N10+M11-V10)))</f>
        <v>13.96661016523823</v>
      </c>
      <c r="O11" s="13">
        <f>N11*VLOOKUP('Données projet'!$B$9,Paramètres!$A$1:$I$89,3,0)*VLOOKUP('Données projet'!$B$9,Paramètres!$A$1:$I$89,5,0)</f>
        <v>7.8073350823681702</v>
      </c>
      <c r="P11" s="13">
        <f t="shared" si="33"/>
        <v>2.8324845909369802</v>
      </c>
      <c r="Q11" s="20">
        <f t="shared" si="2"/>
        <v>18.531019264339804</v>
      </c>
      <c r="R11" s="59">
        <f t="shared" si="0"/>
        <v>311.86435259767313</v>
      </c>
      <c r="S11" s="59">
        <f ca="1">AVERAGE(OFFSET($R$3,0,0,'Données projet'!$E$9+1,1))-AVERAGE(OFFSET($H$3,0,0,'Données projet'!$E$9+1,1))</f>
        <v>415.91544298418842</v>
      </c>
      <c r="T11" s="59">
        <f t="shared" si="34"/>
        <v>422.79312683312583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5.0999999999999996</v>
      </c>
      <c r="AI11" s="13">
        <f>IF('Données projet'!$A$62&gt;35,AI10+AH11-AQ10,IF(A11&lt;'Données projet'!$A$62,$AF$205^A11,IF(A11='Données projet'!$A$62,'Données projet'!$B$62,AI10+AH11-AQ10)))</f>
        <v>23.230370739754001</v>
      </c>
      <c r="AJ11" s="13">
        <f>AI11*VLOOKUP('Données projet'!$B$10,Paramètres!$A$1:$I$89,3,0)*VLOOKUP('Données projet'!$B$10,Paramètres!$A$1:$I$89,5,0)</f>
        <v>12.683782423905685</v>
      </c>
      <c r="AK11" s="13">
        <f t="shared" si="35"/>
        <v>4.348932730641649</v>
      </c>
      <c r="AL11" s="20">
        <f t="shared" si="4"/>
        <v>29.665312227503268</v>
      </c>
      <c r="AM11" s="59">
        <f t="shared" si="5"/>
        <v>322.99864556083656</v>
      </c>
      <c r="AN11" s="59">
        <f ca="1">AVERAGE(OFFSET($AM$3,0,0,'Données projet'!$E$10+1,1))-AVERAGE(OFFSET($H$3,0,0,'Données projet'!$E$10+1,1))</f>
        <v>248.1486444660062</v>
      </c>
      <c r="AO11" s="59">
        <f t="shared" si="36"/>
        <v>293.34458072322127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2.7</v>
      </c>
      <c r="N12" s="13">
        <f>IF('Données projet'!$A$36&gt;35,N11+M12-V11,IF(A12&lt;'Données projet'!$A$36,$K$205^A12,IF(A12='Données projet'!$A$36,'Données projet'!$B$36,N11+M12-V11)))</f>
        <v>19.419023519771326</v>
      </c>
      <c r="O12" s="13">
        <f>N12*VLOOKUP('Données projet'!$B$9,Paramètres!$A$1:$I$89,3,0)*VLOOKUP('Données projet'!$B$9,Paramètres!$A$1:$I$89,5,0)</f>
        <v>10.855234147552173</v>
      </c>
      <c r="P12" s="13">
        <f t="shared" si="33"/>
        <v>3.790031836884808</v>
      </c>
      <c r="Q12" s="20">
        <f t="shared" si="2"/>
        <v>25.507171589561072</v>
      </c>
      <c r="R12" s="59">
        <f t="shared" si="0"/>
        <v>318.84050492289441</v>
      </c>
      <c r="S12" s="59">
        <f ca="1">AVERAGE(OFFSET($R$3,0,0,'Données projet'!$E$9+1,1))-AVERAGE(OFFSET($H$3,0,0,'Données projet'!$E$9+1,1))</f>
        <v>415.91544298418842</v>
      </c>
      <c r="T12" s="59">
        <f t="shared" si="34"/>
        <v>422.79312683312583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5.0999999999999996</v>
      </c>
      <c r="AI12" s="13">
        <f>IF('Données projet'!$A$62&gt;35,AI11+AH12-AQ11,IF(A12&lt;'Données projet'!$A$62,$AF$205^A12,IF(A12='Données projet'!$A$62,'Données projet'!$B$62,AI11+AH12-AQ11)))</f>
        <v>34.420181692249294</v>
      </c>
      <c r="AJ12" s="13">
        <f>AI12*VLOOKUP('Données projet'!$B$10,Paramètres!$A$1:$I$89,3,0)*VLOOKUP('Données projet'!$B$10,Paramètres!$A$1:$I$89,5,0)</f>
        <v>18.793419203968114</v>
      </c>
      <c r="AK12" s="13">
        <f t="shared" si="35"/>
        <v>6.1555036164911439</v>
      </c>
      <c r="AL12" s="20">
        <f t="shared" si="4"/>
        <v>43.452707245633206</v>
      </c>
      <c r="AM12" s="59">
        <f t="shared" si="5"/>
        <v>336.78604057896655</v>
      </c>
      <c r="AN12" s="59">
        <f ca="1">AVERAGE(OFFSET($AM$3,0,0,'Données projet'!$E$10+1,1))-AVERAGE(OFFSET($H$3,0,0,'Données projet'!$E$10+1,1))</f>
        <v>248.1486444660062</v>
      </c>
      <c r="AO12" s="59">
        <f t="shared" si="36"/>
        <v>293.34458072322127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27</v>
      </c>
      <c r="L13" s="12">
        <f>VLOOKUP(A13,'Données projet'!$A$35:$I$55,9,0)</f>
        <v>2.7</v>
      </c>
      <c r="M13" s="12">
        <f t="array" ref="M13">INDEX(L:L,MIN(IF(ISNUMBER(L13:L209),ROW(L13:L209),"")))</f>
        <v>2.7</v>
      </c>
      <c r="N13" s="13">
        <f>IF('Données projet'!$A$36&gt;35,N12+M13-V12,IF(A13&lt;'Données projet'!$A$36,$K$205^A13,IF(A13='Données projet'!$A$36,'Données projet'!$B$36,N12+M13-V12)))</f>
        <v>27</v>
      </c>
      <c r="O13" s="13">
        <f>N13*VLOOKUP('Données projet'!$B$9,Paramètres!$A$1:$I$89,3,0)*VLOOKUP('Données projet'!$B$9,Paramètres!$A$1:$I$89,5,0)</f>
        <v>15.093</v>
      </c>
      <c r="P13" s="13">
        <f t="shared" si="33"/>
        <v>5.0712866613861207</v>
      </c>
      <c r="Q13" s="20">
        <f t="shared" si="2"/>
        <v>35.11946593524749</v>
      </c>
      <c r="R13" s="59">
        <f t="shared" si="0"/>
        <v>328.4527992685808</v>
      </c>
      <c r="S13" s="59">
        <f ca="1">AVERAGE(OFFSET($R$3,0,0,'Données projet'!$E$9+1,1))-AVERAGE(OFFSET($H$3,0,0,'Données projet'!$E$9+1,1))</f>
        <v>415.91544298418842</v>
      </c>
      <c r="T13" s="59">
        <f t="shared" si="34"/>
        <v>422.79312683312583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51</v>
      </c>
      <c r="AG13" s="12">
        <f>VLOOKUP(A13,'Données projet'!$A$61:$I$81,9,0)</f>
        <v>5.0999999999999996</v>
      </c>
      <c r="AH13" s="12">
        <f t="array" ref="AH13">INDEX(AG:AG,MIN(IF(ISNUMBER(AG13:AG209),ROW(AG13:AG209),"")))</f>
        <v>5.0999999999999996</v>
      </c>
      <c r="AI13" s="13">
        <f>IF('Données projet'!$A$62&gt;35,AI12+AH13-AQ12,IF(A13&lt;'Données projet'!$A$62,$AF$205^A13,IF(A13='Données projet'!$A$62,'Données projet'!$B$62,AI12+AH13-AQ12)))</f>
        <v>51</v>
      </c>
      <c r="AJ13" s="13">
        <f>AI13*VLOOKUP('Données projet'!$B$10,Paramètres!$A$1:$I$89,3,0)*VLOOKUP('Données projet'!$B$10,Paramètres!$A$1:$I$89,5,0)</f>
        <v>27.846</v>
      </c>
      <c r="AK13" s="13">
        <f t="shared" si="35"/>
        <v>8.7125341134088217</v>
      </c>
      <c r="AL13" s="20">
        <f t="shared" si="4"/>
        <v>63.672780247520365</v>
      </c>
      <c r="AM13" s="59">
        <f t="shared" si="5"/>
        <v>357.00611358085371</v>
      </c>
      <c r="AN13" s="59">
        <f ca="1">AVERAGE(OFFSET($AM$3,0,0,'Données projet'!$E$10+1,1))-AVERAGE(OFFSET($H$3,0,0,'Données projet'!$E$10+1,1))</f>
        <v>248.1486444660062</v>
      </c>
      <c r="AO13" s="59">
        <f t="shared" si="36"/>
        <v>293.34458072322127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8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0.3</v>
      </c>
      <c r="AT13" s="16">
        <f>IF(ISNA(VLOOKUP(A13,'Données projet'!$A$61:$I$81,7,0)),0%,VLOOKUP(A13,'Données projet'!$A$61:$I$81,7,0))</f>
        <v>0.5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1.7314855945965917</v>
      </c>
      <c r="AW13" s="21">
        <f>EXP(-LN(2)/2)*AW12+(1-EXP(-LN(2)/2))/(LN(2)/2)*AQ13*AT13*VLOOKUP('Données projet'!$B$10,Paramètres!$A$1:$I$89,3,0)*0.475*44/12</f>
        <v>2.4727953377978014</v>
      </c>
      <c r="AX13" s="21">
        <f t="shared" si="6"/>
        <v>4.2042809323943935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20.100000000000001</v>
      </c>
      <c r="N14" s="13">
        <f>IF('Données projet'!$A$36&gt;35,N13+M14-V13,IF(A14&lt;'Données projet'!$A$36,$K$205^A14,IF(A14='Données projet'!$A$36,'Données projet'!$B$36,N13+M14-V13)))</f>
        <v>47.1</v>
      </c>
      <c r="O14" s="13">
        <f>N14*VLOOKUP('Données projet'!$B$9,Paramètres!$A$1:$I$89,3,0)*VLOOKUP('Données projet'!$B$9,Paramètres!$A$1:$I$89,5,0)</f>
        <v>26.328900000000001</v>
      </c>
      <c r="P14" s="13">
        <f t="shared" si="33"/>
        <v>8.2917540554735094</v>
      </c>
      <c r="Q14" s="20">
        <f t="shared" si="2"/>
        <v>60.297639146616369</v>
      </c>
      <c r="R14" s="59">
        <f t="shared" si="0"/>
        <v>353.63097247994966</v>
      </c>
      <c r="S14" s="59">
        <f ca="1">AVERAGE(OFFSET($R$3,0,0,'Données projet'!$E$9+1,1))-AVERAGE(OFFSET($H$3,0,0,'Données projet'!$E$9+1,1))</f>
        <v>415.91544298418842</v>
      </c>
      <c r="T14" s="59">
        <f t="shared" si="34"/>
        <v>422.79312683312583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16.7</v>
      </c>
      <c r="AI14" s="13">
        <f>IF('Données projet'!$A$62&gt;35,AI13+AH14-AQ13,IF(A14&lt;'Données projet'!$A$62,$AF$205^A14,IF(A14='Données projet'!$A$62,'Données projet'!$B$62,AI13+AH14-AQ13)))</f>
        <v>59.7</v>
      </c>
      <c r="AJ14" s="13">
        <f>AI14*VLOOKUP('Données projet'!$B$10,Paramètres!$A$1:$I$89,3,0)*VLOOKUP('Données projet'!$B$10,Paramètres!$A$1:$I$89,5,0)</f>
        <v>32.596200000000003</v>
      </c>
      <c r="AK14" s="13">
        <f t="shared" si="35"/>
        <v>10.013511546777837</v>
      </c>
      <c r="AL14" s="20">
        <f t="shared" si="4"/>
        <v>74.211914277304729</v>
      </c>
      <c r="AM14" s="59">
        <f t="shared" si="5"/>
        <v>367.54524761063806</v>
      </c>
      <c r="AN14" s="59">
        <f ca="1">AVERAGE(OFFSET($AM$3,0,0,'Données projet'!$E$10+1,1))-AVERAGE(OFFSET($H$3,0,0,'Données projet'!$E$10+1,1))</f>
        <v>248.1486444660062</v>
      </c>
      <c r="AO14" s="59">
        <f t="shared" si="36"/>
        <v>293.34458072322127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1.6841380299574777</v>
      </c>
      <c r="AW14" s="21">
        <f>EXP(-LN(2)/2)*AW13+(1-EXP(-LN(2)/2))/(LN(2)/2)*AQ14*AT14*VLOOKUP('Données projet'!$B$10,Paramètres!$A$1:$I$89,3,0)*0.475*44/12</f>
        <v>1.7485303518433049</v>
      </c>
      <c r="AX14" s="21">
        <f t="shared" si="6"/>
        <v>3.4326683818007826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20.100000000000001</v>
      </c>
      <c r="N15" s="13">
        <f>IF('Données projet'!$A$36&gt;35,N14+M15-V14,IF(A15&lt;'Données projet'!$A$36,$K$205^A15,IF(A15='Données projet'!$A$36,'Données projet'!$B$36,N14+M15-V14)))</f>
        <v>67.2</v>
      </c>
      <c r="O15" s="13">
        <f>N15*VLOOKUP('Données projet'!$B$9,Paramètres!$A$1:$I$89,3,0)*VLOOKUP('Données projet'!$B$9,Paramètres!$A$1:$I$89,5,0)</f>
        <v>37.564800000000005</v>
      </c>
      <c r="P15" s="13">
        <f t="shared" si="33"/>
        <v>11.350856362116868</v>
      </c>
      <c r="Q15" s="20">
        <f t="shared" si="2"/>
        <v>85.194768164020218</v>
      </c>
      <c r="R15" s="59">
        <f t="shared" si="0"/>
        <v>378.52810149735353</v>
      </c>
      <c r="S15" s="59">
        <f ca="1">AVERAGE(OFFSET($R$3,0,0,'Données projet'!$E$9+1,1))-AVERAGE(OFFSET($H$3,0,0,'Données projet'!$E$9+1,1))</f>
        <v>415.91544298418842</v>
      </c>
      <c r="T15" s="59">
        <f t="shared" si="34"/>
        <v>422.79312683312583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16.7</v>
      </c>
      <c r="AI15" s="13">
        <f>IF('Données projet'!$A$62&gt;35,AI14+AH15-AQ14,IF(A15&lt;'Données projet'!$A$62,$AF$205^A15,IF(A15='Données projet'!$A$62,'Données projet'!$B$62,AI14+AH15-AQ14)))</f>
        <v>76.400000000000006</v>
      </c>
      <c r="AJ15" s="13">
        <f>AI15*VLOOKUP('Données projet'!$B$10,Paramètres!$A$1:$I$89,3,0)*VLOOKUP('Données projet'!$B$10,Paramètres!$A$1:$I$89,5,0)</f>
        <v>41.714400000000005</v>
      </c>
      <c r="AK15" s="13">
        <f t="shared" si="35"/>
        <v>12.451933011137459</v>
      </c>
      <c r="AL15" s="20">
        <f t="shared" si="4"/>
        <v>94.339696661064423</v>
      </c>
      <c r="AM15" s="59">
        <f t="shared" si="5"/>
        <v>387.67302999439772</v>
      </c>
      <c r="AN15" s="59">
        <f ca="1">AVERAGE(OFFSET($AM$3,0,0,'Données projet'!$E$10+1,1))-AVERAGE(OFFSET($H$3,0,0,'Données projet'!$E$10+1,1))</f>
        <v>248.1486444660062</v>
      </c>
      <c r="AO15" s="59">
        <f t="shared" si="36"/>
        <v>293.34458072322127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1.6380851869633206</v>
      </c>
      <c r="AW15" s="21">
        <f>EXP(-LN(2)/2)*AW14+(1-EXP(-LN(2)/2))/(LN(2)/2)*AQ15*AT15*VLOOKUP('Données projet'!$B$10,Paramètres!$A$1:$I$89,3,0)*0.475*44/12</f>
        <v>1.2363976688989009</v>
      </c>
      <c r="AX15" s="21">
        <f t="shared" si="6"/>
        <v>2.8744828558622215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20.100000000000001</v>
      </c>
      <c r="N16" s="13">
        <f>IF('Données projet'!$A$36&gt;35,N15+M16-V15,IF(A16&lt;'Données projet'!$A$36,$K$205^A16,IF(A16='Données projet'!$A$36,'Données projet'!$B$36,N15+M16-V15)))</f>
        <v>87.300000000000011</v>
      </c>
      <c r="O16" s="13">
        <f>N16*VLOOKUP('Données projet'!$B$9,Paramètres!$A$1:$I$89,3,0)*VLOOKUP('Données projet'!$B$9,Paramètres!$A$1:$I$89,5,0)</f>
        <v>48.800700000000006</v>
      </c>
      <c r="P16" s="13">
        <f t="shared" si="33"/>
        <v>14.303598928763776</v>
      </c>
      <c r="Q16" s="20">
        <f t="shared" si="2"/>
        <v>109.90665396759691</v>
      </c>
      <c r="R16" s="59">
        <f t="shared" si="0"/>
        <v>403.23998730093024</v>
      </c>
      <c r="S16" s="59">
        <f ca="1">AVERAGE(OFFSET($R$3,0,0,'Données projet'!$E$9+1,1))-AVERAGE(OFFSET($H$3,0,0,'Données projet'!$E$9+1,1))</f>
        <v>415.91544298418842</v>
      </c>
      <c r="T16" s="59">
        <f t="shared" si="34"/>
        <v>422.79312683312583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16.7</v>
      </c>
      <c r="AI16" s="13">
        <f>IF('Données projet'!$A$62&gt;35,AI15+AH16-AQ15,IF(A16&lt;'Données projet'!$A$62,$AF$205^A16,IF(A16='Données projet'!$A$62,'Données projet'!$B$62,AI15+AH16-AQ15)))</f>
        <v>93.100000000000009</v>
      </c>
      <c r="AJ16" s="13">
        <f>AI16*VLOOKUP('Données projet'!$B$10,Paramètres!$A$1:$I$89,3,0)*VLOOKUP('Données projet'!$B$10,Paramètres!$A$1:$I$89,5,0)</f>
        <v>50.832600000000006</v>
      </c>
      <c r="AK16" s="13">
        <f t="shared" si="35"/>
        <v>14.828575135945847</v>
      </c>
      <c r="AL16" s="20">
        <f t="shared" si="4"/>
        <v>114.35988002843902</v>
      </c>
      <c r="AM16" s="59">
        <f t="shared" si="5"/>
        <v>407.69321336177234</v>
      </c>
      <c r="AN16" s="59">
        <f ca="1">AVERAGE(OFFSET($AM$3,0,0,'Données projet'!$E$10+1,1))-AVERAGE(OFFSET($H$3,0,0,'Données projet'!$E$10+1,1))</f>
        <v>248.1486444660062</v>
      </c>
      <c r="AO16" s="59">
        <f t="shared" si="36"/>
        <v>293.34458072322127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1.5932916613826524</v>
      </c>
      <c r="AW16" s="21">
        <f>EXP(-LN(2)/2)*AW15+(1-EXP(-LN(2)/2))/(LN(2)/2)*AQ16*AT16*VLOOKUP('Données projet'!$B$10,Paramètres!$A$1:$I$89,3,0)*0.475*44/12</f>
        <v>0.87426517592165265</v>
      </c>
      <c r="AX16" s="21">
        <f t="shared" si="6"/>
        <v>2.4675568373043051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20.100000000000001</v>
      </c>
      <c r="N17" s="13">
        <f>IF('Données projet'!$A$36&gt;35,N16+M17-V16,IF(A17&lt;'Données projet'!$A$36,$K$205^A17,IF(A17='Données projet'!$A$36,'Données projet'!$B$36,N16+M17-V16)))</f>
        <v>107.4</v>
      </c>
      <c r="O17" s="13">
        <f>N17*VLOOKUP('Données projet'!$B$9,Paramètres!$A$1:$I$89,3,0)*VLOOKUP('Données projet'!$B$9,Paramètres!$A$1:$I$89,5,0)</f>
        <v>60.036600000000007</v>
      </c>
      <c r="P17" s="13">
        <f t="shared" si="33"/>
        <v>17.177522312374215</v>
      </c>
      <c r="Q17" s="20">
        <f t="shared" si="2"/>
        <v>134.48126302738513</v>
      </c>
      <c r="R17" s="59">
        <f t="shared" si="0"/>
        <v>427.81459636071844</v>
      </c>
      <c r="S17" s="59">
        <f ca="1">AVERAGE(OFFSET($R$3,0,0,'Données projet'!$E$9+1,1))-AVERAGE(OFFSET($H$3,0,0,'Données projet'!$E$9+1,1))</f>
        <v>415.91544298418842</v>
      </c>
      <c r="T17" s="59">
        <f t="shared" si="34"/>
        <v>422.79312683312583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16.7</v>
      </c>
      <c r="AI17" s="13">
        <f>IF('Données projet'!$A$62&gt;35,AI16+AH17-AQ16,IF(A17&lt;'Données projet'!$A$62,$AF$205^A17,IF(A17='Données projet'!$A$62,'Données projet'!$B$62,AI16+AH17-AQ16)))</f>
        <v>109.80000000000001</v>
      </c>
      <c r="AJ17" s="13">
        <f>AI17*VLOOKUP('Données projet'!$B$10,Paramètres!$A$1:$I$89,3,0)*VLOOKUP('Données projet'!$B$10,Paramètres!$A$1:$I$89,5,0)</f>
        <v>59.950800000000001</v>
      </c>
      <c r="AK17" s="13">
        <f t="shared" si="35"/>
        <v>17.155829115013216</v>
      </c>
      <c r="AL17" s="20">
        <f t="shared" si="4"/>
        <v>134.29404570864804</v>
      </c>
      <c r="AM17" s="59">
        <f t="shared" si="5"/>
        <v>427.62737904198138</v>
      </c>
      <c r="AN17" s="59">
        <f ca="1">AVERAGE(OFFSET($AM$3,0,0,'Données projet'!$E$10+1,1))-AVERAGE(OFFSET($H$3,0,0,'Données projet'!$E$10+1,1))</f>
        <v>248.1486444660062</v>
      </c>
      <c r="AO17" s="59">
        <f t="shared" si="36"/>
        <v>293.34458072322127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1.5497230171145768</v>
      </c>
      <c r="AW17" s="21">
        <f>EXP(-LN(2)/2)*AW16+(1-EXP(-LN(2)/2))/(LN(2)/2)*AQ17*AT17*VLOOKUP('Données projet'!$B$10,Paramètres!$A$1:$I$89,3,0)*0.475*44/12</f>
        <v>0.61819883444945056</v>
      </c>
      <c r="AX17" s="21">
        <f t="shared" si="6"/>
        <v>2.1679218515640275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20.100000000000001</v>
      </c>
      <c r="N18" s="13">
        <f>IF('Données projet'!$A$36&gt;35,N17+M18-V17,IF(A18&lt;'Données projet'!$A$36,$K$205^A18,IF(A18='Données projet'!$A$36,'Données projet'!$B$36,N17+M18-V17)))</f>
        <v>127.5</v>
      </c>
      <c r="O18" s="13">
        <f>N18*VLOOKUP('Données projet'!$B$9,Paramètres!$A$1:$I$89,3,0)*VLOOKUP('Données projet'!$B$9,Paramètres!$A$1:$I$89,5,0)</f>
        <v>71.272499999999994</v>
      </c>
      <c r="P18" s="13">
        <f t="shared" si="33"/>
        <v>19.989132077392792</v>
      </c>
      <c r="Q18" s="20">
        <f t="shared" si="2"/>
        <v>158.94734253479243</v>
      </c>
      <c r="R18" s="59">
        <f t="shared" si="0"/>
        <v>452.28067586812574</v>
      </c>
      <c r="S18" s="59">
        <f ca="1">AVERAGE(OFFSET($R$3,0,0,'Données projet'!$E$9+1,1))-AVERAGE(OFFSET($H$3,0,0,'Données projet'!$E$9+1,1))</f>
        <v>415.91544298418842</v>
      </c>
      <c r="T18" s="59">
        <f t="shared" si="34"/>
        <v>422.79312683312583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16.7</v>
      </c>
      <c r="AI18" s="13">
        <f>IF('Données projet'!$A$62&gt;35,AI17+AH18-AQ17,IF(A18&lt;'Données projet'!$A$62,$AF$205^A18,IF(A18='Données projet'!$A$62,'Données projet'!$B$62,AI17+AH18-AQ17)))</f>
        <v>126.50000000000001</v>
      </c>
      <c r="AJ18" s="13">
        <f>AI18*VLOOKUP('Données projet'!$B$10,Paramètres!$A$1:$I$89,3,0)*VLOOKUP('Données projet'!$B$10,Paramètres!$A$1:$I$89,5,0)</f>
        <v>69.069000000000003</v>
      </c>
      <c r="AK18" s="13">
        <f t="shared" si="35"/>
        <v>19.442077604017239</v>
      </c>
      <c r="AL18" s="20">
        <f t="shared" si="4"/>
        <v>154.15679349366337</v>
      </c>
      <c r="AM18" s="59">
        <f t="shared" si="5"/>
        <v>447.49012682699669</v>
      </c>
      <c r="AN18" s="59">
        <f ca="1">AVERAGE(OFFSET($AM$3,0,0,'Données projet'!$E$10+1,1))-AVERAGE(OFFSET($H$3,0,0,'Données projet'!$E$10+1,1))</f>
        <v>248.1486444660062</v>
      </c>
      <c r="AO18" s="59">
        <f t="shared" si="36"/>
        <v>293.34458072322127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1.5073457597151871</v>
      </c>
      <c r="AW18" s="21">
        <f>EXP(-LN(2)/2)*AW17+(1-EXP(-LN(2)/2))/(LN(2)/2)*AQ18*AT18*VLOOKUP('Données projet'!$B$10,Paramètres!$A$1:$I$89,3,0)*0.475*44/12</f>
        <v>0.43713258796082638</v>
      </c>
      <c r="AX18" s="21">
        <f t="shared" si="6"/>
        <v>1.9444783476760135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20.100000000000001</v>
      </c>
      <c r="N19" s="13">
        <f>IF('Données projet'!$A$36&gt;35,N18+M19-V18,IF(A19&lt;'Données projet'!$A$36,$K$205^A19,IF(A19='Données projet'!$A$36,'Données projet'!$B$36,N18+M19-V18)))</f>
        <v>147.6</v>
      </c>
      <c r="O19" s="13">
        <f>N19*VLOOKUP('Données projet'!$B$9,Paramètres!$A$1:$I$89,3,0)*VLOOKUP('Données projet'!$B$9,Paramètres!$A$1:$I$89,5,0)</f>
        <v>82.508399999999995</v>
      </c>
      <c r="P19" s="13">
        <f t="shared" si="33"/>
        <v>22.749394597897183</v>
      </c>
      <c r="Q19" s="20">
        <f t="shared" si="2"/>
        <v>183.32399225800421</v>
      </c>
      <c r="R19" s="59">
        <f t="shared" si="0"/>
        <v>476.65732559133755</v>
      </c>
      <c r="S19" s="59">
        <f ca="1">AVERAGE(OFFSET($R$3,0,0,'Données projet'!$E$9+1,1))-AVERAGE(OFFSET($H$3,0,0,'Données projet'!$E$9+1,1))</f>
        <v>415.91544298418842</v>
      </c>
      <c r="T19" s="59">
        <f t="shared" si="34"/>
        <v>422.79312683312583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16.7</v>
      </c>
      <c r="AI19" s="13">
        <f>IF('Données projet'!$A$62&gt;35,AI18+AH19-AQ18,IF(A19&lt;'Données projet'!$A$62,$AF$205^A19,IF(A19='Données projet'!$A$62,'Données projet'!$B$62,AI18+AH19-AQ18)))</f>
        <v>143.20000000000002</v>
      </c>
      <c r="AJ19" s="13">
        <f>AI19*VLOOKUP('Données projet'!$B$10,Paramètres!$A$1:$I$89,3,0)*VLOOKUP('Données projet'!$B$10,Paramètres!$A$1:$I$89,5,0)</f>
        <v>78.187200000000004</v>
      </c>
      <c r="AK19" s="13">
        <f t="shared" si="35"/>
        <v>21.693355566332489</v>
      </c>
      <c r="AL19" s="20">
        <f t="shared" si="4"/>
        <v>173.95863427802908</v>
      </c>
      <c r="AM19" s="59">
        <f t="shared" si="5"/>
        <v>467.2919676113624</v>
      </c>
      <c r="AN19" s="59">
        <f ca="1">AVERAGE(OFFSET($AM$3,0,0,'Données projet'!$E$10+1,1))-AVERAGE(OFFSET($H$3,0,0,'Données projet'!$E$10+1,1))</f>
        <v>248.1486444660062</v>
      </c>
      <c r="AO19" s="59">
        <f t="shared" si="36"/>
        <v>293.34458072322127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1.4661273106479069</v>
      </c>
      <c r="AW19" s="21">
        <f>EXP(-LN(2)/2)*AW18+(1-EXP(-LN(2)/2))/(LN(2)/2)*AQ19*AT19*VLOOKUP('Données projet'!$B$10,Paramètres!$A$1:$I$89,3,0)*0.475*44/12</f>
        <v>0.30909941722472534</v>
      </c>
      <c r="AX19" s="21">
        <f t="shared" si="6"/>
        <v>1.7752267278726324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20.100000000000001</v>
      </c>
      <c r="N20" s="13">
        <f>IF('Données projet'!$A$36&gt;35,N19+M20-V19,IF(A20&lt;'Données projet'!$A$36,$K$205^A20,IF(A20='Données projet'!$A$36,'Données projet'!$B$36,N19+M20-V19)))</f>
        <v>167.7</v>
      </c>
      <c r="O20" s="13">
        <f>N20*VLOOKUP('Données projet'!$B$9,Paramètres!$A$1:$I$89,3,0)*VLOOKUP('Données projet'!$B$9,Paramètres!$A$1:$I$89,5,0)</f>
        <v>93.744299999999996</v>
      </c>
      <c r="P20" s="13">
        <f t="shared" si="33"/>
        <v>25.466106585554108</v>
      </c>
      <c r="Q20" s="20">
        <f t="shared" si="2"/>
        <v>207.62479146984003</v>
      </c>
      <c r="R20" s="59">
        <f t="shared" si="0"/>
        <v>500.95812480317335</v>
      </c>
      <c r="S20" s="59">
        <f ca="1">AVERAGE(OFFSET($R$3,0,0,'Données projet'!$E$9+1,1))-AVERAGE(OFFSET($H$3,0,0,'Données projet'!$E$9+1,1))</f>
        <v>415.91544298418842</v>
      </c>
      <c r="T20" s="59">
        <f t="shared" si="34"/>
        <v>422.79312683312583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16.7</v>
      </c>
      <c r="AI20" s="13">
        <f>IF('Données projet'!$A$62&gt;35,AI19+AH20-AQ19,IF(A20&lt;'Données projet'!$A$62,$AF$205^A20,IF(A20='Données projet'!$A$62,'Données projet'!$B$62,AI19+AH20-AQ19)))</f>
        <v>159.9</v>
      </c>
      <c r="AJ20" s="13">
        <f>AI20*VLOOKUP('Données projet'!$B$10,Paramètres!$A$1:$I$89,3,0)*VLOOKUP('Données projet'!$B$10,Paramètres!$A$1:$I$89,5,0)</f>
        <v>87.305400000000006</v>
      </c>
      <c r="AK20" s="13">
        <f t="shared" si="35"/>
        <v>23.914207130877781</v>
      </c>
      <c r="AL20" s="20">
        <f t="shared" si="4"/>
        <v>193.70748241961215</v>
      </c>
      <c r="AM20" s="59">
        <f t="shared" si="5"/>
        <v>487.04081575294549</v>
      </c>
      <c r="AN20" s="59">
        <f ca="1">AVERAGE(OFFSET($AM$3,0,0,'Données projet'!$E$10+1,1))-AVERAGE(OFFSET($H$3,0,0,'Données projet'!$E$10+1,1))</f>
        <v>248.1486444660062</v>
      </c>
      <c r="AO20" s="59">
        <f t="shared" si="36"/>
        <v>293.34458072322127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1.4260359822379556</v>
      </c>
      <c r="AW20" s="21">
        <f>EXP(-LN(2)/2)*AW19+(1-EXP(-LN(2)/2))/(LN(2)/2)*AQ20*AT20*VLOOKUP('Données projet'!$B$10,Paramètres!$A$1:$I$89,3,0)*0.475*44/12</f>
        <v>0.21856629398041325</v>
      </c>
      <c r="AX20" s="21">
        <f t="shared" si="6"/>
        <v>1.6446022762183687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20.100000000000001</v>
      </c>
      <c r="N21" s="13">
        <f>IF('Données projet'!$A$36&gt;35,N20+M21-V20,IF(A21&lt;'Données projet'!$A$36,$K$205^A21,IF(A21='Données projet'!$A$36,'Données projet'!$B$36,N20+M21-V20)))</f>
        <v>187.79999999999998</v>
      </c>
      <c r="O21" s="13">
        <f>N21*VLOOKUP('Données projet'!$B$9,Paramètres!$A$1:$I$89,3,0)*VLOOKUP('Données projet'!$B$9,Paramètres!$A$1:$I$89,5,0)</f>
        <v>104.9802</v>
      </c>
      <c r="P21" s="13">
        <f t="shared" si="33"/>
        <v>28.145084690033578</v>
      </c>
      <c r="Q21" s="20">
        <f t="shared" si="2"/>
        <v>231.85987083514178</v>
      </c>
      <c r="R21" s="59">
        <f t="shared" si="0"/>
        <v>525.19320416847506</v>
      </c>
      <c r="S21" s="59">
        <f ca="1">AVERAGE(OFFSET($R$3,0,0,'Données projet'!$E$9+1,1))-AVERAGE(OFFSET($H$3,0,0,'Données projet'!$E$9+1,1))</f>
        <v>415.91544298418842</v>
      </c>
      <c r="T21" s="59">
        <f t="shared" si="34"/>
        <v>422.79312683312583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16.7</v>
      </c>
      <c r="AI21" s="13">
        <f>IF('Données projet'!$A$62&gt;35,AI20+AH21-AQ20,IF(A21&lt;'Données projet'!$A$62,$AF$205^A21,IF(A21='Données projet'!$A$62,'Données projet'!$B$62,AI20+AH21-AQ20)))</f>
        <v>176.6</v>
      </c>
      <c r="AJ21" s="13">
        <f>AI21*VLOOKUP('Données projet'!$B$10,Paramètres!$A$1:$I$89,3,0)*VLOOKUP('Données projet'!$B$10,Paramètres!$A$1:$I$89,5,0)</f>
        <v>96.423599999999993</v>
      </c>
      <c r="AK21" s="13">
        <f t="shared" si="35"/>
        <v>26.108172039585249</v>
      </c>
      <c r="AL21" s="20">
        <f t="shared" si="4"/>
        <v>213.40950296894428</v>
      </c>
      <c r="AM21" s="59">
        <f t="shared" si="5"/>
        <v>506.74283630227762</v>
      </c>
      <c r="AN21" s="59">
        <f ca="1">AVERAGE(OFFSET($AM$3,0,0,'Données projet'!$E$10+1,1))-AVERAGE(OFFSET($H$3,0,0,'Données projet'!$E$10+1,1))</f>
        <v>248.1486444660062</v>
      </c>
      <c r="AO21" s="59">
        <f t="shared" si="36"/>
        <v>293.34458072322127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1.3870409533116856</v>
      </c>
      <c r="AW21" s="21">
        <f>EXP(-LN(2)/2)*AW20+(1-EXP(-LN(2)/2))/(LN(2)/2)*AQ21*AT21*VLOOKUP('Données projet'!$B$10,Paramètres!$A$1:$I$89,3,0)*0.475*44/12</f>
        <v>0.1545497086123627</v>
      </c>
      <c r="AX21" s="21">
        <f t="shared" si="6"/>
        <v>1.5415906619240483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20.100000000000001</v>
      </c>
      <c r="N22" s="13">
        <f>IF('Données projet'!$A$36&gt;35,N21+M22-V21,IF(A22&lt;'Données projet'!$A$36,$K$205^A22,IF(A22='Données projet'!$A$36,'Données projet'!$B$36,N21+M22-V21)))</f>
        <v>207.89999999999998</v>
      </c>
      <c r="O22" s="13">
        <f>N22*VLOOKUP('Données projet'!$B$9,Paramètres!$A$1:$I$89,3,0)*VLOOKUP('Données projet'!$B$9,Paramètres!$A$1:$I$89,5,0)</f>
        <v>116.2161</v>
      </c>
      <c r="P22" s="13">
        <f t="shared" si="33"/>
        <v>30.790827813105789</v>
      </c>
      <c r="Q22" s="20">
        <f t="shared" si="2"/>
        <v>256.03706594115926</v>
      </c>
      <c r="R22" s="59">
        <f t="shared" si="0"/>
        <v>549.37039927449257</v>
      </c>
      <c r="S22" s="59">
        <f ca="1">AVERAGE(OFFSET($R$3,0,0,'Données projet'!$E$9+1,1))-AVERAGE(OFFSET($H$3,0,0,'Données projet'!$E$9+1,1))</f>
        <v>415.91544298418842</v>
      </c>
      <c r="T22" s="59">
        <f t="shared" si="34"/>
        <v>422.79312683312583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16.7</v>
      </c>
      <c r="AI22" s="13">
        <f>IF('Données projet'!$A$62&gt;35,AI21+AH22-AQ21,IF(A22&lt;'Données projet'!$A$62,$AF$205^A22,IF(A22='Données projet'!$A$62,'Données projet'!$B$62,AI21+AH22-AQ21)))</f>
        <v>193.29999999999998</v>
      </c>
      <c r="AJ22" s="13">
        <f>AI22*VLOOKUP('Données projet'!$B$10,Paramètres!$A$1:$I$89,3,0)*VLOOKUP('Données projet'!$B$10,Paramètres!$A$1:$I$89,5,0)</f>
        <v>105.54179999999999</v>
      </c>
      <c r="AK22" s="13">
        <f t="shared" si="35"/>
        <v>28.278082044462533</v>
      </c>
      <c r="AL22" s="20">
        <f t="shared" si="4"/>
        <v>233.06962789410557</v>
      </c>
      <c r="AM22" s="59">
        <f t="shared" si="5"/>
        <v>526.40296122743894</v>
      </c>
      <c r="AN22" s="59">
        <f ca="1">AVERAGE(OFFSET($AM$3,0,0,'Données projet'!$E$10+1,1))-AVERAGE(OFFSET($H$3,0,0,'Données projet'!$E$10+1,1))</f>
        <v>248.1486444660062</v>
      </c>
      <c r="AO22" s="59">
        <f t="shared" si="36"/>
        <v>293.34458072322127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1.3491122455020639</v>
      </c>
      <c r="AW22" s="21">
        <f>EXP(-LN(2)/2)*AW21+(1-EXP(-LN(2)/2))/(LN(2)/2)*AQ22*AT22*VLOOKUP('Données projet'!$B$10,Paramètres!$A$1:$I$89,3,0)*0.475*44/12</f>
        <v>0.10928314699020664</v>
      </c>
      <c r="AX22" s="21">
        <f t="shared" si="6"/>
        <v>1.4583953924922706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228</v>
      </c>
      <c r="L23" s="12">
        <f>VLOOKUP(A23,'Données projet'!$A$35:$I$55,9,0)</f>
        <v>20.100000000000001</v>
      </c>
      <c r="M23" s="12">
        <f t="array" ref="M23">INDEX(L:L,MIN(IF(ISNUMBER(L23:L219),ROW(L23:L219),"")))</f>
        <v>20.100000000000001</v>
      </c>
      <c r="N23" s="13">
        <f>IF('Données projet'!$A$36&gt;35,N22+M23-V22,IF(A23&lt;'Données projet'!$A$36,$K$205^A23,IF(A23='Données projet'!$A$36,'Données projet'!$B$36,N22+M23-V22)))</f>
        <v>227.99999999999997</v>
      </c>
      <c r="O23" s="13">
        <f>N23*VLOOKUP('Données projet'!$B$9,Paramètres!$A$1:$I$89,3,0)*VLOOKUP('Données projet'!$B$9,Paramètres!$A$1:$I$89,5,0)</f>
        <v>127.452</v>
      </c>
      <c r="P23" s="13">
        <f t="shared" si="33"/>
        <v>33.406914773953936</v>
      </c>
      <c r="Q23" s="20">
        <f t="shared" si="2"/>
        <v>280.16260989796973</v>
      </c>
      <c r="R23" s="59">
        <f t="shared" si="0"/>
        <v>573.49594323130304</v>
      </c>
      <c r="S23" s="59">
        <f ca="1">AVERAGE(OFFSET($R$3,0,0,'Données projet'!$E$9+1,1))-AVERAGE(OFFSET($H$3,0,0,'Données projet'!$E$9+1,1))</f>
        <v>415.91544298418842</v>
      </c>
      <c r="T23" s="59">
        <f t="shared" si="34"/>
        <v>422.79312683312583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104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21.124811351536597</v>
      </c>
      <c r="AB23" s="21">
        <f>EXP(-LN(2)/2)*AB22+(1-EXP(-LN(2)/2))/(LN(2)/2)*V23*Y23*VLOOKUP('Données projet'!$B$9,Paramètres!$A$1:$I$89,3,0)*0.475*44/12</f>
        <v>32.911728424499309</v>
      </c>
      <c r="AC23" s="22">
        <f t="shared" si="3"/>
        <v>54.036539776035909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210</v>
      </c>
      <c r="AG23" s="12">
        <f>VLOOKUP(A23,'Données projet'!$A$61:$I$81,9,0)</f>
        <v>16.7</v>
      </c>
      <c r="AH23" s="12">
        <f t="array" ref="AH23">INDEX(AG:AG,MIN(IF(ISNUMBER(AG23:AG219),ROW(AG23:AG219),"")))</f>
        <v>16.7</v>
      </c>
      <c r="AI23" s="13">
        <f>IF('Données projet'!$A$62&gt;35,AI22+AH23-AQ22,IF(A23&lt;'Données projet'!$A$62,$AF$205^A23,IF(A23='Données projet'!$A$62,'Données projet'!$B$62,AI22+AH23-AQ22)))</f>
        <v>209.99999999999997</v>
      </c>
      <c r="AJ23" s="13">
        <f>AI23*VLOOKUP('Données projet'!$B$10,Paramètres!$A$1:$I$89,3,0)*VLOOKUP('Données projet'!$B$10,Paramètres!$A$1:$I$89,5,0)</f>
        <v>114.65999999999998</v>
      </c>
      <c r="AK23" s="13">
        <f t="shared" si="35"/>
        <v>30.426251641117418</v>
      </c>
      <c r="AL23" s="20">
        <f t="shared" si="4"/>
        <v>252.69188827494611</v>
      </c>
      <c r="AM23" s="59">
        <f t="shared" si="5"/>
        <v>546.02522160827948</v>
      </c>
      <c r="AN23" s="59">
        <f ca="1">AVERAGE(OFFSET($AM$3,0,0,'Données projet'!$E$10+1,1))-AVERAGE(OFFSET($H$3,0,0,'Données projet'!$E$10+1,1))</f>
        <v>248.1486444660062</v>
      </c>
      <c r="AO23" s="59">
        <f t="shared" si="36"/>
        <v>293.34458072322127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98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22.522919234010324</v>
      </c>
      <c r="AW23" s="21">
        <f>EXP(-LN(2)/2)*AW22+(1-EXP(-LN(2)/2))/(LN(2)/2)*AQ23*AT23*VLOOKUP('Données projet'!$B$10,Paramètres!$A$1:$I$89,3,0)*0.475*44/12</f>
        <v>30.369017742329248</v>
      </c>
      <c r="AX23" s="21">
        <f t="shared" si="6"/>
        <v>52.891936976339572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27.5</v>
      </c>
      <c r="N24" s="13">
        <f>IF('Données projet'!$A$36&gt;35,N23+M24-V23,IF(A24&lt;'Données projet'!$A$36,$K$205^A24,IF(A24='Données projet'!$A$36,'Données projet'!$B$36,N23+M24-V23)))</f>
        <v>151.49999999999997</v>
      </c>
      <c r="O24" s="13">
        <f>N24*VLOOKUP('Données projet'!$B$9,Paramètres!$A$1:$I$89,3,0)*VLOOKUP('Données projet'!$B$9,Paramètres!$A$1:$I$89,5,0)</f>
        <v>84.688499999999976</v>
      </c>
      <c r="P24" s="13">
        <f t="shared" si="33"/>
        <v>23.279719368585155</v>
      </c>
      <c r="Q24" s="20">
        <f t="shared" si="2"/>
        <v>188.04464873361908</v>
      </c>
      <c r="R24" s="59">
        <f t="shared" si="0"/>
        <v>481.37798206695243</v>
      </c>
      <c r="S24" s="59">
        <f ca="1">AVERAGE(OFFSET($R$3,0,0,'Données projet'!$E$9+1,1))-AVERAGE(OFFSET($H$3,0,0,'Données projet'!$E$9+1,1))</f>
        <v>415.91544298418842</v>
      </c>
      <c r="T24" s="59">
        <f t="shared" si="34"/>
        <v>422.79312683312583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20.547152274223279</v>
      </c>
      <c r="AB24" s="21">
        <f>EXP(-LN(2)/2)*AB23+(1-EXP(-LN(2)/2))/(LN(2)/2)*V24*Y24*VLOOKUP('Données projet'!$B$9,Paramètres!$A$1:$I$89,3,0)*0.475*44/12</f>
        <v>23.272106349533512</v>
      </c>
      <c r="AC24" s="22">
        <f t="shared" si="3"/>
        <v>43.819258623756795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18.5</v>
      </c>
      <c r="AI24" s="13">
        <f>IF('Données projet'!$A$62&gt;35,AI23+AH24-AQ23,IF(A24&lt;'Données projet'!$A$62,$AF$205^A24,IF(A24='Données projet'!$A$62,'Données projet'!$B$62,AI23+AH24-AQ23)))</f>
        <v>130.49999999999997</v>
      </c>
      <c r="AJ24" s="13">
        <f>AI24*VLOOKUP('Données projet'!$B$10,Paramètres!$A$1:$I$89,3,0)*VLOOKUP('Données projet'!$B$10,Paramètres!$A$1:$I$89,5,0)</f>
        <v>71.252999999999986</v>
      </c>
      <c r="AK24" s="13">
        <f t="shared" si="35"/>
        <v>19.98429960724846</v>
      </c>
      <c r="AL24" s="20">
        <f t="shared" si="4"/>
        <v>158.90496348262437</v>
      </c>
      <c r="AM24" s="59">
        <f t="shared" si="5"/>
        <v>452.23829681595771</v>
      </c>
      <c r="AN24" s="59">
        <f ca="1">AVERAGE(OFFSET($AM$3,0,0,'Données projet'!$E$10+1,1))-AVERAGE(OFFSET($H$3,0,0,'Données projet'!$E$10+1,1))</f>
        <v>248.1486444660062</v>
      </c>
      <c r="AO24" s="59">
        <f t="shared" si="36"/>
        <v>293.34458072322127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21.907028823127465</v>
      </c>
      <c r="AW24" s="21">
        <f>EXP(-LN(2)/2)*AW23+(1-EXP(-LN(2)/2))/(LN(2)/2)*AQ24*AT24*VLOOKUP('Données projet'!$B$10,Paramètres!$A$1:$I$89,3,0)*0.475*44/12</f>
        <v>21.474138383575589</v>
      </c>
      <c r="AX24" s="21">
        <f t="shared" si="6"/>
        <v>43.381167206703054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27.5</v>
      </c>
      <c r="N25" s="13">
        <f>IF('Données projet'!$A$36&gt;35,N24+M25-V24,IF(A25&lt;'Données projet'!$A$36,$K$205^A25,IF(A25='Données projet'!$A$36,'Données projet'!$B$36,N24+M25-V24)))</f>
        <v>178.99999999999997</v>
      </c>
      <c r="O25" s="13">
        <f>N25*VLOOKUP('Données projet'!$B$9,Paramètres!$A$1:$I$89,3,0)*VLOOKUP('Données projet'!$B$9,Paramètres!$A$1:$I$89,5,0)</f>
        <v>100.06099999999998</v>
      </c>
      <c r="P25" s="13">
        <f t="shared" si="33"/>
        <v>26.976529441369074</v>
      </c>
      <c r="Q25" s="20">
        <f t="shared" si="2"/>
        <v>221.25703044371778</v>
      </c>
      <c r="R25" s="59">
        <f t="shared" si="0"/>
        <v>514.59036377705115</v>
      </c>
      <c r="S25" s="59">
        <f ca="1">AVERAGE(OFFSET($R$3,0,0,'Données projet'!$E$9+1,1))-AVERAGE(OFFSET($H$3,0,0,'Données projet'!$E$9+1,1))</f>
        <v>415.91544298418842</v>
      </c>
      <c r="T25" s="59">
        <f t="shared" si="34"/>
        <v>422.79312683312583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19.985289314756866</v>
      </c>
      <c r="AB25" s="21">
        <f>EXP(-LN(2)/2)*AB24+(1-EXP(-LN(2)/2))/(LN(2)/2)*V25*Y25*VLOOKUP('Données projet'!$B$9,Paramètres!$A$1:$I$89,3,0)*0.475*44/12</f>
        <v>16.455864212249658</v>
      </c>
      <c r="AC25" s="22">
        <f t="shared" si="3"/>
        <v>36.44115352700652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18.5</v>
      </c>
      <c r="AI25" s="13">
        <f>IF('Données projet'!$A$62&gt;35,AI24+AH25-AQ24,IF(A25&lt;'Données projet'!$A$62,$AF$205^A25,IF(A25='Données projet'!$A$62,'Données projet'!$B$62,AI24+AH25-AQ24)))</f>
        <v>148.99999999999997</v>
      </c>
      <c r="AJ25" s="13">
        <f>AI25*VLOOKUP('Données projet'!$B$10,Paramètres!$A$1:$I$89,3,0)*VLOOKUP('Données projet'!$B$10,Paramètres!$A$1:$I$89,5,0)</f>
        <v>81.353999999999985</v>
      </c>
      <c r="AK25" s="13">
        <f t="shared" si="35"/>
        <v>22.467920097706006</v>
      </c>
      <c r="AL25" s="20">
        <f t="shared" si="4"/>
        <v>180.82317750350458</v>
      </c>
      <c r="AM25" s="59">
        <f t="shared" si="5"/>
        <v>474.15651083683792</v>
      </c>
      <c r="AN25" s="59">
        <f ca="1">AVERAGE(OFFSET($AM$3,0,0,'Données projet'!$E$10+1,1))-AVERAGE(OFFSET($H$3,0,0,'Données projet'!$E$10+1,1))</f>
        <v>248.1486444660062</v>
      </c>
      <c r="AO25" s="59">
        <f t="shared" si="36"/>
        <v>293.34458072322127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21.307979967918467</v>
      </c>
      <c r="AW25" s="21">
        <f>EXP(-LN(2)/2)*AW24+(1-EXP(-LN(2)/2))/(LN(2)/2)*AQ25*AT25*VLOOKUP('Données projet'!$B$10,Paramètres!$A$1:$I$89,3,0)*0.475*44/12</f>
        <v>15.184508871164626</v>
      </c>
      <c r="AX25" s="21">
        <f t="shared" si="6"/>
        <v>36.492488839083094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27.5</v>
      </c>
      <c r="N26" s="13">
        <f>IF('Données projet'!$A$36&gt;35,N25+M26-V25,IF(A26&lt;'Données projet'!$A$36,$K$205^A26,IF(A26='Données projet'!$A$36,'Données projet'!$B$36,N25+M26-V25)))</f>
        <v>206.49999999999997</v>
      </c>
      <c r="O26" s="13">
        <f>N26*VLOOKUP('Données projet'!$B$9,Paramètres!$A$1:$I$89,3,0)*VLOOKUP('Données projet'!$B$9,Paramètres!$A$1:$I$89,5,0)</f>
        <v>115.43349999999998</v>
      </c>
      <c r="P26" s="13">
        <f t="shared" si="33"/>
        <v>30.60754521964256</v>
      </c>
      <c r="Q26" s="20">
        <f t="shared" si="2"/>
        <v>254.35482042421077</v>
      </c>
      <c r="R26" s="59">
        <f t="shared" si="0"/>
        <v>547.68815375754411</v>
      </c>
      <c r="S26" s="59">
        <f ca="1">AVERAGE(OFFSET($R$3,0,0,'Données projet'!$E$9+1,1))-AVERAGE(OFFSET($H$3,0,0,'Données projet'!$E$9+1,1))</f>
        <v>415.91544298418842</v>
      </c>
      <c r="T26" s="59">
        <f t="shared" si="34"/>
        <v>422.79312683312583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19.43879052746415</v>
      </c>
      <c r="AB26" s="21">
        <f>EXP(-LN(2)/2)*AB25+(1-EXP(-LN(2)/2))/(LN(2)/2)*V26*Y26*VLOOKUP('Données projet'!$B$9,Paramètres!$A$1:$I$89,3,0)*0.475*44/12</f>
        <v>11.636053174766758</v>
      </c>
      <c r="AC26" s="22">
        <f t="shared" si="3"/>
        <v>31.074843702230908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18.5</v>
      </c>
      <c r="AI26" s="13">
        <f>IF('Données projet'!$A$62&gt;35,AI25+AH26-AQ25,IF(A26&lt;'Données projet'!$A$62,$AF$205^A26,IF(A26='Données projet'!$A$62,'Données projet'!$B$62,AI25+AH26-AQ25)))</f>
        <v>167.49999999999997</v>
      </c>
      <c r="AJ26" s="13">
        <f>AI26*VLOOKUP('Données projet'!$B$10,Paramètres!$A$1:$I$89,3,0)*VLOOKUP('Données projet'!$B$10,Paramètres!$A$1:$I$89,5,0)</f>
        <v>91.454999999999984</v>
      </c>
      <c r="AK26" s="13">
        <f t="shared" si="35"/>
        <v>24.915807755003627</v>
      </c>
      <c r="AL26" s="20">
        <f t="shared" si="4"/>
        <v>202.67915683996458</v>
      </c>
      <c r="AM26" s="59">
        <f t="shared" si="5"/>
        <v>496.01249017329792</v>
      </c>
      <c r="AN26" s="59">
        <f ca="1">AVERAGE(OFFSET($AM$3,0,0,'Données projet'!$E$10+1,1))-AVERAGE(OFFSET($H$3,0,0,'Données projet'!$E$10+1,1))</f>
        <v>248.1486444660062</v>
      </c>
      <c r="AO26" s="59">
        <f t="shared" si="36"/>
        <v>293.34458072322127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20.725312135157768</v>
      </c>
      <c r="AW26" s="21">
        <f>EXP(-LN(2)/2)*AW25+(1-EXP(-LN(2)/2))/(LN(2)/2)*AQ26*AT26*VLOOKUP('Données projet'!$B$10,Paramètres!$A$1:$I$89,3,0)*0.475*44/12</f>
        <v>10.737069191787796</v>
      </c>
      <c r="AX26" s="21">
        <f t="shared" si="6"/>
        <v>31.462381326945565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27.5</v>
      </c>
      <c r="N27" s="13">
        <f>IF('Données projet'!$A$36&gt;35,N26+M27-V26,IF(A27&lt;'Données projet'!$A$36,$K$205^A27,IF(A27='Données projet'!$A$36,'Données projet'!$B$36,N26+M27-V26)))</f>
        <v>233.99999999999997</v>
      </c>
      <c r="O27" s="13">
        <f>N27*VLOOKUP('Données projet'!$B$9,Paramètres!$A$1:$I$89,3,0)*VLOOKUP('Données projet'!$B$9,Paramètres!$A$1:$I$89,5,0)</f>
        <v>130.80599999999998</v>
      </c>
      <c r="P27" s="13">
        <f t="shared" si="33"/>
        <v>34.182535218254536</v>
      </c>
      <c r="Q27" s="20">
        <f t="shared" si="2"/>
        <v>287.35503217179325</v>
      </c>
      <c r="R27" s="59">
        <f t="shared" si="0"/>
        <v>580.68836550512651</v>
      </c>
      <c r="S27" s="59">
        <f ca="1">AVERAGE(OFFSET($R$3,0,0,'Données projet'!$E$9+1,1))-AVERAGE(OFFSET($H$3,0,0,'Données projet'!$E$9+1,1))</f>
        <v>415.91544298418842</v>
      </c>
      <c r="T27" s="59">
        <f t="shared" si="34"/>
        <v>422.79312683312583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18.907235778249078</v>
      </c>
      <c r="AB27" s="21">
        <f>EXP(-LN(2)/2)*AB26+(1-EXP(-LN(2)/2))/(LN(2)/2)*V27*Y27*VLOOKUP('Données projet'!$B$9,Paramètres!$A$1:$I$89,3,0)*0.475*44/12</f>
        <v>8.2279321061248307</v>
      </c>
      <c r="AC27" s="22">
        <f t="shared" si="3"/>
        <v>27.135167884373907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18.5</v>
      </c>
      <c r="AI27" s="13">
        <f>IF('Données projet'!$A$62&gt;35,AI26+AH27-AQ26,IF(A27&lt;'Données projet'!$A$62,$AF$205^A27,IF(A27='Données projet'!$A$62,'Données projet'!$B$62,AI26+AH27-AQ26)))</f>
        <v>185.99999999999997</v>
      </c>
      <c r="AJ27" s="13">
        <f>AI27*VLOOKUP('Données projet'!$B$10,Paramètres!$A$1:$I$89,3,0)*VLOOKUP('Données projet'!$B$10,Paramètres!$A$1:$I$89,5,0)</f>
        <v>101.556</v>
      </c>
      <c r="AK27" s="13">
        <f t="shared" si="35"/>
        <v>27.332359320696909</v>
      </c>
      <c r="AL27" s="20">
        <f t="shared" si="4"/>
        <v>224.48055915021379</v>
      </c>
      <c r="AM27" s="59">
        <f t="shared" si="5"/>
        <v>517.81389248354708</v>
      </c>
      <c r="AN27" s="59">
        <f ca="1">AVERAGE(OFFSET($AM$3,0,0,'Données projet'!$E$10+1,1))-AVERAGE(OFFSET($H$3,0,0,'Données projet'!$E$10+1,1))</f>
        <v>248.1486444660062</v>
      </c>
      <c r="AO27" s="59">
        <f t="shared" si="36"/>
        <v>293.34458072322127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20.158577384925081</v>
      </c>
      <c r="AW27" s="21">
        <f>EXP(-LN(2)/2)*AW26+(1-EXP(-LN(2)/2))/(LN(2)/2)*AQ27*AT27*VLOOKUP('Données projet'!$B$10,Paramètres!$A$1:$I$89,3,0)*0.475*44/12</f>
        <v>7.5922544355823147</v>
      </c>
      <c r="AX27" s="21">
        <f t="shared" si="6"/>
        <v>27.750831820507397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27.5</v>
      </c>
      <c r="N28" s="13">
        <f>IF('Données projet'!$A$36&gt;35,N27+M28-V27,IF(A28&lt;'Données projet'!$A$36,$K$205^A28,IF(A28='Données projet'!$A$36,'Données projet'!$B$36,N27+M28-V27)))</f>
        <v>261.5</v>
      </c>
      <c r="O28" s="13">
        <f>N28*VLOOKUP('Données projet'!$B$9,Paramètres!$A$1:$I$89,3,0)*VLOOKUP('Données projet'!$B$9,Paramètres!$A$1:$I$89,5,0)</f>
        <v>146.17849999999999</v>
      </c>
      <c r="P28" s="13">
        <f t="shared" si="33"/>
        <v>37.708835970826762</v>
      </c>
      <c r="Q28" s="20">
        <f t="shared" si="2"/>
        <v>320.27044348252321</v>
      </c>
      <c r="R28" s="59">
        <f t="shared" si="0"/>
        <v>613.60377681585646</v>
      </c>
      <c r="S28" s="59">
        <f ca="1">AVERAGE(OFFSET($R$3,0,0,'Données projet'!$E$9+1,1))-AVERAGE(OFFSET($H$3,0,0,'Données projet'!$E$9+1,1))</f>
        <v>415.91544298418842</v>
      </c>
      <c r="T28" s="59">
        <f t="shared" si="34"/>
        <v>422.79312683312583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18.390216421604539</v>
      </c>
      <c r="AB28" s="21">
        <f>EXP(-LN(2)/2)*AB27+(1-EXP(-LN(2)/2))/(LN(2)/2)*V28*Y28*VLOOKUP('Données projet'!$B$9,Paramètres!$A$1:$I$89,3,0)*0.475*44/12</f>
        <v>5.8180265873833799</v>
      </c>
      <c r="AC28" s="22">
        <f t="shared" si="3"/>
        <v>24.208243008987917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18.5</v>
      </c>
      <c r="AI28" s="13">
        <f>IF('Données projet'!$A$62&gt;35,AI27+AH28-AQ27,IF(A28&lt;'Données projet'!$A$62,$AF$205^A28,IF(A28='Données projet'!$A$62,'Données projet'!$B$62,AI27+AH28-AQ27)))</f>
        <v>204.49999999999997</v>
      </c>
      <c r="AJ28" s="13">
        <f>AI28*VLOOKUP('Données projet'!$B$10,Paramètres!$A$1:$I$89,3,0)*VLOOKUP('Données projet'!$B$10,Paramètres!$A$1:$I$89,5,0)</f>
        <v>111.65699999999998</v>
      </c>
      <c r="AK28" s="13">
        <f t="shared" si="35"/>
        <v>29.721046333209543</v>
      </c>
      <c r="AL28" s="20">
        <f t="shared" si="4"/>
        <v>246.23343069700653</v>
      </c>
      <c r="AM28" s="59">
        <f t="shared" si="5"/>
        <v>539.56676403033987</v>
      </c>
      <c r="AN28" s="59">
        <f ca="1">AVERAGE(OFFSET($AM$3,0,0,'Données projet'!$E$10+1,1))-AVERAGE(OFFSET($H$3,0,0,'Données projet'!$E$10+1,1))</f>
        <v>248.1486444660062</v>
      </c>
      <c r="AO28" s="59">
        <f t="shared" si="36"/>
        <v>293.34458072322127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19.607340026240795</v>
      </c>
      <c r="AW28" s="21">
        <f>EXP(-LN(2)/2)*AW27+(1-EXP(-LN(2)/2))/(LN(2)/2)*AQ28*AT28*VLOOKUP('Données projet'!$B$10,Paramètres!$A$1:$I$89,3,0)*0.475*44/12</f>
        <v>5.368534595893899</v>
      </c>
      <c r="AX28" s="21">
        <f t="shared" si="6"/>
        <v>24.975874622134693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27.5</v>
      </c>
      <c r="N29" s="13">
        <f>IF('Données projet'!$A$36&gt;35,N28+M29-V28,IF(A29&lt;'Données projet'!$A$36,$K$205^A29,IF(A29='Données projet'!$A$36,'Données projet'!$B$36,N28+M29-V28)))</f>
        <v>289</v>
      </c>
      <c r="O29" s="13">
        <f>N29*VLOOKUP('Données projet'!$B$9,Paramètres!$A$1:$I$89,3,0)*VLOOKUP('Données projet'!$B$9,Paramètres!$A$1:$I$89,5,0)</f>
        <v>161.55099999999999</v>
      </c>
      <c r="P29" s="13">
        <f t="shared" si="33"/>
        <v>41.192151127280063</v>
      </c>
      <c r="Q29" s="20">
        <f t="shared" si="2"/>
        <v>353.11098821334605</v>
      </c>
      <c r="R29" s="59">
        <f t="shared" si="0"/>
        <v>646.44432154667936</v>
      </c>
      <c r="S29" s="59">
        <f ca="1">AVERAGE(OFFSET($R$3,0,0,'Données projet'!$E$9+1,1))-AVERAGE(OFFSET($H$3,0,0,'Données projet'!$E$9+1,1))</f>
        <v>415.91544298418842</v>
      </c>
      <c r="T29" s="59">
        <f t="shared" si="34"/>
        <v>422.79312683312583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17.887334986456313</v>
      </c>
      <c r="AB29" s="21">
        <f>EXP(-LN(2)/2)*AB28+(1-EXP(-LN(2)/2))/(LN(2)/2)*V29*Y29*VLOOKUP('Données projet'!$B$9,Paramètres!$A$1:$I$89,3,0)*0.475*44/12</f>
        <v>4.1139660530624154</v>
      </c>
      <c r="AC29" s="22">
        <f t="shared" si="3"/>
        <v>22.001301039518729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18.5</v>
      </c>
      <c r="AI29" s="13">
        <f>IF('Données projet'!$A$62&gt;35,AI28+AH29-AQ28,IF(A29&lt;'Données projet'!$A$62,$AF$205^A29,IF(A29='Données projet'!$A$62,'Données projet'!$B$62,AI28+AH29-AQ28)))</f>
        <v>222.99999999999997</v>
      </c>
      <c r="AJ29" s="13">
        <f>AI29*VLOOKUP('Données projet'!$B$10,Paramètres!$A$1:$I$89,3,0)*VLOOKUP('Données projet'!$B$10,Paramètres!$A$1:$I$89,5,0)</f>
        <v>121.75799999999998</v>
      </c>
      <c r="AK29" s="13">
        <f t="shared" si="35"/>
        <v>32.084676216474307</v>
      </c>
      <c r="AL29" s="20">
        <f t="shared" si="4"/>
        <v>267.942661077026</v>
      </c>
      <c r="AM29" s="59">
        <f t="shared" si="5"/>
        <v>561.27599441035932</v>
      </c>
      <c r="AN29" s="59">
        <f ca="1">AVERAGE(OFFSET($AM$3,0,0,'Données projet'!$E$10+1,1))-AVERAGE(OFFSET($H$3,0,0,'Données projet'!$E$10+1,1))</f>
        <v>248.1486444660062</v>
      </c>
      <c r="AO29" s="59">
        <f t="shared" si="36"/>
        <v>293.34458072322127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19.071176282118042</v>
      </c>
      <c r="AW29" s="21">
        <f>EXP(-LN(2)/2)*AW28+(1-EXP(-LN(2)/2))/(LN(2)/2)*AQ29*AT29*VLOOKUP('Données projet'!$B$10,Paramètres!$A$1:$I$89,3,0)*0.475*44/12</f>
        <v>3.7961272177911578</v>
      </c>
      <c r="AX29" s="21">
        <f t="shared" si="6"/>
        <v>22.867303499909198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27.5</v>
      </c>
      <c r="N30" s="13">
        <f>IF('Données projet'!$A$36&gt;35,N29+M30-V29,IF(A30&lt;'Données projet'!$A$36,$K$205^A30,IF(A30='Données projet'!$A$36,'Données projet'!$B$36,N29+M30-V29)))</f>
        <v>316.5</v>
      </c>
      <c r="O30" s="13">
        <f>N30*VLOOKUP('Données projet'!$B$9,Paramètres!$A$1:$I$89,3,0)*VLOOKUP('Données projet'!$B$9,Paramètres!$A$1:$I$89,5,0)</f>
        <v>176.92350000000002</v>
      </c>
      <c r="P30" s="13">
        <f t="shared" si="33"/>
        <v>44.637036366733298</v>
      </c>
      <c r="Q30" s="20">
        <f t="shared" si="2"/>
        <v>385.88460083872718</v>
      </c>
      <c r="R30" s="59">
        <f t="shared" si="0"/>
        <v>679.2179341720605</v>
      </c>
      <c r="S30" s="59">
        <f ca="1">AVERAGE(OFFSET($R$3,0,0,'Données projet'!$E$9+1,1))-AVERAGE(OFFSET($H$3,0,0,'Données projet'!$E$9+1,1))</f>
        <v>415.91544298418842</v>
      </c>
      <c r="T30" s="59">
        <f t="shared" si="34"/>
        <v>422.79312683312583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17.398204870597599</v>
      </c>
      <c r="AB30" s="21">
        <f>EXP(-LN(2)/2)*AB29+(1-EXP(-LN(2)/2))/(LN(2)/2)*V30*Y30*VLOOKUP('Données projet'!$B$9,Paramètres!$A$1:$I$89,3,0)*0.475*44/12</f>
        <v>2.9090132936916899</v>
      </c>
      <c r="AC30" s="22">
        <f t="shared" si="3"/>
        <v>20.307218164289289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18.5</v>
      </c>
      <c r="AI30" s="13">
        <f>IF('Données projet'!$A$62&gt;35,AI29+AH30-AQ29,IF(A30&lt;'Données projet'!$A$62,$AF$205^A30,IF(A30='Données projet'!$A$62,'Données projet'!$B$62,AI29+AH30-AQ29)))</f>
        <v>241.49999999999997</v>
      </c>
      <c r="AJ30" s="13">
        <f>AI30*VLOOKUP('Données projet'!$B$10,Paramètres!$A$1:$I$89,3,0)*VLOOKUP('Données projet'!$B$10,Paramètres!$A$1:$I$89,5,0)</f>
        <v>131.85899999999998</v>
      </c>
      <c r="AK30" s="13">
        <f t="shared" si="35"/>
        <v>34.425564033098446</v>
      </c>
      <c r="AL30" s="20">
        <f t="shared" si="4"/>
        <v>289.61228235764639</v>
      </c>
      <c r="AM30" s="59">
        <f t="shared" si="5"/>
        <v>582.94561569097971</v>
      </c>
      <c r="AN30" s="59">
        <f ca="1">AVERAGE(OFFSET($AM$3,0,0,'Données projet'!$E$10+1,1))-AVERAGE(OFFSET($H$3,0,0,'Données projet'!$E$10+1,1))</f>
        <v>248.1486444660062</v>
      </c>
      <c r="AO30" s="59">
        <f t="shared" si="36"/>
        <v>293.34458072322127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18.549673963773952</v>
      </c>
      <c r="AW30" s="21">
        <f>EXP(-LN(2)/2)*AW29+(1-EXP(-LN(2)/2))/(LN(2)/2)*AQ30*AT30*VLOOKUP('Données projet'!$B$10,Paramètres!$A$1:$I$89,3,0)*0.475*44/12</f>
        <v>2.68426729794695</v>
      </c>
      <c r="AX30" s="21">
        <f t="shared" si="6"/>
        <v>21.233941261720901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27.5</v>
      </c>
      <c r="N31" s="13">
        <f>IF('Données projet'!$A$36&gt;35,N30+M31-V30,IF(A31&lt;'Données projet'!$A$36,$K$205^A31,IF(A31='Données projet'!$A$36,'Données projet'!$B$36,N30+M31-V30)))</f>
        <v>344</v>
      </c>
      <c r="O31" s="13">
        <f>N31*VLOOKUP('Données projet'!$B$9,Paramètres!$A$1:$I$89,3,0)*VLOOKUP('Données projet'!$B$9,Paramètres!$A$1:$I$89,5,0)</f>
        <v>192.29599999999999</v>
      </c>
      <c r="P31" s="13">
        <f t="shared" si="33"/>
        <v>48.047210442610933</v>
      </c>
      <c r="Q31" s="20">
        <f t="shared" si="2"/>
        <v>418.59775818754741</v>
      </c>
      <c r="R31" s="59">
        <f t="shared" si="0"/>
        <v>711.93109152088073</v>
      </c>
      <c r="S31" s="59">
        <f ca="1">AVERAGE(OFFSET($R$3,0,0,'Données projet'!$E$9+1,1))-AVERAGE(OFFSET($H$3,0,0,'Données projet'!$E$9+1,1))</f>
        <v>415.91544298418842</v>
      </c>
      <c r="T31" s="59">
        <f t="shared" si="34"/>
        <v>422.79312683312583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16.922450043479277</v>
      </c>
      <c r="AB31" s="21">
        <f>EXP(-LN(2)/2)*AB30+(1-EXP(-LN(2)/2))/(LN(2)/2)*V31*Y31*VLOOKUP('Données projet'!$B$9,Paramètres!$A$1:$I$89,3,0)*0.475*44/12</f>
        <v>2.0569830265312077</v>
      </c>
      <c r="AC31" s="22">
        <f t="shared" si="3"/>
        <v>18.979433070010483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18.5</v>
      </c>
      <c r="AI31" s="13">
        <f>IF('Données projet'!$A$62&gt;35,AI30+AH31-AQ30,IF(A31&lt;'Données projet'!$A$62,$AF$205^A31,IF(A31='Données projet'!$A$62,'Données projet'!$B$62,AI30+AH31-AQ30)))</f>
        <v>260</v>
      </c>
      <c r="AJ31" s="13">
        <f>AI31*VLOOKUP('Données projet'!$B$10,Paramètres!$A$1:$I$89,3,0)*VLOOKUP('Données projet'!$B$10,Paramètres!$A$1:$I$89,5,0)</f>
        <v>141.96</v>
      </c>
      <c r="AK31" s="13">
        <f t="shared" si="35"/>
        <v>36.745650011720485</v>
      </c>
      <c r="AL31" s="20">
        <f t="shared" si="4"/>
        <v>311.24567377041313</v>
      </c>
      <c r="AM31" s="59">
        <f t="shared" si="5"/>
        <v>604.57900710374645</v>
      </c>
      <c r="AN31" s="59">
        <f ca="1">AVERAGE(OFFSET($AM$3,0,0,'Données projet'!$E$10+1,1))-AVERAGE(OFFSET($H$3,0,0,'Données projet'!$E$10+1,1))</f>
        <v>248.1486444660062</v>
      </c>
      <c r="AO31" s="59">
        <f t="shared" si="36"/>
        <v>293.34458072322127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18.042432153749594</v>
      </c>
      <c r="AW31" s="21">
        <f>EXP(-LN(2)/2)*AW30+(1-EXP(-LN(2)/2))/(LN(2)/2)*AQ31*AT31*VLOOKUP('Données projet'!$B$10,Paramètres!$A$1:$I$89,3,0)*0.475*44/12</f>
        <v>1.8980636088955793</v>
      </c>
      <c r="AX31" s="21">
        <f t="shared" si="6"/>
        <v>19.940495762645174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27.5</v>
      </c>
      <c r="N32" s="13">
        <f>IF('Données projet'!$A$36&gt;35,N31+M32-V31,IF(A32&lt;'Données projet'!$A$36,$K$205^A32,IF(A32='Données projet'!$A$36,'Données projet'!$B$36,N31+M32-V31)))</f>
        <v>371.5</v>
      </c>
      <c r="O32" s="13">
        <f>N32*VLOOKUP('Données projet'!$B$9,Paramètres!$A$1:$I$89,3,0)*VLOOKUP('Données projet'!$B$9,Paramètres!$A$1:$I$89,5,0)</f>
        <v>207.66850000000002</v>
      </c>
      <c r="P32" s="13">
        <f t="shared" si="33"/>
        <v>51.4257637081664</v>
      </c>
      <c r="Q32" s="20">
        <f t="shared" si="2"/>
        <v>451.25584262505646</v>
      </c>
      <c r="R32" s="59">
        <f t="shared" si="0"/>
        <v>744.58917595838977</v>
      </c>
      <c r="S32" s="59">
        <f ca="1">AVERAGE(OFFSET($R$3,0,0,'Données projet'!$E$9+1,1))-AVERAGE(OFFSET($H$3,0,0,'Données projet'!$E$9+1,1))</f>
        <v>415.91544298418842</v>
      </c>
      <c r="T32" s="59">
        <f t="shared" si="34"/>
        <v>422.79312683312583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16.459704757127366</v>
      </c>
      <c r="AB32" s="21">
        <f>EXP(-LN(2)/2)*AB31+(1-EXP(-LN(2)/2))/(LN(2)/2)*V32*Y32*VLOOKUP('Données projet'!$B$9,Paramètres!$A$1:$I$89,3,0)*0.475*44/12</f>
        <v>1.454506646845845</v>
      </c>
      <c r="AC32" s="22">
        <f t="shared" si="3"/>
        <v>17.914211403973212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18.5</v>
      </c>
      <c r="AI32" s="13">
        <f>IF('Données projet'!$A$62&gt;35,AI31+AH32-AQ31,IF(A32&lt;'Données projet'!$A$62,$AF$205^A32,IF(A32='Données projet'!$A$62,'Données projet'!$B$62,AI31+AH32-AQ31)))</f>
        <v>278.5</v>
      </c>
      <c r="AJ32" s="13">
        <f>AI32*VLOOKUP('Données projet'!$B$10,Paramètres!$A$1:$I$89,3,0)*VLOOKUP('Données projet'!$B$10,Paramètres!$A$1:$I$89,5,0)</f>
        <v>152.06100000000001</v>
      </c>
      <c r="AK32" s="13">
        <f t="shared" si="35"/>
        <v>39.046582627515924</v>
      </c>
      <c r="AL32" s="20">
        <f t="shared" si="4"/>
        <v>332.84570640959026</v>
      </c>
      <c r="AM32" s="59">
        <f t="shared" si="5"/>
        <v>626.17903974292358</v>
      </c>
      <c r="AN32" s="59">
        <f ca="1">AVERAGE(OFFSET($AM$3,0,0,'Données projet'!$E$10+1,1))-AVERAGE(OFFSET($H$3,0,0,'Données projet'!$E$10+1,1))</f>
        <v>248.1486444660062</v>
      </c>
      <c r="AO32" s="59">
        <f t="shared" si="36"/>
        <v>293.34458072322127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17.549060897695043</v>
      </c>
      <c r="AW32" s="21">
        <f>EXP(-LN(2)/2)*AW31+(1-EXP(-LN(2)/2))/(LN(2)/2)*AQ32*AT32*VLOOKUP('Données projet'!$B$10,Paramètres!$A$1:$I$89,3,0)*0.475*44/12</f>
        <v>1.3421336489734752</v>
      </c>
      <c r="AX32" s="21">
        <f t="shared" si="6"/>
        <v>18.891194546668519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399</v>
      </c>
      <c r="L33" s="12">
        <f>VLOOKUP(A33,'Données projet'!$A$35:$I$55,9,0)</f>
        <v>27.5</v>
      </c>
      <c r="M33" s="12">
        <f t="array" ref="M33">INDEX(L:L,MIN(IF(ISNUMBER(L33:L229),ROW(L33:L229),"")))</f>
        <v>27.5</v>
      </c>
      <c r="N33" s="13">
        <f>IF('Données projet'!$A$36&gt;35,N32+M33-V32,IF(A33&lt;'Données projet'!$A$36,$K$205^A33,IF(A33='Données projet'!$A$36,'Données projet'!$B$36,N32+M33-V32)))</f>
        <v>399</v>
      </c>
      <c r="O33" s="13">
        <f>N33*VLOOKUP('Données projet'!$B$9,Paramètres!$A$1:$I$89,3,0)*VLOOKUP('Données projet'!$B$9,Paramètres!$A$1:$I$89,5,0)</f>
        <v>223.041</v>
      </c>
      <c r="P33" s="13">
        <f t="shared" si="33"/>
        <v>54.775303040983225</v>
      </c>
      <c r="Q33" s="20">
        <f t="shared" si="2"/>
        <v>483.86339446304572</v>
      </c>
      <c r="R33" s="59">
        <f t="shared" si="0"/>
        <v>777.19672779637904</v>
      </c>
      <c r="S33" s="59">
        <f ca="1">AVERAGE(OFFSET($R$3,0,0,'Données projet'!$E$9+1,1))-AVERAGE(OFFSET($H$3,0,0,'Données projet'!$E$9+1,1))</f>
        <v>415.91544298418842</v>
      </c>
      <c r="T33" s="59">
        <f t="shared" si="34"/>
        <v>422.79312683312583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140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11.419862771096829</v>
      </c>
      <c r="AA33" s="21">
        <f>EXP(-LN(2)/25)*AA32+(1-EXP(-LN(2)/25))/(LN(2)/25)*Calculateur!V33*Calculateur!X33*VLOOKUP('Données projet'!$B$9,Paramètres!$A$1:$I$89,3,0)*0.475*44/12</f>
        <v>38.759410105081791</v>
      </c>
      <c r="AB33" s="21">
        <f>EXP(-LN(2)/2)*AB32+(1-EXP(-LN(2)/2))/(LN(2)/2)*V33*Y33*VLOOKUP('Données projet'!$B$9,Paramètres!$A$1:$I$89,3,0)*0.475*44/12</f>
        <v>36.471891355034096</v>
      </c>
      <c r="AC33" s="22">
        <f t="shared" si="3"/>
        <v>86.651164231212718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297</v>
      </c>
      <c r="AG33" s="12">
        <f>VLOOKUP(A33,'Données projet'!$A$61:$I$81,9,0)</f>
        <v>18.5</v>
      </c>
      <c r="AH33" s="12">
        <f t="array" ref="AH33">INDEX(AG:AG,MIN(IF(ISNUMBER(AG33:AG229),ROW(AG33:AG229),"")))</f>
        <v>18.5</v>
      </c>
      <c r="AI33" s="13">
        <f>IF('Données projet'!$A$62&gt;35,AI32+AH33-AQ32,IF(A33&lt;'Données projet'!$A$62,$AF$205^A33,IF(A33='Données projet'!$A$62,'Données projet'!$B$62,AI32+AH33-AQ32)))</f>
        <v>297</v>
      </c>
      <c r="AJ33" s="13">
        <f>AI33*VLOOKUP('Données projet'!$B$10,Paramètres!$A$1:$I$89,3,0)*VLOOKUP('Données projet'!$B$10,Paramètres!$A$1:$I$89,5,0)</f>
        <v>162.16200000000001</v>
      </c>
      <c r="AK33" s="13">
        <f t="shared" si="35"/>
        <v>41.3297789587414</v>
      </c>
      <c r="AL33" s="20">
        <f t="shared" si="4"/>
        <v>354.41484835314122</v>
      </c>
      <c r="AM33" s="59">
        <f t="shared" si="5"/>
        <v>647.74818168647448</v>
      </c>
      <c r="AN33" s="59">
        <f ca="1">AVERAGE(OFFSET($AM$3,0,0,'Données projet'!$E$10+1,1))-AVERAGE(OFFSET($H$3,0,0,'Données projet'!$E$10+1,1))</f>
        <v>248.1486444660062</v>
      </c>
      <c r="AO33" s="59">
        <f t="shared" si="36"/>
        <v>293.34458072322127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98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0.24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8.5178173057990687</v>
      </c>
      <c r="AV33" s="21">
        <f>EXP(-LN(2)/25)*AV32+(1-EXP(-LN(2)/25))/(LN(2)/25)*Calculateur!AQ33*Calculateur!AS33*VLOOKUP('Données projet'!$B$10,Paramètres!$A$1:$I$89,3,0)*0.475*44/12</f>
        <v>34.037739731629159</v>
      </c>
      <c r="AW33" s="21">
        <f>EXP(-LN(2)/2)*AW32+(1-EXP(-LN(2)/2))/(LN(2)/2)*AQ33*AT33*VLOOKUP('Données projet'!$B$10,Paramètres!$A$1:$I$89,3,0)*0.475*44/12</f>
        <v>25.182426114866235</v>
      </c>
      <c r="AX33" s="21">
        <f t="shared" si="6"/>
        <v>67.737983152294461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26.8</v>
      </c>
      <c r="N34" s="13">
        <f>IF('Données projet'!$A$36&gt;35,N33+M34-V33,IF(A34&lt;'Données projet'!$A$36,$K$205^A34,IF(A34='Données projet'!$A$36,'Données projet'!$B$36,N33+M34-V33)))</f>
        <v>285.8</v>
      </c>
      <c r="O34" s="13">
        <f>N34*VLOOKUP('Données projet'!$B$9,Paramètres!$A$1:$I$89,3,0)*VLOOKUP('Données projet'!$B$9,Paramètres!$A$1:$I$89,5,0)</f>
        <v>159.76220000000001</v>
      </c>
      <c r="P34" s="13">
        <f t="shared" si="33"/>
        <v>40.788874310808829</v>
      </c>
      <c r="Q34" s="20">
        <f t="shared" si="2"/>
        <v>349.29312109132542</v>
      </c>
      <c r="R34" s="59">
        <f t="shared" si="0"/>
        <v>642.62645442465873</v>
      </c>
      <c r="S34" s="59">
        <f ca="1">AVERAGE(OFFSET($R$3,0,0,'Données projet'!$E$9+1,1))-AVERAGE(OFFSET($H$3,0,0,'Données projet'!$E$9+1,1))</f>
        <v>415.91544298418842</v>
      </c>
      <c r="T34" s="59">
        <f t="shared" si="34"/>
        <v>422.79312683312583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11.195926227584131</v>
      </c>
      <c r="AA34" s="21">
        <f>EXP(-LN(2)/25)*AA33+(1-EXP(-LN(2)/25))/(LN(2)/25)*Calculateur!V34*Calculateur!X34*VLOOKUP('Données projet'!$B$9,Paramètres!$A$1:$I$89,3,0)*0.475*44/12</f>
        <v>37.699531997489537</v>
      </c>
      <c r="AB34" s="21">
        <f>EXP(-LN(2)/2)*AB33+(1-EXP(-LN(2)/2))/(LN(2)/2)*V34*Y34*VLOOKUP('Données projet'!$B$9,Paramètres!$A$1:$I$89,3,0)*0.475*44/12</f>
        <v>25.789521699843629</v>
      </c>
      <c r="AC34" s="22">
        <f t="shared" si="3"/>
        <v>74.6849799249173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15.7</v>
      </c>
      <c r="AI34" s="13">
        <f>IF('Données projet'!$A$62&gt;35,AI33+AH34-AQ33,IF(A34&lt;'Données projet'!$A$62,$AF$205^A34,IF(A34='Données projet'!$A$62,'Données projet'!$B$62,AI33+AH34-AQ33)))</f>
        <v>214.7</v>
      </c>
      <c r="AJ34" s="13">
        <f>AI34*VLOOKUP('Données projet'!$B$10,Paramètres!$A$1:$I$89,3,0)*VLOOKUP('Données projet'!$B$10,Paramètres!$A$1:$I$89,5,0)</f>
        <v>117.22619999999999</v>
      </c>
      <c r="AK34" s="13">
        <f t="shared" si="35"/>
        <v>31.027178087454015</v>
      </c>
      <c r="AL34" s="20">
        <f t="shared" si="4"/>
        <v>258.20796683564902</v>
      </c>
      <c r="AM34" s="59">
        <f t="shared" si="5"/>
        <v>551.54130016898239</v>
      </c>
      <c r="AN34" s="59">
        <f ca="1">AVERAGE(OFFSET($AM$3,0,0,'Données projet'!$E$10+1,1))-AVERAGE(OFFSET($H$3,0,0,'Données projet'!$E$10+1,1))</f>
        <v>248.1486444660062</v>
      </c>
      <c r="AO34" s="59">
        <f t="shared" si="36"/>
        <v>293.34458072322127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8.3507881037879059</v>
      </c>
      <c r="AV34" s="21">
        <f>EXP(-LN(2)/25)*AV33+(1-EXP(-LN(2)/25))/(LN(2)/25)*Calculateur!AQ34*Calculateur!AS34*VLOOKUP('Données projet'!$B$10,Paramètres!$A$1:$I$89,3,0)*0.475*44/12</f>
        <v>33.106975948700821</v>
      </c>
      <c r="AW34" s="21">
        <f>EXP(-LN(2)/2)*AW33+(1-EXP(-LN(2)/2))/(LN(2)/2)*AQ34*AT34*VLOOKUP('Données projet'!$B$10,Paramètres!$A$1:$I$89,3,0)*0.475*44/12</f>
        <v>17.806664272551121</v>
      </c>
      <c r="AX34" s="21">
        <f t="shared" si="6"/>
        <v>59.264428325039844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26.8</v>
      </c>
      <c r="N35" s="13">
        <f>IF('Données projet'!$A$36&gt;35,N34+M35-V34,IF(A35&lt;'Données projet'!$A$36,$K$205^A35,IF(A35='Données projet'!$A$36,'Données projet'!$B$36,N34+M35-V34)))</f>
        <v>312.60000000000002</v>
      </c>
      <c r="O35" s="13">
        <f>N35*VLOOKUP('Données projet'!$B$9,Paramètres!$A$1:$I$89,3,0)*VLOOKUP('Données projet'!$B$9,Paramètres!$A$1:$I$89,5,0)</f>
        <v>174.74340000000001</v>
      </c>
      <c r="P35" s="13">
        <f t="shared" si="33"/>
        <v>44.150679855848523</v>
      </c>
      <c r="Q35" s="20">
        <f t="shared" ref="Q35:Q66" si="53">(O35+P35)*0.475*44/12</f>
        <v>381.24052241560281</v>
      </c>
      <c r="R35" s="59">
        <f t="shared" si="0"/>
        <v>674.57385574893613</v>
      </c>
      <c r="S35" s="59">
        <f ca="1">AVERAGE(OFFSET($R$3,0,0,'Données projet'!$E$9+1,1))-AVERAGE(OFFSET($H$3,0,0,'Données projet'!$E$9+1,1))</f>
        <v>415.91544298418842</v>
      </c>
      <c r="T35" s="59">
        <f t="shared" si="34"/>
        <v>422.79312683312583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10.976380943101914</v>
      </c>
      <c r="AA35" s="21">
        <f>EXP(-LN(2)/25)*AA34+(1-EXP(-LN(2)/25))/(LN(2)/25)*Calculateur!V35*Calculateur!X35*VLOOKUP('Données projet'!$B$9,Paramètres!$A$1:$I$89,3,0)*0.475*44/12</f>
        <v>36.668636312485958</v>
      </c>
      <c r="AB35" s="21">
        <f>EXP(-LN(2)/2)*AB34+(1-EXP(-LN(2)/2))/(LN(2)/2)*V35*Y35*VLOOKUP('Données projet'!$B$9,Paramètres!$A$1:$I$89,3,0)*0.475*44/12</f>
        <v>18.235945677517048</v>
      </c>
      <c r="AC35" s="22">
        <f t="shared" si="3"/>
        <v>65.880962933104925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15.7</v>
      </c>
      <c r="AI35" s="13">
        <f>IF('Données projet'!$A$62&gt;35,AI34+AH35-AQ34,IF(A35&lt;'Données projet'!$A$62,$AF$205^A35,IF(A35='Données projet'!$A$62,'Données projet'!$B$62,AI34+AH35-AQ34)))</f>
        <v>230.39999999999998</v>
      </c>
      <c r="AJ35" s="13">
        <f>AI35*VLOOKUP('Données projet'!$B$10,Paramètres!$A$1:$I$89,3,0)*VLOOKUP('Données projet'!$B$10,Paramètres!$A$1:$I$89,5,0)</f>
        <v>125.79839999999999</v>
      </c>
      <c r="AK35" s="13">
        <f t="shared" si="35"/>
        <v>33.023644363399924</v>
      </c>
      <c r="AL35" s="20">
        <f t="shared" si="4"/>
        <v>276.61506059958816</v>
      </c>
      <c r="AM35" s="59">
        <f t="shared" si="5"/>
        <v>569.94839393292148</v>
      </c>
      <c r="AN35" s="59">
        <f ca="1">AVERAGE(OFFSET($AM$3,0,0,'Données projet'!$E$10+1,1))-AVERAGE(OFFSET($H$3,0,0,'Données projet'!$E$10+1,1))</f>
        <v>248.1486444660062</v>
      </c>
      <c r="AO35" s="59">
        <f t="shared" si="36"/>
        <v>293.34458072322127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8.1870342425504301</v>
      </c>
      <c r="AV35" s="21">
        <f>EXP(-LN(2)/25)*AV34+(1-EXP(-LN(2)/25))/(LN(2)/25)*Calculateur!AQ35*Calculateur!AS35*VLOOKUP('Données projet'!$B$10,Paramètres!$A$1:$I$89,3,0)*0.475*44/12</f>
        <v>32.201663950363397</v>
      </c>
      <c r="AW35" s="21">
        <f>EXP(-LN(2)/2)*AW34+(1-EXP(-LN(2)/2))/(LN(2)/2)*AQ35*AT35*VLOOKUP('Données projet'!$B$10,Paramètres!$A$1:$I$89,3,0)*0.475*44/12</f>
        <v>12.591213057433119</v>
      </c>
      <c r="AX35" s="21">
        <f t="shared" si="6"/>
        <v>52.979911250346944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26.8</v>
      </c>
      <c r="N36" s="13">
        <f>IF('Données projet'!$A$36&gt;35,N35+M36-V35,IF(A36&lt;'Données projet'!$A$36,$K$205^A36,IF(A36='Données projet'!$A$36,'Données projet'!$B$36,N35+M36-V35)))</f>
        <v>339.40000000000003</v>
      </c>
      <c r="O36" s="13">
        <f>N36*VLOOKUP('Données projet'!$B$9,Paramètres!$A$1:$I$89,3,0)*VLOOKUP('Données projet'!$B$9,Paramètres!$A$1:$I$89,5,0)</f>
        <v>189.72460000000001</v>
      </c>
      <c r="P36" s="13">
        <f t="shared" si="33"/>
        <v>47.479060682252133</v>
      </c>
      <c r="Q36" s="20">
        <f t="shared" si="53"/>
        <v>413.12970902158912</v>
      </c>
      <c r="R36" s="59">
        <f t="shared" si="0"/>
        <v>706.46304235492244</v>
      </c>
      <c r="S36" s="59">
        <f ca="1">AVERAGE(OFFSET($R$3,0,0,'Données projet'!$E$9+1,1))-AVERAGE(OFFSET($H$3,0,0,'Données projet'!$E$9+1,1))</f>
        <v>415.91544298418842</v>
      </c>
      <c r="T36" s="59">
        <f t="shared" si="34"/>
        <v>422.79312683312583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10.761140807738991</v>
      </c>
      <c r="AA36" s="21">
        <f>EXP(-LN(2)/25)*AA35+(1-EXP(-LN(2)/25))/(LN(2)/25)*Calculateur!V36*Calculateur!X36*VLOOKUP('Données projet'!$B$9,Paramètres!$A$1:$I$89,3,0)*0.475*44/12</f>
        <v>35.665930524201251</v>
      </c>
      <c r="AB36" s="21">
        <f>EXP(-LN(2)/2)*AB35+(1-EXP(-LN(2)/2))/(LN(2)/2)*V36*Y36*VLOOKUP('Données projet'!$B$9,Paramètres!$A$1:$I$89,3,0)*0.475*44/12</f>
        <v>12.894760849921814</v>
      </c>
      <c r="AC36" s="22">
        <f t="shared" si="3"/>
        <v>59.321832181862057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15.7</v>
      </c>
      <c r="AI36" s="13">
        <f>IF('Données projet'!$A$62&gt;35,AI35+AH36-AQ35,IF(A36&lt;'Données projet'!$A$62,$AF$205^A36,IF(A36='Données projet'!$A$62,'Données projet'!$B$62,AI35+AH36-AQ35)))</f>
        <v>246.09999999999997</v>
      </c>
      <c r="AJ36" s="13">
        <f>AI36*VLOOKUP('Données projet'!$B$10,Paramètres!$A$1:$I$89,3,0)*VLOOKUP('Données projet'!$B$10,Paramètres!$A$1:$I$89,5,0)</f>
        <v>134.37059999999997</v>
      </c>
      <c r="AK36" s="13">
        <f t="shared" si="35"/>
        <v>35.004324871601163</v>
      </c>
      <c r="AL36" s="20">
        <f t="shared" si="4"/>
        <v>294.99466081803865</v>
      </c>
      <c r="AM36" s="59">
        <f t="shared" si="5"/>
        <v>588.32799415137197</v>
      </c>
      <c r="AN36" s="59">
        <f ca="1">AVERAGE(OFFSET($AM$3,0,0,'Données projet'!$E$10+1,1))-AVERAGE(OFFSET($H$3,0,0,'Données projet'!$E$10+1,1))</f>
        <v>248.1486444660062</v>
      </c>
      <c r="AO36" s="59">
        <f t="shared" si="36"/>
        <v>293.34458072322127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8.0264914946518271</v>
      </c>
      <c r="AV36" s="21">
        <f>EXP(-LN(2)/25)*AV35+(1-EXP(-LN(2)/25))/(LN(2)/25)*Calculateur!AQ36*Calculateur!AS36*VLOOKUP('Données projet'!$B$10,Paramètres!$A$1:$I$89,3,0)*0.475*44/12</f>
        <v>31.321107756228802</v>
      </c>
      <c r="AW36" s="21">
        <f>EXP(-LN(2)/2)*AW35+(1-EXP(-LN(2)/2))/(LN(2)/2)*AQ36*AT36*VLOOKUP('Données projet'!$B$10,Paramètres!$A$1:$I$89,3,0)*0.475*44/12</f>
        <v>8.9033321362755622</v>
      </c>
      <c r="AX36" s="21">
        <f t="shared" si="6"/>
        <v>48.250931387156186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26.8</v>
      </c>
      <c r="N37" s="13">
        <f>IF('Données projet'!$A$36&gt;35,N36+M37-V36,IF(A37&lt;'Données projet'!$A$36,$K$205^A37,IF(A37='Données projet'!$A$36,'Données projet'!$B$36,N36+M37-V36)))</f>
        <v>366.20000000000005</v>
      </c>
      <c r="O37" s="13">
        <f>N37*VLOOKUP('Données projet'!$B$9,Paramètres!$A$1:$I$89,3,0)*VLOOKUP('Données projet'!$B$9,Paramètres!$A$1:$I$89,5,0)</f>
        <v>204.70580000000001</v>
      </c>
      <c r="P37" s="13">
        <f t="shared" si="33"/>
        <v>50.776956172604578</v>
      </c>
      <c r="Q37" s="20">
        <f t="shared" si="53"/>
        <v>444.96580033395298</v>
      </c>
      <c r="R37" s="59">
        <f t="shared" si="0"/>
        <v>738.29913366728624</v>
      </c>
      <c r="S37" s="59">
        <f ca="1">AVERAGE(OFFSET($R$3,0,0,'Données projet'!$E$9+1,1))-AVERAGE(OFFSET($H$3,0,0,'Données projet'!$E$9+1,1))</f>
        <v>415.91544298418842</v>
      </c>
      <c r="T37" s="59">
        <f t="shared" si="34"/>
        <v>422.79312683312583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10.550121400147017</v>
      </c>
      <c r="AA37" s="21">
        <f>EXP(-LN(2)/25)*AA36+(1-EXP(-LN(2)/25))/(LN(2)/25)*Calculateur!V37*Calculateur!X37*VLOOKUP('Données projet'!$B$9,Paramètres!$A$1:$I$89,3,0)*0.475*44/12</f>
        <v>34.690643778427194</v>
      </c>
      <c r="AB37" s="21">
        <f>EXP(-LN(2)/2)*AB36+(1-EXP(-LN(2)/2))/(LN(2)/2)*V37*Y37*VLOOKUP('Données projet'!$B$9,Paramètres!$A$1:$I$89,3,0)*0.475*44/12</f>
        <v>9.1179728387585239</v>
      </c>
      <c r="AC37" s="22">
        <f t="shared" si="3"/>
        <v>54.358738017332733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15.7</v>
      </c>
      <c r="AI37" s="13">
        <f>IF('Données projet'!$A$62&gt;35,AI36+AH37-AQ36,IF(A37&lt;'Données projet'!$A$62,$AF$205^A37,IF(A37='Données projet'!$A$62,'Données projet'!$B$62,AI36+AH37-AQ36)))</f>
        <v>261.79999999999995</v>
      </c>
      <c r="AJ37" s="13">
        <f>AI37*VLOOKUP('Données projet'!$B$10,Paramètres!$A$1:$I$89,3,0)*VLOOKUP('Données projet'!$B$10,Paramètres!$A$1:$I$89,5,0)</f>
        <v>142.94279999999998</v>
      </c>
      <c r="AK37" s="13">
        <f t="shared" si="35"/>
        <v>36.97034129538963</v>
      </c>
      <c r="AL37" s="20">
        <f t="shared" si="4"/>
        <v>313.34872108947019</v>
      </c>
      <c r="AM37" s="59">
        <f t="shared" si="5"/>
        <v>606.6820544228035</v>
      </c>
      <c r="AN37" s="59">
        <f ca="1">AVERAGE(OFFSET($AM$3,0,0,'Données projet'!$E$10+1,1))-AVERAGE(OFFSET($H$3,0,0,'Données projet'!$E$10+1,1))</f>
        <v>248.1486444660062</v>
      </c>
      <c r="AO37" s="59">
        <f t="shared" si="36"/>
        <v>293.34458072322127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7.869096892118109</v>
      </c>
      <c r="AV37" s="21">
        <f>EXP(-LN(2)/25)*AV36+(1-EXP(-LN(2)/25))/(LN(2)/25)*Calculateur!AQ37*Calculateur!AS37*VLOOKUP('Données projet'!$B$10,Paramètres!$A$1:$I$89,3,0)*0.475*44/12</f>
        <v>30.464630417529253</v>
      </c>
      <c r="AW37" s="21">
        <f>EXP(-LN(2)/2)*AW36+(1-EXP(-LN(2)/2))/(LN(2)/2)*AQ37*AT37*VLOOKUP('Données projet'!$B$10,Paramètres!$A$1:$I$89,3,0)*0.475*44/12</f>
        <v>6.2956065287165615</v>
      </c>
      <c r="AX37" s="21">
        <f t="shared" si="6"/>
        <v>44.629333838363927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26.8</v>
      </c>
      <c r="N38" s="13">
        <f>IF('Données projet'!$A$36&gt;35,N37+M38-V37,IF(A38&lt;'Données projet'!$A$36,$K$205^A38,IF(A38='Données projet'!$A$36,'Données projet'!$B$36,N37+M38-V37)))</f>
        <v>393.00000000000006</v>
      </c>
      <c r="O38" s="13">
        <f>N38*VLOOKUP('Données projet'!$B$9,Paramètres!$A$1:$I$89,3,0)*VLOOKUP('Données projet'!$B$9,Paramètres!$A$1:$I$89,5,0)</f>
        <v>219.68700000000001</v>
      </c>
      <c r="P38" s="13">
        <f t="shared" si="33"/>
        <v>54.046851081096591</v>
      </c>
      <c r="Q38" s="20">
        <f t="shared" si="53"/>
        <v>476.75312396624321</v>
      </c>
      <c r="R38" s="59">
        <f t="shared" si="0"/>
        <v>770.08645729957652</v>
      </c>
      <c r="S38" s="59">
        <f ca="1">AVERAGE(OFFSET($R$3,0,0,'Données projet'!$E$9+1,1))-AVERAGE(OFFSET($H$3,0,0,'Données projet'!$E$9+1,1))</f>
        <v>415.91544298418842</v>
      </c>
      <c r="T38" s="59">
        <f t="shared" si="34"/>
        <v>422.79312683312583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10.343239954428791</v>
      </c>
      <c r="AA38" s="21">
        <f>EXP(-LN(2)/25)*AA37+(1-EXP(-LN(2)/25))/(LN(2)/25)*Calculateur!V38*Calculateur!X38*VLOOKUP('Données projet'!$B$9,Paramètres!$A$1:$I$89,3,0)*0.475*44/12</f>
        <v>33.742026300004433</v>
      </c>
      <c r="AB38" s="21">
        <f>EXP(-LN(2)/2)*AB37+(1-EXP(-LN(2)/2))/(LN(2)/2)*V38*Y38*VLOOKUP('Données projet'!$B$9,Paramètres!$A$1:$I$89,3,0)*0.475*44/12</f>
        <v>6.4473804249609072</v>
      </c>
      <c r="AC38" s="22">
        <f t="shared" si="3"/>
        <v>50.532646679394126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15.7</v>
      </c>
      <c r="AI38" s="13">
        <f>IF('Données projet'!$A$62&gt;35,AI37+AH38-AQ37,IF(A38&lt;'Données projet'!$A$62,$AF$205^A38,IF(A38='Données projet'!$A$62,'Données projet'!$B$62,AI37+AH38-AQ37)))</f>
        <v>277.49999999999994</v>
      </c>
      <c r="AJ38" s="13">
        <f>AI38*VLOOKUP('Données projet'!$B$10,Paramètres!$A$1:$I$89,3,0)*VLOOKUP('Données projet'!$B$10,Paramètres!$A$1:$I$89,5,0)</f>
        <v>151.51499999999996</v>
      </c>
      <c r="AK38" s="13">
        <f t="shared" si="35"/>
        <v>38.922673183770968</v>
      </c>
      <c r="AL38" s="20">
        <f t="shared" si="4"/>
        <v>331.67894746173437</v>
      </c>
      <c r="AM38" s="59">
        <f t="shared" si="5"/>
        <v>625.01228079506768</v>
      </c>
      <c r="AN38" s="59">
        <f ca="1">AVERAGE(OFFSET($AM$3,0,0,'Données projet'!$E$10+1,1))-AVERAGE(OFFSET($H$3,0,0,'Données projet'!$E$10+1,1))</f>
        <v>248.1486444660062</v>
      </c>
      <c r="AO38" s="59">
        <f t="shared" si="36"/>
        <v>293.34458072322127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7.7147887017388488</v>
      </c>
      <c r="AV38" s="21">
        <f>EXP(-LN(2)/25)*AV37+(1-EXP(-LN(2)/25))/(LN(2)/25)*Calculateur!AQ38*Calculateur!AS38*VLOOKUP('Données projet'!$B$10,Paramètres!$A$1:$I$89,3,0)*0.475*44/12</f>
        <v>29.631573496696632</v>
      </c>
      <c r="AW38" s="21">
        <f>EXP(-LN(2)/2)*AW37+(1-EXP(-LN(2)/2))/(LN(2)/2)*AQ38*AT38*VLOOKUP('Données projet'!$B$10,Paramètres!$A$1:$I$89,3,0)*0.475*44/12</f>
        <v>4.451666068137782</v>
      </c>
      <c r="AX38" s="21">
        <f t="shared" si="6"/>
        <v>41.798028266573262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26.8</v>
      </c>
      <c r="N39" s="13">
        <f>IF('Données projet'!$A$36&gt;35,N38+M39-V38,IF(A39&lt;'Données projet'!$A$36,$K$205^A39,IF(A39='Données projet'!$A$36,'Données projet'!$B$36,N38+M39-V38)))</f>
        <v>419.80000000000007</v>
      </c>
      <c r="O39" s="13">
        <f>N39*VLOOKUP('Données projet'!$B$9,Paramètres!$A$1:$I$89,3,0)*VLOOKUP('Données projet'!$B$9,Paramètres!$A$1:$I$89,5,0)</f>
        <v>234.66820000000007</v>
      </c>
      <c r="P39" s="13">
        <f t="shared" si="33"/>
        <v>57.290872093206247</v>
      </c>
      <c r="Q39" s="20">
        <f t="shared" si="53"/>
        <v>508.4953838956676</v>
      </c>
      <c r="R39" s="59">
        <f t="shared" si="0"/>
        <v>801.82871722900086</v>
      </c>
      <c r="S39" s="59">
        <f ca="1">AVERAGE(OFFSET($R$3,0,0,'Données projet'!$E$9+1,1))-AVERAGE(OFFSET($H$3,0,0,'Données projet'!$E$9+1,1))</f>
        <v>415.91544298418842</v>
      </c>
      <c r="T39" s="59">
        <f t="shared" si="34"/>
        <v>422.79312683312583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10.140415327675877</v>
      </c>
      <c r="AA39" s="21">
        <f>EXP(-LN(2)/25)*AA38+(1-EXP(-LN(2)/25))/(LN(2)/25)*Calculateur!V39*Calculateur!X39*VLOOKUP('Données projet'!$B$9,Paramètres!$A$1:$I$89,3,0)*0.475*44/12</f>
        <v>32.819348816414767</v>
      </c>
      <c r="AB39" s="21">
        <f>EXP(-LN(2)/2)*AB38+(1-EXP(-LN(2)/2))/(LN(2)/2)*V39*Y39*VLOOKUP('Données projet'!$B$9,Paramètres!$A$1:$I$89,3,0)*0.475*44/12</f>
        <v>4.558986419379262</v>
      </c>
      <c r="AC39" s="22">
        <f t="shared" si="3"/>
        <v>47.518750563469901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15.7</v>
      </c>
      <c r="AI39" s="13">
        <f>IF('Données projet'!$A$62&gt;35,AI38+AH39-AQ38,IF(A39&lt;'Données projet'!$A$62,$AF$205^A39,IF(A39='Données projet'!$A$62,'Données projet'!$B$62,AI38+AH39-AQ38)))</f>
        <v>293.19999999999993</v>
      </c>
      <c r="AJ39" s="13">
        <f>AI39*VLOOKUP('Données projet'!$B$10,Paramètres!$A$1:$I$89,3,0)*VLOOKUP('Données projet'!$B$10,Paramètres!$A$1:$I$89,5,0)</f>
        <v>160.08719999999997</v>
      </c>
      <c r="AK39" s="13">
        <f t="shared" si="35"/>
        <v>40.862182986370868</v>
      </c>
      <c r="AL39" s="20">
        <f t="shared" si="4"/>
        <v>349.98684203459584</v>
      </c>
      <c r="AM39" s="59">
        <f t="shared" si="5"/>
        <v>643.3201753679291</v>
      </c>
      <c r="AN39" s="59">
        <f ca="1">AVERAGE(OFFSET($AM$3,0,0,'Données projet'!$E$10+1,1))-AVERAGE(OFFSET($H$3,0,0,'Données projet'!$E$10+1,1))</f>
        <v>248.1486444660062</v>
      </c>
      <c r="AO39" s="59">
        <f t="shared" si="36"/>
        <v>293.34458072322127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7.563506400854223</v>
      </c>
      <c r="AV39" s="21">
        <f>EXP(-LN(2)/25)*AV38+(1-EXP(-LN(2)/25))/(LN(2)/25)*Calculateur!AQ39*Calculateur!AS39*VLOOKUP('Données projet'!$B$10,Paramètres!$A$1:$I$89,3,0)*0.475*44/12</f>
        <v>28.821296561172737</v>
      </c>
      <c r="AW39" s="21">
        <f>EXP(-LN(2)/2)*AW38+(1-EXP(-LN(2)/2))/(LN(2)/2)*AQ39*AT39*VLOOKUP('Données projet'!$B$10,Paramètres!$A$1:$I$89,3,0)*0.475*44/12</f>
        <v>3.1478032643582812</v>
      </c>
      <c r="AX39" s="21">
        <f t="shared" si="6"/>
        <v>39.532606226385241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26.8</v>
      </c>
      <c r="N40" s="13">
        <f>IF('Données projet'!$A$36&gt;35,N39+M40-V39,IF(A40&lt;'Données projet'!$A$36,$K$205^A40,IF(A40='Données projet'!$A$36,'Données projet'!$B$36,N39+M40-V39)))</f>
        <v>446.60000000000008</v>
      </c>
      <c r="O40" s="13">
        <f>N40*VLOOKUP('Données projet'!$B$9,Paramètres!$A$1:$I$89,3,0)*VLOOKUP('Données projet'!$B$9,Paramètres!$A$1:$I$89,5,0)</f>
        <v>249.64940000000007</v>
      </c>
      <c r="P40" s="13">
        <f t="shared" si="33"/>
        <v>60.510859008247188</v>
      </c>
      <c r="Q40" s="20">
        <f t="shared" si="53"/>
        <v>540.19578443936393</v>
      </c>
      <c r="R40" s="59">
        <f t="shared" si="0"/>
        <v>833.52911777269719</v>
      </c>
      <c r="S40" s="59">
        <f ca="1">AVERAGE(OFFSET($R$3,0,0,'Données projet'!$E$9+1,1))-AVERAGE(OFFSET($H$3,0,0,'Données projet'!$E$9+1,1))</f>
        <v>415.91544298418842</v>
      </c>
      <c r="T40" s="59">
        <f t="shared" si="34"/>
        <v>422.79312683312583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9.9415679681427811</v>
      </c>
      <c r="AA40" s="21">
        <f>EXP(-LN(2)/25)*AA39+(1-EXP(-LN(2)/25))/(LN(2)/25)*Calculateur!V40*Calculateur!X40*VLOOKUP('Données projet'!$B$9,Paramètres!$A$1:$I$89,3,0)*0.475*44/12</f>
        <v>31.921901997135361</v>
      </c>
      <c r="AB40" s="21">
        <f>EXP(-LN(2)/2)*AB39+(1-EXP(-LN(2)/2))/(LN(2)/2)*V40*Y40*VLOOKUP('Données projet'!$B$9,Paramètres!$A$1:$I$89,3,0)*0.475*44/12</f>
        <v>3.2236902124804536</v>
      </c>
      <c r="AC40" s="22">
        <f t="shared" si="3"/>
        <v>45.087160177758598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15.7</v>
      </c>
      <c r="AI40" s="13">
        <f>IF('Données projet'!$A$62&gt;35,AI39+AH40-AQ39,IF(A40&lt;'Données projet'!$A$62,$AF$205^A40,IF(A40='Données projet'!$A$62,'Données projet'!$B$62,AI39+AH40-AQ39)))</f>
        <v>308.89999999999992</v>
      </c>
      <c r="AJ40" s="13">
        <f>AI40*VLOOKUP('Données projet'!$B$10,Paramètres!$A$1:$I$89,3,0)*VLOOKUP('Données projet'!$B$10,Paramètres!$A$1:$I$89,5,0)</f>
        <v>168.65939999999998</v>
      </c>
      <c r="AK40" s="13">
        <f t="shared" si="35"/>
        <v>42.789635572993348</v>
      </c>
      <c r="AL40" s="20">
        <f t="shared" si="4"/>
        <v>368.27373695629672</v>
      </c>
      <c r="AM40" s="59">
        <f t="shared" si="5"/>
        <v>661.60707028962997</v>
      </c>
      <c r="AN40" s="59">
        <f ca="1">AVERAGE(OFFSET($AM$3,0,0,'Données projet'!$E$10+1,1))-AVERAGE(OFFSET($H$3,0,0,'Données projet'!$E$10+1,1))</f>
        <v>248.1486444660062</v>
      </c>
      <c r="AO40" s="59">
        <f t="shared" si="36"/>
        <v>293.34458072322127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7.4151906536168521</v>
      </c>
      <c r="AV40" s="21">
        <f>EXP(-LN(2)/25)*AV39+(1-EXP(-LN(2)/25))/(LN(2)/25)*Calculateur!AQ40*Calculateur!AS40*VLOOKUP('Données projet'!$B$10,Paramètres!$A$1:$I$89,3,0)*0.475*44/12</f>
        <v>28.033176691061353</v>
      </c>
      <c r="AW40" s="21">
        <f>EXP(-LN(2)/2)*AW39+(1-EXP(-LN(2)/2))/(LN(2)/2)*AQ40*AT40*VLOOKUP('Données projet'!$B$10,Paramètres!$A$1:$I$89,3,0)*0.475*44/12</f>
        <v>2.2258330340688914</v>
      </c>
      <c r="AX40" s="21">
        <f t="shared" si="6"/>
        <v>37.674200378747095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26.8</v>
      </c>
      <c r="N41" s="13">
        <f>IF('Données projet'!$A$36&gt;35,N40+M41-V40,IF(A41&lt;'Données projet'!$A$36,$K$205^A41,IF(A41='Données projet'!$A$36,'Données projet'!$B$36,N40+M41-V40)))</f>
        <v>473.40000000000009</v>
      </c>
      <c r="O41" s="13">
        <f>N41*VLOOKUP('Données projet'!$B$9,Paramètres!$A$1:$I$89,3,0)*VLOOKUP('Données projet'!$B$9,Paramètres!$A$1:$I$89,5,0)</f>
        <v>264.63060000000007</v>
      </c>
      <c r="P41" s="13">
        <f t="shared" si="33"/>
        <v>63.708418341323984</v>
      </c>
      <c r="Q41" s="20">
        <f t="shared" si="53"/>
        <v>571.8571236111394</v>
      </c>
      <c r="R41" s="59">
        <f t="shared" si="0"/>
        <v>865.19045694447277</v>
      </c>
      <c r="S41" s="59">
        <f ca="1">AVERAGE(OFFSET($R$3,0,0,'Données projet'!$E$9+1,1))-AVERAGE(OFFSET($H$3,0,0,'Données projet'!$E$9+1,1))</f>
        <v>415.91544298418842</v>
      </c>
      <c r="T41" s="59">
        <f t="shared" si="34"/>
        <v>422.79312683312583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9.7466198840452147</v>
      </c>
      <c r="AA41" s="21">
        <f>EXP(-LN(2)/25)*AA40+(1-EXP(-LN(2)/25))/(LN(2)/25)*Calculateur!V41*Calculateur!X41*VLOOKUP('Données projet'!$B$9,Paramètres!$A$1:$I$89,3,0)*0.475*44/12</f>
        <v>31.048995908323828</v>
      </c>
      <c r="AB41" s="21">
        <f>EXP(-LN(2)/2)*AB40+(1-EXP(-LN(2)/2))/(LN(2)/2)*V41*Y41*VLOOKUP('Données projet'!$B$9,Paramètres!$A$1:$I$89,3,0)*0.475*44/12</f>
        <v>2.279493209689631</v>
      </c>
      <c r="AC41" s="22">
        <f t="shared" si="3"/>
        <v>43.075109002058674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15.7</v>
      </c>
      <c r="AI41" s="13">
        <f>IF('Données projet'!$A$62&gt;35,AI40+AH41-AQ40,IF(A41&lt;'Données projet'!$A$62,$AF$205^A41,IF(A41='Données projet'!$A$62,'Données projet'!$B$62,AI40+AH41-AQ40)))</f>
        <v>324.59999999999991</v>
      </c>
      <c r="AJ41" s="13">
        <f>AI41*VLOOKUP('Données projet'!$B$10,Paramètres!$A$1:$I$89,3,0)*VLOOKUP('Données projet'!$B$10,Paramètres!$A$1:$I$89,5,0)</f>
        <v>177.23159999999996</v>
      </c>
      <c r="AK41" s="13">
        <f t="shared" si="35"/>
        <v>44.70571367190955</v>
      </c>
      <c r="AL41" s="20">
        <f t="shared" si="4"/>
        <v>386.54082131190904</v>
      </c>
      <c r="AM41" s="59">
        <f t="shared" si="5"/>
        <v>679.87415464524236</v>
      </c>
      <c r="AN41" s="59">
        <f ca="1">AVERAGE(OFFSET($AM$3,0,0,'Données projet'!$E$10+1,1))-AVERAGE(OFFSET($H$3,0,0,'Données projet'!$E$10+1,1))</f>
        <v>248.1486444660062</v>
      </c>
      <c r="AO41" s="59">
        <f t="shared" si="36"/>
        <v>293.34458072322127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7.2697832877191333</v>
      </c>
      <c r="AV41" s="21">
        <f>EXP(-LN(2)/25)*AV40+(1-EXP(-LN(2)/25))/(LN(2)/25)*Calculateur!AQ41*Calculateur!AS41*VLOOKUP('Données projet'!$B$10,Paramètres!$A$1:$I$89,3,0)*0.475*44/12</f>
        <v>27.26660800024359</v>
      </c>
      <c r="AW41" s="21">
        <f>EXP(-LN(2)/2)*AW40+(1-EXP(-LN(2)/2))/(LN(2)/2)*AQ41*AT41*VLOOKUP('Données projet'!$B$10,Paramètres!$A$1:$I$89,3,0)*0.475*44/12</f>
        <v>1.5739016321791408</v>
      </c>
      <c r="AX41" s="21">
        <f t="shared" si="6"/>
        <v>36.110292920141866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26.8</v>
      </c>
      <c r="N42" s="13">
        <f>IF('Données projet'!$A$36&gt;35,N41+M42-V41,IF(A42&lt;'Données projet'!$A$36,$K$205^A42,IF(A42='Données projet'!$A$36,'Données projet'!$B$36,N41+M42-V41)))</f>
        <v>500.2000000000001</v>
      </c>
      <c r="O42" s="13">
        <f>N42*VLOOKUP('Données projet'!$B$9,Paramètres!$A$1:$I$89,3,0)*VLOOKUP('Données projet'!$B$9,Paramètres!$A$1:$I$89,5,0)</f>
        <v>279.61180000000007</v>
      </c>
      <c r="P42" s="13">
        <f t="shared" si="33"/>
        <v>66.884964438617615</v>
      </c>
      <c r="Q42" s="20">
        <f t="shared" si="53"/>
        <v>603.48186473059241</v>
      </c>
      <c r="R42" s="59">
        <f t="shared" si="0"/>
        <v>896.81519806392566</v>
      </c>
      <c r="S42" s="59">
        <f ca="1">AVERAGE(OFFSET($R$3,0,0,'Données projet'!$E$9+1,1))-AVERAGE(OFFSET($H$3,0,0,'Données projet'!$E$9+1,1))</f>
        <v>415.91544298418842</v>
      </c>
      <c r="T42" s="59">
        <f t="shared" si="34"/>
        <v>422.79312683312583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9.5554946129702127</v>
      </c>
      <c r="AA42" s="21">
        <f>EXP(-LN(2)/25)*AA41+(1-EXP(-LN(2)/25))/(LN(2)/25)*Calculateur!V42*Calculateur!X42*VLOOKUP('Données projet'!$B$9,Paramètres!$A$1:$I$89,3,0)*0.475*44/12</f>
        <v>30.199959482414982</v>
      </c>
      <c r="AB42" s="21">
        <f>EXP(-LN(2)/2)*AB41+(1-EXP(-LN(2)/2))/(LN(2)/2)*V42*Y42*VLOOKUP('Données projet'!$B$9,Paramètres!$A$1:$I$89,3,0)*0.475*44/12</f>
        <v>1.6118451062402268</v>
      </c>
      <c r="AC42" s="22">
        <f t="shared" si="3"/>
        <v>41.367299201625421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15.7</v>
      </c>
      <c r="AI42" s="13">
        <f>IF('Données projet'!$A$62&gt;35,AI41+AH42-AQ41,IF(A42&lt;'Données projet'!$A$62,$AF$205^A42,IF(A42='Données projet'!$A$62,'Données projet'!$B$62,AI41+AH42-AQ41)))</f>
        <v>340.2999999999999</v>
      </c>
      <c r="AJ42" s="13">
        <f>AI42*VLOOKUP('Données projet'!$B$10,Paramètres!$A$1:$I$89,3,0)*VLOOKUP('Données projet'!$B$10,Paramètres!$A$1:$I$89,5,0)</f>
        <v>185.80379999999997</v>
      </c>
      <c r="AK42" s="13">
        <f t="shared" si="35"/>
        <v>46.611030236615356</v>
      </c>
      <c r="AL42" s="20">
        <f t="shared" si="4"/>
        <v>404.78916266210507</v>
      </c>
      <c r="AM42" s="59">
        <f t="shared" si="5"/>
        <v>698.12249599543838</v>
      </c>
      <c r="AN42" s="59">
        <f ca="1">AVERAGE(OFFSET($AM$3,0,0,'Données projet'!$E$10+1,1))-AVERAGE(OFFSET($H$3,0,0,'Données projet'!$E$10+1,1))</f>
        <v>248.1486444660062</v>
      </c>
      <c r="AO42" s="59">
        <f t="shared" si="36"/>
        <v>293.34458072322127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7.1272272715769329</v>
      </c>
      <c r="AV42" s="21">
        <f>EXP(-LN(2)/25)*AV41+(1-EXP(-LN(2)/25))/(LN(2)/25)*Calculateur!AQ42*Calculateur!AS42*VLOOKUP('Données projet'!$B$10,Paramètres!$A$1:$I$89,3,0)*0.475*44/12</f>
        <v>26.521001170588331</v>
      </c>
      <c r="AW42" s="21">
        <f>EXP(-LN(2)/2)*AW41+(1-EXP(-LN(2)/2))/(LN(2)/2)*AQ42*AT42*VLOOKUP('Données projet'!$B$10,Paramètres!$A$1:$I$89,3,0)*0.475*44/12</f>
        <v>1.1129165170344457</v>
      </c>
      <c r="AX42" s="21">
        <f t="shared" si="6"/>
        <v>34.761144959199711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527</v>
      </c>
      <c r="L43" s="12">
        <f>VLOOKUP(A43,'Données projet'!$A$35:$I$55,9,0)</f>
        <v>26.8</v>
      </c>
      <c r="M43" s="12">
        <f t="array" ref="M43">INDEX(L:L,MIN(IF(ISNUMBER(L43:L239),ROW(L43:L239),"")))</f>
        <v>26.8</v>
      </c>
      <c r="N43" s="13">
        <f>IF('Données projet'!$A$36&gt;35,N42+M43-V42,IF(A43&lt;'Données projet'!$A$36,$K$205^A43,IF(A43='Données projet'!$A$36,'Données projet'!$B$36,N42+M43-V42)))</f>
        <v>527.00000000000011</v>
      </c>
      <c r="O43" s="13">
        <f>N43*VLOOKUP('Données projet'!$B$9,Paramètres!$A$1:$I$89,3,0)*VLOOKUP('Données projet'!$B$9,Paramètres!$A$1:$I$89,5,0)</f>
        <v>294.59300000000007</v>
      </c>
      <c r="P43" s="13">
        <f t="shared" si="33"/>
        <v>70.041751529321004</v>
      </c>
      <c r="Q43" s="20">
        <f t="shared" si="53"/>
        <v>635.07219224690084</v>
      </c>
      <c r="R43" s="59">
        <f t="shared" si="0"/>
        <v>928.4055255802341</v>
      </c>
      <c r="S43" s="59">
        <f ca="1">AVERAGE(OFFSET($R$3,0,0,'Données projet'!$E$9+1,1))-AVERAGE(OFFSET($H$3,0,0,'Données projet'!$E$9+1,1))</f>
        <v>415.91544298418842</v>
      </c>
      <c r="T43" s="59">
        <f t="shared" si="34"/>
        <v>422.79312683312583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140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9.3681171918860855</v>
      </c>
      <c r="AA43" s="21">
        <f>EXP(-LN(2)/25)*AA42+(1-EXP(-LN(2)/25))/(LN(2)/25)*Calculateur!V43*Calculateur!X43*VLOOKUP('Données projet'!$B$9,Paramètres!$A$1:$I$89,3,0)*0.475*44/12</f>
        <v>29.374140002221498</v>
      </c>
      <c r="AB43" s="21">
        <f>EXP(-LN(2)/2)*AB42+(1-EXP(-LN(2)/2))/(LN(2)/2)*V43*Y43*VLOOKUP('Données projet'!$B$9,Paramètres!$A$1:$I$89,3,0)*0.475*44/12</f>
        <v>1.1397466048448155</v>
      </c>
      <c r="AC43" s="22">
        <f t="shared" si="3"/>
        <v>39.882003798952397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356</v>
      </c>
      <c r="AG43" s="12">
        <f>VLOOKUP(A43,'Données projet'!$A$61:$I$81,9,0)</f>
        <v>15.7</v>
      </c>
      <c r="AH43" s="12">
        <f t="array" ref="AH43">INDEX(AG:AG,MIN(IF(ISNUMBER(AG43:AG239),ROW(AG43:AG239),"")))</f>
        <v>15.7</v>
      </c>
      <c r="AI43" s="13">
        <f>IF('Données projet'!$A$62&gt;35,AI42+AH43-AQ42,IF(A43&lt;'Données projet'!$A$62,$AF$205^A43,IF(A43='Données projet'!$A$62,'Données projet'!$B$62,AI42+AH43-AQ42)))</f>
        <v>355.99999999999989</v>
      </c>
      <c r="AJ43" s="13">
        <f>AI43*VLOOKUP('Données projet'!$B$10,Paramètres!$A$1:$I$89,3,0)*VLOOKUP('Données projet'!$B$10,Paramètres!$A$1:$I$89,5,0)</f>
        <v>194.37599999999995</v>
      </c>
      <c r="AK43" s="13">
        <f t="shared" si="35"/>
        <v>48.506138465833089</v>
      </c>
      <c r="AL43" s="20">
        <f t="shared" si="4"/>
        <v>423.01972449465916</v>
      </c>
      <c r="AM43" s="59">
        <f t="shared" si="5"/>
        <v>716.35305782799242</v>
      </c>
      <c r="AN43" s="59">
        <f ca="1">AVERAGE(OFFSET($AM$3,0,0,'Données projet'!$E$10+1,1))-AVERAGE(OFFSET($H$3,0,0,'Données projet'!$E$10+1,1))</f>
        <v>248.1486444660062</v>
      </c>
      <c r="AO43" s="59">
        <f t="shared" si="36"/>
        <v>293.34458072322127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92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6.9874666919606963</v>
      </c>
      <c r="AV43" s="21">
        <f>EXP(-LN(2)/25)*AV42+(1-EXP(-LN(2)/25))/(LN(2)/25)*Calculateur!AQ43*Calculateur!AS43*VLOOKUP('Données projet'!$B$10,Paramètres!$A$1:$I$89,3,0)*0.475*44/12</f>
        <v>25.795782998899757</v>
      </c>
      <c r="AW43" s="21">
        <f>EXP(-LN(2)/2)*AW42+(1-EXP(-LN(2)/2))/(LN(2)/2)*AQ43*AT43*VLOOKUP('Données projet'!$B$10,Paramètres!$A$1:$I$89,3,0)*0.475*44/12</f>
        <v>0.7869508160895704</v>
      </c>
      <c r="AX43" s="21">
        <f t="shared" si="6"/>
        <v>33.570200506950023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409.80000000000007</v>
      </c>
      <c r="O44" s="13">
        <f>N44*VLOOKUP('Données projet'!$B$9,Paramètres!$A$1:$I$89,3,0)*VLOOKUP('Données projet'!$B$9,Paramètres!$A$1:$I$89,5,0)</f>
        <v>229.07820000000004</v>
      </c>
      <c r="P44" s="13">
        <f t="shared" si="33"/>
        <v>56.083320258718402</v>
      </c>
      <c r="Q44" s="20">
        <f t="shared" si="53"/>
        <v>496.65631445060126</v>
      </c>
      <c r="R44" s="59">
        <f t="shared" si="0"/>
        <v>789.98964778393452</v>
      </c>
      <c r="S44" s="59">
        <f ca="1">AVERAGE(OFFSET($R$3,0,0,'Données projet'!$E$9+1,1))-AVERAGE(OFFSET($H$3,0,0,'Données projet'!$E$9+1,1))</f>
        <v>415.91544298418842</v>
      </c>
      <c r="T44" s="59">
        <f t="shared" si="34"/>
        <v>422.79312683312583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9.1844141277404763</v>
      </c>
      <c r="AA44" s="21">
        <f>EXP(-LN(2)/25)*AA43+(1-EXP(-LN(2)/25))/(LN(2)/25)*Calculateur!V44*Calculateur!X44*VLOOKUP('Données projet'!$B$9,Paramètres!$A$1:$I$89,3,0)*0.475*44/12</f>
        <v>28.570902599141863</v>
      </c>
      <c r="AB44" s="21">
        <f>EXP(-LN(2)/2)*AB43+(1-EXP(-LN(2)/2))/(LN(2)/2)*V44*Y44*VLOOKUP('Données projet'!$B$9,Paramètres!$A$1:$I$89,3,0)*0.475*44/12</f>
        <v>0.80592255312011341</v>
      </c>
      <c r="AC44" s="22">
        <f t="shared" si="3"/>
        <v>38.561239280002454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13.1</v>
      </c>
      <c r="AI44" s="13">
        <f>IF('Données projet'!$A$62&gt;35,AI43+AH44-AQ43,IF(A44&lt;'Données projet'!$A$62,$AF$205^A44,IF(A44='Données projet'!$A$62,'Données projet'!$B$62,AI43+AH44-AQ43)))</f>
        <v>277.09999999999991</v>
      </c>
      <c r="AJ44" s="13">
        <f>AI44*VLOOKUP('Données projet'!$B$10,Paramètres!$A$1:$I$89,3,0)*VLOOKUP('Données projet'!$B$10,Paramètres!$A$1:$I$89,5,0)</f>
        <v>151.29659999999996</v>
      </c>
      <c r="AK44" s="13">
        <f t="shared" si="35"/>
        <v>38.87309486191122</v>
      </c>
      <c r="AL44" s="20">
        <f t="shared" si="4"/>
        <v>331.21221855116193</v>
      </c>
      <c r="AM44" s="59">
        <f t="shared" si="5"/>
        <v>624.54555188449524</v>
      </c>
      <c r="AN44" s="59">
        <f ca="1">AVERAGE(OFFSET($AM$3,0,0,'Données projet'!$E$10+1,1))-AVERAGE(OFFSET($H$3,0,0,'Données projet'!$E$10+1,1))</f>
        <v>248.1486444660062</v>
      </c>
      <c r="AO44" s="59">
        <f t="shared" si="36"/>
        <v>293.34458072322127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6.8504467320651985</v>
      </c>
      <c r="AV44" s="21">
        <f>EXP(-LN(2)/25)*AV43+(1-EXP(-LN(2)/25))/(LN(2)/25)*Calculateur!AQ44*Calculateur!AS44*VLOOKUP('Données projet'!$B$10,Paramètres!$A$1:$I$89,3,0)*0.475*44/12</f>
        <v>25.090395956253573</v>
      </c>
      <c r="AW44" s="21">
        <f>EXP(-LN(2)/2)*AW43+(1-EXP(-LN(2)/2))/(LN(2)/2)*AQ44*AT44*VLOOKUP('Données projet'!$B$10,Paramètres!$A$1:$I$89,3,0)*0.475*44/12</f>
        <v>0.55645825851722286</v>
      </c>
      <c r="AX44" s="21">
        <f t="shared" si="6"/>
        <v>32.497300946835992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432.60000000000008</v>
      </c>
      <c r="O45" s="13">
        <f>N45*VLOOKUP('Données projet'!$B$9,Paramètres!$A$1:$I$89,3,0)*VLOOKUP('Données projet'!$B$9,Paramètres!$A$1:$I$89,5,0)</f>
        <v>241.82340000000005</v>
      </c>
      <c r="P45" s="13">
        <f t="shared" si="33"/>
        <v>58.831670892221915</v>
      </c>
      <c r="Q45" s="20">
        <f t="shared" si="53"/>
        <v>523.64091513728647</v>
      </c>
      <c r="R45" s="59">
        <f t="shared" si="0"/>
        <v>816.97424847061984</v>
      </c>
      <c r="S45" s="59">
        <f ca="1">AVERAGE(OFFSET($R$3,0,0,'Données projet'!$E$9+1,1))-AVERAGE(OFFSET($H$3,0,0,'Données projet'!$E$9+1,1))</f>
        <v>415.91544298418842</v>
      </c>
      <c r="T45" s="59">
        <f t="shared" si="34"/>
        <v>422.79312683312583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9.004313368634957</v>
      </c>
      <c r="AA45" s="21">
        <f>EXP(-LN(2)/25)*AA44+(1-EXP(-LN(2)/25))/(LN(2)/25)*Calculateur!V45*Calculateur!X45*VLOOKUP('Données projet'!$B$9,Paramètres!$A$1:$I$89,3,0)*0.475*44/12</f>
        <v>27.78962976508986</v>
      </c>
      <c r="AB45" s="21">
        <f>EXP(-LN(2)/2)*AB44+(1-EXP(-LN(2)/2))/(LN(2)/2)*V45*Y45*VLOOKUP('Données projet'!$B$9,Paramètres!$A$1:$I$89,3,0)*0.475*44/12</f>
        <v>0.56987330242240775</v>
      </c>
      <c r="AC45" s="22">
        <f t="shared" si="3"/>
        <v>37.363816436147225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13.1</v>
      </c>
      <c r="AI45" s="13">
        <f>IF('Données projet'!$A$62&gt;35,AI44+AH45-AQ44,IF(A45&lt;'Données projet'!$A$62,$AF$205^A45,IF(A45='Données projet'!$A$62,'Données projet'!$B$62,AI44+AH45-AQ44)))</f>
        <v>290.19999999999993</v>
      </c>
      <c r="AJ45" s="13">
        <f>AI45*VLOOKUP('Données projet'!$B$10,Paramètres!$A$1:$I$89,3,0)*VLOOKUP('Données projet'!$B$10,Paramètres!$A$1:$I$89,5,0)</f>
        <v>158.44919999999996</v>
      </c>
      <c r="AK45" s="13">
        <f t="shared" si="35"/>
        <v>40.492530106300926</v>
      </c>
      <c r="AL45" s="20">
        <f t="shared" si="4"/>
        <v>346.49017993514076</v>
      </c>
      <c r="AM45" s="59">
        <f t="shared" si="5"/>
        <v>639.82351326847402</v>
      </c>
      <c r="AN45" s="59">
        <f ca="1">AVERAGE(OFFSET($AM$3,0,0,'Données projet'!$E$10+1,1))-AVERAGE(OFFSET($H$3,0,0,'Données projet'!$E$10+1,1))</f>
        <v>248.1486444660062</v>
      </c>
      <c r="AO45" s="59">
        <f t="shared" si="36"/>
        <v>293.34458072322127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6.7161136500093281</v>
      </c>
      <c r="AV45" s="21">
        <f>EXP(-LN(2)/25)*AV44+(1-EXP(-LN(2)/25))/(LN(2)/25)*Calculateur!AQ45*Calculateur!AS45*VLOOKUP('Données projet'!$B$10,Paramètres!$A$1:$I$89,3,0)*0.475*44/12</f>
        <v>24.40429775938324</v>
      </c>
      <c r="AW45" s="21">
        <f>EXP(-LN(2)/2)*AW44+(1-EXP(-LN(2)/2))/(LN(2)/2)*AQ45*AT45*VLOOKUP('Données projet'!$B$10,Paramètres!$A$1:$I$89,3,0)*0.475*44/12</f>
        <v>0.3934754080447852</v>
      </c>
      <c r="AX45" s="21">
        <f t="shared" si="6"/>
        <v>31.513886817437353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455.40000000000009</v>
      </c>
      <c r="O46" s="13">
        <f>N46*VLOOKUP('Données projet'!$B$9,Paramètres!$A$1:$I$89,3,0)*VLOOKUP('Données projet'!$B$9,Paramètres!$A$1:$I$89,5,0)</f>
        <v>254.56860000000006</v>
      </c>
      <c r="P46" s="13">
        <f t="shared" si="33"/>
        <v>61.563204302796244</v>
      </c>
      <c r="Q46" s="20">
        <f t="shared" si="53"/>
        <v>550.59622582737018</v>
      </c>
      <c r="R46" s="59">
        <f t="shared" si="0"/>
        <v>843.92955916070355</v>
      </c>
      <c r="S46" s="59">
        <f ca="1">AVERAGE(OFFSET($R$3,0,0,'Données projet'!$E$9+1,1))-AVERAGE(OFFSET($H$3,0,0,'Données projet'!$E$9+1,1))</f>
        <v>415.91544298418842</v>
      </c>
      <c r="T46" s="59">
        <f t="shared" si="34"/>
        <v>422.79312683312583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8.8277442755648821</v>
      </c>
      <c r="AA46" s="21">
        <f>EXP(-LN(2)/25)*AA45+(1-EXP(-LN(2)/25))/(LN(2)/25)*Calculateur!V46*Calculateur!X46*VLOOKUP('Données projet'!$B$9,Paramètres!$A$1:$I$89,3,0)*0.475*44/12</f>
        <v>27.029720877770362</v>
      </c>
      <c r="AB46" s="21">
        <f>EXP(-LN(2)/2)*AB45+(1-EXP(-LN(2)/2))/(LN(2)/2)*V46*Y46*VLOOKUP('Données projet'!$B$9,Paramètres!$A$1:$I$89,3,0)*0.475*44/12</f>
        <v>0.4029612765600567</v>
      </c>
      <c r="AC46" s="22">
        <f t="shared" si="3"/>
        <v>36.260426429895297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13.1</v>
      </c>
      <c r="AI46" s="13">
        <f>IF('Données projet'!$A$62&gt;35,AI45+AH46-AQ45,IF(A46&lt;'Données projet'!$A$62,$AF$205^A46,IF(A46='Données projet'!$A$62,'Données projet'!$B$62,AI45+AH46-AQ45)))</f>
        <v>303.29999999999995</v>
      </c>
      <c r="AJ46" s="13">
        <f>AI46*VLOOKUP('Données projet'!$B$10,Paramètres!$A$1:$I$89,3,0)*VLOOKUP('Données projet'!$B$10,Paramètres!$A$1:$I$89,5,0)</f>
        <v>165.60179999999997</v>
      </c>
      <c r="AK46" s="13">
        <f t="shared" si="35"/>
        <v>42.103475388783878</v>
      </c>
      <c r="AL46" s="20">
        <f t="shared" si="4"/>
        <v>361.7533546354652</v>
      </c>
      <c r="AM46" s="59">
        <f t="shared" si="5"/>
        <v>655.08668796879851</v>
      </c>
      <c r="AN46" s="59">
        <f ca="1">AVERAGE(OFFSET($AM$3,0,0,'Données projet'!$E$10+1,1))-AVERAGE(OFFSET($H$3,0,0,'Données projet'!$E$10+1,1))</f>
        <v>248.1486444660062</v>
      </c>
      <c r="AO46" s="59">
        <f t="shared" si="36"/>
        <v>293.34458072322127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6.5844147577574832</v>
      </c>
      <c r="AV46" s="21">
        <f>EXP(-LN(2)/25)*AV45+(1-EXP(-LN(2)/25))/(LN(2)/25)*Calculateur!AQ46*Calculateur!AS46*VLOOKUP('Données projet'!$B$10,Paramètres!$A$1:$I$89,3,0)*0.475*44/12</f>
        <v>23.736960953786664</v>
      </c>
      <c r="AW46" s="21">
        <f>EXP(-LN(2)/2)*AW45+(1-EXP(-LN(2)/2))/(LN(2)/2)*AQ46*AT46*VLOOKUP('Données projet'!$B$10,Paramètres!$A$1:$I$89,3,0)*0.475*44/12</f>
        <v>0.27822912925861143</v>
      </c>
      <c r="AX46" s="21">
        <f t="shared" si="6"/>
        <v>30.599604840802758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478.2000000000001</v>
      </c>
      <c r="O47" s="13">
        <f>N47*VLOOKUP('Données projet'!$B$9,Paramètres!$A$1:$I$89,3,0)*VLOOKUP('Données projet'!$B$9,Paramètres!$A$1:$I$89,5,0)</f>
        <v>267.31380000000007</v>
      </c>
      <c r="P47" s="13">
        <f t="shared" si="33"/>
        <v>64.278858533693665</v>
      </c>
      <c r="Q47" s="20">
        <f t="shared" si="53"/>
        <v>577.52388027951656</v>
      </c>
      <c r="R47" s="59">
        <f t="shared" si="0"/>
        <v>870.85721361284982</v>
      </c>
      <c r="S47" s="59">
        <f ca="1">AVERAGE(OFFSET($R$3,0,0,'Données projet'!$E$9+1,1))-AVERAGE(OFFSET($H$3,0,0,'Données projet'!$E$9+1,1))</f>
        <v>415.91544298418842</v>
      </c>
      <c r="T47" s="59">
        <f t="shared" si="34"/>
        <v>422.79312683312583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8.6546375947133978</v>
      </c>
      <c r="AA47" s="21">
        <f>EXP(-LN(2)/25)*AA46+(1-EXP(-LN(2)/25))/(LN(2)/25)*Calculateur!V47*Calculateur!X47*VLOOKUP('Données projet'!$B$9,Paramètres!$A$1:$I$89,3,0)*0.475*44/12</f>
        <v>26.290591738936488</v>
      </c>
      <c r="AB47" s="21">
        <f>EXP(-LN(2)/2)*AB46+(1-EXP(-LN(2)/2))/(LN(2)/2)*V47*Y47*VLOOKUP('Données projet'!$B$9,Paramètres!$A$1:$I$89,3,0)*0.475*44/12</f>
        <v>0.28493665121120387</v>
      </c>
      <c r="AC47" s="22">
        <f t="shared" si="3"/>
        <v>35.230165984861088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13.1</v>
      </c>
      <c r="AI47" s="13">
        <f>IF('Données projet'!$A$62&gt;35,AI46+AH47-AQ46,IF(A47&lt;'Données projet'!$A$62,$AF$205^A47,IF(A47='Données projet'!$A$62,'Données projet'!$B$62,AI46+AH47-AQ46)))</f>
        <v>316.39999999999998</v>
      </c>
      <c r="AJ47" s="13">
        <f>AI47*VLOOKUP('Données projet'!$B$10,Paramètres!$A$1:$I$89,3,0)*VLOOKUP('Données projet'!$B$10,Paramètres!$A$1:$I$89,5,0)</f>
        <v>172.75439999999998</v>
      </c>
      <c r="AK47" s="13">
        <f t="shared" si="35"/>
        <v>43.706339319278051</v>
      </c>
      <c r="AL47" s="20">
        <f t="shared" si="4"/>
        <v>377.00245431440914</v>
      </c>
      <c r="AM47" s="59">
        <f t="shared" si="5"/>
        <v>670.33578764774245</v>
      </c>
      <c r="AN47" s="59">
        <f ca="1">AVERAGE(OFFSET($AM$3,0,0,'Données projet'!$E$10+1,1))-AVERAGE(OFFSET($H$3,0,0,'Données projet'!$E$10+1,1))</f>
        <v>248.1486444660062</v>
      </c>
      <c r="AO47" s="59">
        <f t="shared" si="36"/>
        <v>293.34458072322127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6.4552984004543044</v>
      </c>
      <c r="AV47" s="21">
        <f>EXP(-LN(2)/25)*AV46+(1-EXP(-LN(2)/25))/(LN(2)/25)*Calculateur!AQ47*Calculateur!AS47*VLOOKUP('Données projet'!$B$10,Paramètres!$A$1:$I$89,3,0)*0.475*44/12</f>
        <v>23.087872508232842</v>
      </c>
      <c r="AW47" s="21">
        <f>EXP(-LN(2)/2)*AW46+(1-EXP(-LN(2)/2))/(LN(2)/2)*AQ47*AT47*VLOOKUP('Données projet'!$B$10,Paramètres!$A$1:$I$89,3,0)*0.475*44/12</f>
        <v>0.1967377040223926</v>
      </c>
      <c r="AX47" s="21">
        <f t="shared" si="6"/>
        <v>29.739908612709538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501.00000000000011</v>
      </c>
      <c r="O48" s="13">
        <f>N48*VLOOKUP('Données projet'!$B$9,Paramètres!$A$1:$I$89,3,0)*VLOOKUP('Données projet'!$B$9,Paramètres!$A$1:$I$89,5,0)</f>
        <v>280.05900000000008</v>
      </c>
      <c r="P48" s="13">
        <f t="shared" si="33"/>
        <v>66.979477124262175</v>
      </c>
      <c r="Q48" s="20">
        <f t="shared" si="53"/>
        <v>604.42534765809012</v>
      </c>
      <c r="R48" s="59">
        <f t="shared" si="0"/>
        <v>897.75868099142349</v>
      </c>
      <c r="S48" s="59">
        <f ca="1">AVERAGE(OFFSET($R$3,0,0,'Données projet'!$E$9+1,1))-AVERAGE(OFFSET($H$3,0,0,'Données projet'!$E$9+1,1))</f>
        <v>415.91544298418842</v>
      </c>
      <c r="T48" s="59">
        <f t="shared" si="34"/>
        <v>422.79312683312583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8.4849254302887616</v>
      </c>
      <c r="AA48" s="21">
        <f>EXP(-LN(2)/25)*AA47+(1-EXP(-LN(2)/25))/(LN(2)/25)*Calculateur!V48*Calculateur!X48*VLOOKUP('Données projet'!$B$9,Paramètres!$A$1:$I$89,3,0)*0.475*44/12</f>
        <v>25.571674125273137</v>
      </c>
      <c r="AB48" s="21">
        <f>EXP(-LN(2)/2)*AB47+(1-EXP(-LN(2)/2))/(LN(2)/2)*V48*Y48*VLOOKUP('Données projet'!$B$9,Paramètres!$A$1:$I$89,3,0)*0.475*44/12</f>
        <v>0.20148063828002835</v>
      </c>
      <c r="AC48" s="22">
        <f t="shared" si="3"/>
        <v>34.258080193841934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13.1</v>
      </c>
      <c r="AI48" s="13">
        <f>IF('Données projet'!$A$62&gt;35,AI47+AH48-AQ47,IF(A48&lt;'Données projet'!$A$62,$AF$205^A48,IF(A48='Données projet'!$A$62,'Données projet'!$B$62,AI47+AH48-AQ47)))</f>
        <v>329.5</v>
      </c>
      <c r="AJ48" s="13">
        <f>AI48*VLOOKUP('Données projet'!$B$10,Paramètres!$A$1:$I$89,3,0)*VLOOKUP('Données projet'!$B$10,Paramètres!$A$1:$I$89,5,0)</f>
        <v>179.90699999999998</v>
      </c>
      <c r="AK48" s="13">
        <f t="shared" si="35"/>
        <v>45.301494757695771</v>
      </c>
      <c r="AL48" s="20">
        <f t="shared" si="4"/>
        <v>392.2381283696534</v>
      </c>
      <c r="AM48" s="59">
        <f t="shared" si="5"/>
        <v>685.57146170298665</v>
      </c>
      <c r="AN48" s="59">
        <f ca="1">AVERAGE(OFFSET($AM$3,0,0,'Données projet'!$E$10+1,1))-AVERAGE(OFFSET($H$3,0,0,'Données projet'!$E$10+1,1))</f>
        <v>248.1486444660062</v>
      </c>
      <c r="AO48" s="59">
        <f t="shared" si="36"/>
        <v>293.34458072322127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6.3287139361646396</v>
      </c>
      <c r="AV48" s="21">
        <f>EXP(-LN(2)/25)*AV47+(1-EXP(-LN(2)/25))/(LN(2)/25)*Calculateur!AQ48*Calculateur!AS48*VLOOKUP('Données projet'!$B$10,Paramètres!$A$1:$I$89,3,0)*0.475*44/12</f>
        <v>22.456533420356767</v>
      </c>
      <c r="AW48" s="21">
        <f>EXP(-LN(2)/2)*AW47+(1-EXP(-LN(2)/2))/(LN(2)/2)*AQ48*AT48*VLOOKUP('Données projet'!$B$10,Paramètres!$A$1:$I$89,3,0)*0.475*44/12</f>
        <v>0.13911456462930571</v>
      </c>
      <c r="AX48" s="21">
        <f t="shared" si="6"/>
        <v>28.924361921150712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22.8</v>
      </c>
      <c r="N49" s="13">
        <f>IF('Données projet'!$A$36&gt;35,N48+M49-V48,IF(A49&lt;'Données projet'!$A$36,$K$205^A49,IF(A49='Données projet'!$A$36,'Données projet'!$B$36,N48+M49-V48)))</f>
        <v>523.80000000000007</v>
      </c>
      <c r="O49" s="13">
        <f>N49*VLOOKUP('Données projet'!$B$9,Paramètres!$A$1:$I$89,3,0)*VLOOKUP('Données projet'!$B$9,Paramètres!$A$1:$I$89,5,0)</f>
        <v>292.80420000000004</v>
      </c>
      <c r="P49" s="13">
        <f t="shared" si="33"/>
        <v>69.665822496730271</v>
      </c>
      <c r="Q49" s="20">
        <f t="shared" si="53"/>
        <v>631.30195584847183</v>
      </c>
      <c r="R49" s="59">
        <f t="shared" si="0"/>
        <v>924.63528918180509</v>
      </c>
      <c r="S49" s="59">
        <f ca="1">AVERAGE(OFFSET($R$3,0,0,'Données projet'!$E$9+1,1))-AVERAGE(OFFSET($H$3,0,0,'Données projet'!$E$9+1,1))</f>
        <v>415.91544298418842</v>
      </c>
      <c r="T49" s="59">
        <f t="shared" si="34"/>
        <v>422.79312683312583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8.3185412178942943</v>
      </c>
      <c r="AA49" s="21">
        <f>EXP(-LN(2)/25)*AA48+(1-EXP(-LN(2)/25))/(LN(2)/25)*Calculateur!V49*Calculateur!X49*VLOOKUP('Données projet'!$B$9,Paramètres!$A$1:$I$89,3,0)*0.475*44/12</f>
        <v>24.872415351561646</v>
      </c>
      <c r="AB49" s="21">
        <f>EXP(-LN(2)/2)*AB48+(1-EXP(-LN(2)/2))/(LN(2)/2)*V49*Y49*VLOOKUP('Données projet'!$B$9,Paramètres!$A$1:$I$89,3,0)*0.475*44/12</f>
        <v>0.14246832560560194</v>
      </c>
      <c r="AC49" s="22">
        <f t="shared" si="3"/>
        <v>33.33342489506154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13.1</v>
      </c>
      <c r="AI49" s="13">
        <f>IF('Données projet'!$A$62&gt;35,AI48+AH49-AQ48,IF(A49&lt;'Données projet'!$A$62,$AF$205^A49,IF(A49='Données projet'!$A$62,'Données projet'!$B$62,AI48+AH49-AQ48)))</f>
        <v>342.6</v>
      </c>
      <c r="AJ49" s="13">
        <f>AI49*VLOOKUP('Données projet'!$B$10,Paramètres!$A$1:$I$89,3,0)*VLOOKUP('Données projet'!$B$10,Paramètres!$A$1:$I$89,5,0)</f>
        <v>187.05959999999999</v>
      </c>
      <c r="AK49" s="13">
        <f t="shared" si="35"/>
        <v>46.889283237928609</v>
      </c>
      <c r="AL49" s="20">
        <f t="shared" si="4"/>
        <v>407.46097163939231</v>
      </c>
      <c r="AM49" s="59">
        <f t="shared" si="5"/>
        <v>700.79430497272563</v>
      </c>
      <c r="AN49" s="59">
        <f ca="1">AVERAGE(OFFSET($AM$3,0,0,'Données projet'!$E$10+1,1))-AVERAGE(OFFSET($H$3,0,0,'Données projet'!$E$10+1,1))</f>
        <v>248.1486444660062</v>
      </c>
      <c r="AO49" s="59">
        <f t="shared" si="36"/>
        <v>293.34458072322127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6.2046117160107954</v>
      </c>
      <c r="AV49" s="21">
        <f>EXP(-LN(2)/25)*AV48+(1-EXP(-LN(2)/25))/(LN(2)/25)*Calculateur!AQ49*Calculateur!AS49*VLOOKUP('Données projet'!$B$10,Paramètres!$A$1:$I$89,3,0)*0.475*44/12</f>
        <v>21.842458333039342</v>
      </c>
      <c r="AW49" s="21">
        <f>EXP(-LN(2)/2)*AW48+(1-EXP(-LN(2)/2))/(LN(2)/2)*AQ49*AT49*VLOOKUP('Données projet'!$B$10,Paramètres!$A$1:$I$89,3,0)*0.475*44/12</f>
        <v>9.8368852011196301E-2</v>
      </c>
      <c r="AX49" s="21">
        <f t="shared" si="6"/>
        <v>28.145438901061333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22.8</v>
      </c>
      <c r="N50" s="13">
        <f>IF('Données projet'!$A$36&gt;35,N49+M50-V49,IF(A50&lt;'Données projet'!$A$36,$K$205^A50,IF(A50='Données projet'!$A$36,'Données projet'!$B$36,N49+M50-V49)))</f>
        <v>546.6</v>
      </c>
      <c r="O50" s="13">
        <f>N50*VLOOKUP('Données projet'!$B$9,Paramètres!$A$1:$I$89,3,0)*VLOOKUP('Données projet'!$B$9,Paramètres!$A$1:$I$89,5,0)</f>
        <v>305.54940000000005</v>
      </c>
      <c r="P50" s="13">
        <f t="shared" si="33"/>
        <v>72.338586946416783</v>
      </c>
      <c r="Q50" s="20">
        <f t="shared" si="53"/>
        <v>658.15491059834255</v>
      </c>
      <c r="R50" s="59">
        <f t="shared" si="0"/>
        <v>951.48824393167592</v>
      </c>
      <c r="S50" s="59">
        <f ca="1">AVERAGE(OFFSET($R$3,0,0,'Données projet'!$E$9+1,1))-AVERAGE(OFFSET($H$3,0,0,'Données projet'!$E$9+1,1))</f>
        <v>415.91544298418842</v>
      </c>
      <c r="T50" s="59">
        <f t="shared" si="34"/>
        <v>422.79312683312583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8.1554196984205323</v>
      </c>
      <c r="AA50" s="21">
        <f>EXP(-LN(2)/25)*AA49+(1-EXP(-LN(2)/25))/(LN(2)/25)*Calculateur!V50*Calculateur!X50*VLOOKUP('Données projet'!$B$9,Paramètres!$A$1:$I$89,3,0)*0.475*44/12</f>
        <v>24.192277845789715</v>
      </c>
      <c r="AB50" s="21">
        <f>EXP(-LN(2)/2)*AB49+(1-EXP(-LN(2)/2))/(LN(2)/2)*V50*Y50*VLOOKUP('Données projet'!$B$9,Paramètres!$A$1:$I$89,3,0)*0.475*44/12</f>
        <v>0.10074031914001418</v>
      </c>
      <c r="AC50" s="22">
        <f t="shared" si="3"/>
        <v>32.448437863350264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13.1</v>
      </c>
      <c r="AI50" s="13">
        <f>IF('Données projet'!$A$62&gt;35,AI49+AH50-AQ49,IF(A50&lt;'Données projet'!$A$62,$AF$205^A50,IF(A50='Données projet'!$A$62,'Données projet'!$B$62,AI49+AH50-AQ49)))</f>
        <v>355.70000000000005</v>
      </c>
      <c r="AJ50" s="13">
        <f>AI50*VLOOKUP('Données projet'!$B$10,Paramètres!$A$1:$I$89,3,0)*VLOOKUP('Données projet'!$B$10,Paramètres!$A$1:$I$89,5,0)</f>
        <v>194.21220000000002</v>
      </c>
      <c r="AK50" s="13">
        <f t="shared" si="35"/>
        <v>48.470018696162889</v>
      </c>
      <c r="AL50" s="20">
        <f t="shared" si="4"/>
        <v>422.67153089581711</v>
      </c>
      <c r="AM50" s="59">
        <f t="shared" si="5"/>
        <v>716.00486422915037</v>
      </c>
      <c r="AN50" s="59">
        <f ca="1">AVERAGE(OFFSET($AM$3,0,0,'Données projet'!$E$10+1,1))-AVERAGE(OFFSET($H$3,0,0,'Données projet'!$E$10+1,1))</f>
        <v>248.1486444660062</v>
      </c>
      <c r="AO50" s="59">
        <f t="shared" si="36"/>
        <v>293.34458072322127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6.0829430646992879</v>
      </c>
      <c r="AV50" s="21">
        <f>EXP(-LN(2)/25)*AV49+(1-EXP(-LN(2)/25))/(LN(2)/25)*Calculateur!AQ50*Calculateur!AS50*VLOOKUP('Données projet'!$B$10,Paramètres!$A$1:$I$89,3,0)*0.475*44/12</f>
        <v>21.24517516127742</v>
      </c>
      <c r="AW50" s="21">
        <f>EXP(-LN(2)/2)*AW49+(1-EXP(-LN(2)/2))/(LN(2)/2)*AQ50*AT50*VLOOKUP('Données projet'!$B$10,Paramètres!$A$1:$I$89,3,0)*0.475*44/12</f>
        <v>6.9557282314652857E-2</v>
      </c>
      <c r="AX50" s="21">
        <f t="shared" si="6"/>
        <v>27.397675508291361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22.8</v>
      </c>
      <c r="N51" s="13">
        <f>IF('Données projet'!$A$36&gt;35,N50+M51-V50,IF(A51&lt;'Données projet'!$A$36,$K$205^A51,IF(A51='Données projet'!$A$36,'Données projet'!$B$36,N50+M51-V50)))</f>
        <v>569.4</v>
      </c>
      <c r="O51" s="13">
        <f>N51*VLOOKUP('Données projet'!$B$9,Paramètres!$A$1:$I$89,3,0)*VLOOKUP('Données projet'!$B$9,Paramètres!$A$1:$I$89,5,0)</f>
        <v>318.2946</v>
      </c>
      <c r="P51" s="13">
        <f t="shared" si="33"/>
        <v>74.998401746556283</v>
      </c>
      <c r="Q51" s="20">
        <f t="shared" si="53"/>
        <v>684.98531137525208</v>
      </c>
      <c r="R51" s="59">
        <f t="shared" si="0"/>
        <v>978.31864470858545</v>
      </c>
      <c r="S51" s="59">
        <f ca="1">AVERAGE(OFFSET($R$3,0,0,'Données projet'!$E$9+1,1))-AVERAGE(OFFSET($H$3,0,0,'Données projet'!$E$9+1,1))</f>
        <v>415.91544298418842</v>
      </c>
      <c r="T51" s="59">
        <f t="shared" si="34"/>
        <v>422.79312683312583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7.9954968924493492</v>
      </c>
      <c r="AA51" s="21">
        <f>EXP(-LN(2)/25)*AA50+(1-EXP(-LN(2)/25))/(LN(2)/25)*Calculateur!V51*Calculateur!X51*VLOOKUP('Données projet'!$B$9,Paramètres!$A$1:$I$89,3,0)*0.475*44/12</f>
        <v>23.530738735879996</v>
      </c>
      <c r="AB51" s="21">
        <f>EXP(-LN(2)/2)*AB50+(1-EXP(-LN(2)/2))/(LN(2)/2)*V51*Y51*VLOOKUP('Données projet'!$B$9,Paramètres!$A$1:$I$89,3,0)*0.475*44/12</f>
        <v>7.1234162802800968E-2</v>
      </c>
      <c r="AC51" s="22">
        <f t="shared" si="3"/>
        <v>31.597469791132145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13.1</v>
      </c>
      <c r="AI51" s="13">
        <f>IF('Données projet'!$A$62&gt;35,AI50+AH51-AQ50,IF(A51&lt;'Données projet'!$A$62,$AF$205^A51,IF(A51='Données projet'!$A$62,'Données projet'!$B$62,AI50+AH51-AQ50)))</f>
        <v>368.80000000000007</v>
      </c>
      <c r="AJ51" s="13">
        <f>AI51*VLOOKUP('Données projet'!$B$10,Paramètres!$A$1:$I$89,3,0)*VLOOKUP('Données projet'!$B$10,Paramètres!$A$1:$I$89,5,0)</f>
        <v>201.36480000000003</v>
      </c>
      <c r="AK51" s="13">
        <f t="shared" si="35"/>
        <v>50.04399063451806</v>
      </c>
      <c r="AL51" s="20">
        <f t="shared" si="4"/>
        <v>437.87031035511899</v>
      </c>
      <c r="AM51" s="59">
        <f t="shared" si="5"/>
        <v>731.2036436884523</v>
      </c>
      <c r="AN51" s="59">
        <f ca="1">AVERAGE(OFFSET($AM$3,0,0,'Données projet'!$E$10+1,1))-AVERAGE(OFFSET($H$3,0,0,'Données projet'!$E$10+1,1))</f>
        <v>248.1486444660062</v>
      </c>
      <c r="AO51" s="59">
        <f t="shared" si="36"/>
        <v>293.34458072322127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5.9636602614294496</v>
      </c>
      <c r="AV51" s="21">
        <f>EXP(-LN(2)/25)*AV50+(1-EXP(-LN(2)/25))/(LN(2)/25)*Calculateur!AQ51*Calculateur!AS51*VLOOKUP('Données projet'!$B$10,Paramètres!$A$1:$I$89,3,0)*0.475*44/12</f>
        <v>20.664224729257082</v>
      </c>
      <c r="AW51" s="21">
        <f>EXP(-LN(2)/2)*AW50+(1-EXP(-LN(2)/2))/(LN(2)/2)*AQ51*AT51*VLOOKUP('Données projet'!$B$10,Paramètres!$A$1:$I$89,3,0)*0.475*44/12</f>
        <v>4.918442600559815E-2</v>
      </c>
      <c r="AX51" s="21">
        <f t="shared" si="6"/>
        <v>26.677069416692131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22.8</v>
      </c>
      <c r="N52" s="13">
        <f>IF('Données projet'!$A$36&gt;35,N51+M52-V51,IF(A52&lt;'Données projet'!$A$36,$K$205^A52,IF(A52='Données projet'!$A$36,'Données projet'!$B$36,N51+M52-V51)))</f>
        <v>592.19999999999993</v>
      </c>
      <c r="O52" s="13">
        <f>N52*VLOOKUP('Données projet'!$B$9,Paramètres!$A$1:$I$89,3,0)*VLOOKUP('Données projet'!$B$9,Paramètres!$A$1:$I$89,5,0)</f>
        <v>331.03979999999996</v>
      </c>
      <c r="P52" s="13">
        <f t="shared" si="33"/>
        <v>77.64584475376725</v>
      </c>
      <c r="Q52" s="20">
        <f t="shared" si="53"/>
        <v>711.79416461281119</v>
      </c>
      <c r="R52" s="59">
        <f t="shared" si="0"/>
        <v>1005.1274979461446</v>
      </c>
      <c r="S52" s="59">
        <f ca="1">AVERAGE(OFFSET($R$3,0,0,'Données projet'!$E$9+1,1))-AVERAGE(OFFSET($H$3,0,0,'Données projet'!$E$9+1,1))</f>
        <v>415.91544298418842</v>
      </c>
      <c r="T52" s="59">
        <f t="shared" si="34"/>
        <v>422.79312683312583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7.8387100751599803</v>
      </c>
      <c r="AA52" s="21">
        <f>EXP(-LN(2)/25)*AA51+(1-EXP(-LN(2)/25))/(LN(2)/25)*Calculateur!V52*Calculateur!X52*VLOOKUP('Données projet'!$B$9,Paramètres!$A$1:$I$89,3,0)*0.475*44/12</f>
        <v>22.887289447719589</v>
      </c>
      <c r="AB52" s="21">
        <f>EXP(-LN(2)/2)*AB51+(1-EXP(-LN(2)/2))/(LN(2)/2)*V52*Y52*VLOOKUP('Données projet'!$B$9,Paramètres!$A$1:$I$89,3,0)*0.475*44/12</f>
        <v>5.0370159570007088E-2</v>
      </c>
      <c r="AC52" s="22">
        <f t="shared" si="3"/>
        <v>30.776369682449577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13.1</v>
      </c>
      <c r="AI52" s="13">
        <f>IF('Données projet'!$A$62&gt;35,AI51+AH52-AQ51,IF(A52&lt;'Données projet'!$A$62,$AF$205^A52,IF(A52='Données projet'!$A$62,'Données projet'!$B$62,AI51+AH52-AQ51)))</f>
        <v>381.90000000000009</v>
      </c>
      <c r="AJ52" s="13">
        <f>AI52*VLOOKUP('Données projet'!$B$10,Paramètres!$A$1:$I$89,3,0)*VLOOKUP('Données projet'!$B$10,Paramètres!$A$1:$I$89,5,0)</f>
        <v>208.51740000000004</v>
      </c>
      <c r="AK52" s="13">
        <f t="shared" si="35"/>
        <v>51.611466822557574</v>
      </c>
      <c r="AL52" s="20">
        <f t="shared" si="4"/>
        <v>453.05777638262111</v>
      </c>
      <c r="AM52" s="59">
        <f t="shared" si="5"/>
        <v>746.39110971595437</v>
      </c>
      <c r="AN52" s="59">
        <f ca="1">AVERAGE(OFFSET($AM$3,0,0,'Données projet'!$E$10+1,1))-AVERAGE(OFFSET($H$3,0,0,'Données projet'!$E$10+1,1))</f>
        <v>248.1486444660062</v>
      </c>
      <c r="AO52" s="59">
        <f t="shared" si="36"/>
        <v>293.34458072322127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5.8467165211764067</v>
      </c>
      <c r="AV52" s="21">
        <f>EXP(-LN(2)/25)*AV51+(1-EXP(-LN(2)/25))/(LN(2)/25)*Calculateur!AQ52*Calculateur!AS52*VLOOKUP('Données projet'!$B$10,Paramètres!$A$1:$I$89,3,0)*0.475*44/12</f>
        <v>20.099160417351197</v>
      </c>
      <c r="AW52" s="21">
        <f>EXP(-LN(2)/2)*AW51+(1-EXP(-LN(2)/2))/(LN(2)/2)*AQ52*AT52*VLOOKUP('Données projet'!$B$10,Paramètres!$A$1:$I$89,3,0)*0.475*44/12</f>
        <v>3.4778641157326429E-2</v>
      </c>
      <c r="AX52" s="21">
        <f t="shared" si="6"/>
        <v>25.980655579684932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615</v>
      </c>
      <c r="L53" s="12">
        <f>VLOOKUP(A53,'Données projet'!$A$35:$I$55,9,0)</f>
        <v>22.8</v>
      </c>
      <c r="M53" s="12">
        <f t="array" ref="M53">INDEX(L:L,MIN(IF(ISNUMBER(L53:L249),ROW(L53:L249),"")))</f>
        <v>22.8</v>
      </c>
      <c r="N53" s="13">
        <f>IF('Données projet'!$A$36&gt;35,N52+M53-V52,IF(A53&lt;'Données projet'!$A$36,$K$205^A53,IF(A53='Données projet'!$A$36,'Données projet'!$B$36,N52+M53-V52)))</f>
        <v>614.99999999999989</v>
      </c>
      <c r="O53" s="13">
        <f>N53*VLOOKUP('Données projet'!$B$9,Paramètres!$A$1:$I$89,3,0)*VLOOKUP('Données projet'!$B$9,Paramètres!$A$1:$I$89,5,0)</f>
        <v>343.78499999999991</v>
      </c>
      <c r="P53" s="13">
        <f t="shared" si="33"/>
        <v>80.281446809317075</v>
      </c>
      <c r="Q53" s="20">
        <f t="shared" si="53"/>
        <v>738.58239485956028</v>
      </c>
      <c r="R53" s="59">
        <f t="shared" si="0"/>
        <v>1031.9157281928935</v>
      </c>
      <c r="S53" s="59">
        <f ca="1">AVERAGE(OFFSET($R$3,0,0,'Données projet'!$E$9+1,1))-AVERAGE(OFFSET($H$3,0,0,'Données projet'!$E$9+1,1))</f>
        <v>415.91544298418842</v>
      </c>
      <c r="T53" s="59">
        <f t="shared" si="34"/>
        <v>422.79312683312583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129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7.6849977517271402</v>
      </c>
      <c r="AA53" s="21">
        <f>EXP(-LN(2)/25)*AA52+(1-EXP(-LN(2)/25))/(LN(2)/25)*Calculateur!V53*Calculateur!X53*VLOOKUP('Données projet'!$B$9,Paramètres!$A$1:$I$89,3,0)*0.475*44/12</f>
        <v>22.261435314181455</v>
      </c>
      <c r="AB53" s="21">
        <f>EXP(-LN(2)/2)*AB52+(1-EXP(-LN(2)/2))/(LN(2)/2)*V53*Y53*VLOOKUP('Données projet'!$B$9,Paramètres!$A$1:$I$89,3,0)*0.475*44/12</f>
        <v>3.5617081401400484E-2</v>
      </c>
      <c r="AC53" s="22">
        <f t="shared" si="3"/>
        <v>29.982050147309995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395</v>
      </c>
      <c r="AG53" s="12">
        <f>VLOOKUP(A53,'Données projet'!$A$61:$I$81,9,0)</f>
        <v>13.1</v>
      </c>
      <c r="AH53" s="12">
        <f t="array" ref="AH53">INDEX(AG:AG,MIN(IF(ISNUMBER(AG53:AG249),ROW(AG53:AG249),"")))</f>
        <v>13.1</v>
      </c>
      <c r="AI53" s="13">
        <f>IF('Données projet'!$A$62&gt;35,AI52+AH53-AQ52,IF(A53&lt;'Données projet'!$A$62,$AF$205^A53,IF(A53='Données projet'!$A$62,'Données projet'!$B$62,AI52+AH53-AQ52)))</f>
        <v>395.00000000000011</v>
      </c>
      <c r="AJ53" s="13">
        <f>AI53*VLOOKUP('Données projet'!$B$10,Paramètres!$A$1:$I$89,3,0)*VLOOKUP('Données projet'!$B$10,Paramètres!$A$1:$I$89,5,0)</f>
        <v>215.67000000000004</v>
      </c>
      <c r="AK53" s="13">
        <f t="shared" si="35"/>
        <v>53.17269561771495</v>
      </c>
      <c r="AL53" s="20">
        <f t="shared" si="4"/>
        <v>468.23436153418692</v>
      </c>
      <c r="AM53" s="59">
        <f t="shared" si="5"/>
        <v>761.56769486752023</v>
      </c>
      <c r="AN53" s="59">
        <f ca="1">AVERAGE(OFFSET($AM$3,0,0,'Données projet'!$E$10+1,1))-AVERAGE(OFFSET($H$3,0,0,'Données projet'!$E$10+1,1))</f>
        <v>248.1486444660062</v>
      </c>
      <c r="AO53" s="59">
        <f t="shared" si="36"/>
        <v>293.34458072322127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75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5.7320659763410875</v>
      </c>
      <c r="AV53" s="21">
        <f>EXP(-LN(2)/25)*AV52+(1-EXP(-LN(2)/25))/(LN(2)/25)*Calculateur!AQ53*Calculateur!AS53*VLOOKUP('Données projet'!$B$10,Paramètres!$A$1:$I$89,3,0)*0.475*44/12</f>
        <v>19.54954781876982</v>
      </c>
      <c r="AW53" s="21">
        <f>EXP(-LN(2)/2)*AW52+(1-EXP(-LN(2)/2))/(LN(2)/2)*AQ53*AT53*VLOOKUP('Données projet'!$B$10,Paramètres!$A$1:$I$89,3,0)*0.475*44/12</f>
        <v>2.4592213002799075E-2</v>
      </c>
      <c r="AX53" s="21">
        <f t="shared" si="6"/>
        <v>25.306206008113705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19.3</v>
      </c>
      <c r="N54" s="13">
        <f>IF('Données projet'!$A$36&gt;35,N53+M54-V53,IF(A54&lt;'Données projet'!$A$36,$K$205^A54,IF(A54='Données projet'!$A$36,'Données projet'!$B$36,N53+M54-V53)))</f>
        <v>505.29999999999984</v>
      </c>
      <c r="O54" s="13">
        <f>N54*VLOOKUP('Données projet'!$B$9,Paramètres!$A$1:$I$89,3,0)*VLOOKUP('Données projet'!$B$9,Paramètres!$A$1:$I$89,5,0)</f>
        <v>282.46269999999993</v>
      </c>
      <c r="P54" s="13">
        <f t="shared" si="33"/>
        <v>67.487182645718548</v>
      </c>
      <c r="Q54" s="20">
        <f t="shared" si="53"/>
        <v>609.49604560795967</v>
      </c>
      <c r="R54" s="59">
        <f t="shared" si="0"/>
        <v>902.82937894129304</v>
      </c>
      <c r="S54" s="59">
        <f ca="1">AVERAGE(OFFSET($R$3,0,0,'Données projet'!$E$9+1,1))-AVERAGE(OFFSET($H$3,0,0,'Données projet'!$E$9+1,1))</f>
        <v>415.91544298418842</v>
      </c>
      <c r="T54" s="59">
        <f t="shared" si="34"/>
        <v>422.79312683312583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7.5342996332015586</v>
      </c>
      <c r="AA54" s="21">
        <f>EXP(-LN(2)/25)*AA53+(1-EXP(-LN(2)/25))/(LN(2)/25)*Calculateur!V54*Calculateur!X54*VLOOKUP('Données projet'!$B$9,Paramètres!$A$1:$I$89,3,0)*0.475*44/12</f>
        <v>21.652695194837158</v>
      </c>
      <c r="AB54" s="21">
        <f>EXP(-LN(2)/2)*AB53+(1-EXP(-LN(2)/2))/(LN(2)/2)*V54*Y54*VLOOKUP('Données projet'!$B$9,Paramètres!$A$1:$I$89,3,0)*0.475*44/12</f>
        <v>2.5185079785003544E-2</v>
      </c>
      <c r="AC54" s="22">
        <f t="shared" si="3"/>
        <v>29.212179907823721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11.3</v>
      </c>
      <c r="AI54" s="13">
        <f>IF('Données projet'!$A$62&gt;35,AI53+AH54-AQ53,IF(A54&lt;'Données projet'!$A$62,$AF$205^A54,IF(A54='Données projet'!$A$62,'Données projet'!$B$62,AI53+AH54-AQ53)))</f>
        <v>331.30000000000013</v>
      </c>
      <c r="AJ54" s="13">
        <f>AI54*VLOOKUP('Données projet'!$B$10,Paramètres!$A$1:$I$89,3,0)*VLOOKUP('Données projet'!$B$10,Paramètres!$A$1:$I$89,5,0)</f>
        <v>180.88980000000006</v>
      </c>
      <c r="AK54" s="13">
        <f t="shared" si="35"/>
        <v>45.520093422801835</v>
      </c>
      <c r="AL54" s="20">
        <f t="shared" si="4"/>
        <v>394.33056437804663</v>
      </c>
      <c r="AM54" s="59">
        <f t="shared" si="5"/>
        <v>687.66389771137995</v>
      </c>
      <c r="AN54" s="59">
        <f ca="1">AVERAGE(OFFSET($AM$3,0,0,'Données projet'!$E$10+1,1))-AVERAGE(OFFSET($H$3,0,0,'Données projet'!$E$10+1,1))</f>
        <v>248.1486444660062</v>
      </c>
      <c r="AO54" s="59">
        <f t="shared" si="36"/>
        <v>293.34458072322127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5.6196636587600617</v>
      </c>
      <c r="AV54" s="21">
        <f>EXP(-LN(2)/25)*AV53+(1-EXP(-LN(2)/25))/(LN(2)/25)*Calculateur!AQ54*Calculateur!AS54*VLOOKUP('Données projet'!$B$10,Paramètres!$A$1:$I$89,3,0)*0.475*44/12</f>
        <v>19.014964405599521</v>
      </c>
      <c r="AW54" s="21">
        <f>EXP(-LN(2)/2)*AW53+(1-EXP(-LN(2)/2))/(LN(2)/2)*AQ54*AT54*VLOOKUP('Données projet'!$B$10,Paramètres!$A$1:$I$89,3,0)*0.475*44/12</f>
        <v>1.7389320578663214E-2</v>
      </c>
      <c r="AX54" s="21">
        <f t="shared" si="6"/>
        <v>24.652017384938244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19.3</v>
      </c>
      <c r="N55" s="13">
        <f>IF('Données projet'!$A$36&gt;35,N54+M55-V54,IF(A55&lt;'Données projet'!$A$36,$K$205^A55,IF(A55='Données projet'!$A$36,'Données projet'!$B$36,N54+M55-V54)))</f>
        <v>524.5999999999998</v>
      </c>
      <c r="O55" s="13">
        <f>N55*VLOOKUP('Données projet'!$B$9,Paramètres!$A$1:$I$89,3,0)*VLOOKUP('Données projet'!$B$9,Paramètres!$A$1:$I$89,5,0)</f>
        <v>293.25139999999988</v>
      </c>
      <c r="P55" s="13">
        <f t="shared" si="33"/>
        <v>69.759829754702025</v>
      </c>
      <c r="Q55" s="20">
        <f t="shared" si="53"/>
        <v>632.2445584894391</v>
      </c>
      <c r="R55" s="59">
        <f t="shared" si="0"/>
        <v>925.57789182277247</v>
      </c>
      <c r="S55" s="59">
        <f ca="1">AVERAGE(OFFSET($R$3,0,0,'Données projet'!$E$9+1,1))-AVERAGE(OFFSET($H$3,0,0,'Données projet'!$E$9+1,1))</f>
        <v>415.91544298418842</v>
      </c>
      <c r="T55" s="59">
        <f t="shared" si="34"/>
        <v>422.79312683312583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7.3865566128634876</v>
      </c>
      <c r="AA55" s="21">
        <f>EXP(-LN(2)/25)*AA54+(1-EXP(-LN(2)/25))/(LN(2)/25)*Calculateur!V55*Calculateur!X55*VLOOKUP('Données projet'!$B$9,Paramètres!$A$1:$I$89,3,0)*0.475*44/12</f>
        <v>21.060601106068582</v>
      </c>
      <c r="AB55" s="21">
        <f>EXP(-LN(2)/2)*AB54+(1-EXP(-LN(2)/2))/(LN(2)/2)*V55*Y55*VLOOKUP('Données projet'!$B$9,Paramètres!$A$1:$I$89,3,0)*0.475*44/12</f>
        <v>1.7808540700700242E-2</v>
      </c>
      <c r="AC55" s="22">
        <f t="shared" si="3"/>
        <v>28.464966259632767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11.3</v>
      </c>
      <c r="AI55" s="13">
        <f>IF('Données projet'!$A$62&gt;35,AI54+AH55-AQ54,IF(A55&lt;'Données projet'!$A$62,$AF$205^A55,IF(A55='Données projet'!$A$62,'Données projet'!$B$62,AI54+AH55-AQ54)))</f>
        <v>342.60000000000014</v>
      </c>
      <c r="AJ55" s="13">
        <f>AI55*VLOOKUP('Données projet'!$B$10,Paramètres!$A$1:$I$89,3,0)*VLOOKUP('Données projet'!$B$10,Paramètres!$A$1:$I$89,5,0)</f>
        <v>187.05960000000007</v>
      </c>
      <c r="AK55" s="13">
        <f t="shared" si="35"/>
        <v>46.889283237928652</v>
      </c>
      <c r="AL55" s="20">
        <f t="shared" si="4"/>
        <v>407.46097163939248</v>
      </c>
      <c r="AM55" s="59">
        <f t="shared" si="5"/>
        <v>700.79430497272574</v>
      </c>
      <c r="AN55" s="59">
        <f ca="1">AVERAGE(OFFSET($AM$3,0,0,'Données projet'!$E$10+1,1))-AVERAGE(OFFSET($H$3,0,0,'Données projet'!$E$10+1,1))</f>
        <v>248.1486444660062</v>
      </c>
      <c r="AO55" s="59">
        <f t="shared" si="36"/>
        <v>293.34458072322127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5.5094654820681557</v>
      </c>
      <c r="AV55" s="21">
        <f>EXP(-LN(2)/25)*AV54+(1-EXP(-LN(2)/25))/(LN(2)/25)*Calculateur!AQ55*Calculateur!AS55*VLOOKUP('Données projet'!$B$10,Paramètres!$A$1:$I$89,3,0)*0.475*44/12</f>
        <v>18.494999203974885</v>
      </c>
      <c r="AW55" s="21">
        <f>EXP(-LN(2)/2)*AW54+(1-EXP(-LN(2)/2))/(LN(2)/2)*AQ55*AT55*VLOOKUP('Données projet'!$B$10,Paramètres!$A$1:$I$89,3,0)*0.475*44/12</f>
        <v>1.2296106501399538E-2</v>
      </c>
      <c r="AX55" s="21">
        <f t="shared" si="6"/>
        <v>24.016760792544439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19.3</v>
      </c>
      <c r="N56" s="13">
        <f>IF('Données projet'!$A$36&gt;35,N55+M56-V55,IF(A56&lt;'Données projet'!$A$36,$K$205^A56,IF(A56='Données projet'!$A$36,'Données projet'!$B$36,N55+M56-V55)))</f>
        <v>543.89999999999975</v>
      </c>
      <c r="O56" s="13">
        <f>N56*VLOOKUP('Données projet'!$B$9,Paramètres!$A$1:$I$89,3,0)*VLOOKUP('Données projet'!$B$9,Paramètres!$A$1:$I$89,5,0)</f>
        <v>304.04009999999988</v>
      </c>
      <c r="P56" s="13">
        <f t="shared" si="33"/>
        <v>72.022763091018376</v>
      </c>
      <c r="Q56" s="20">
        <f t="shared" si="53"/>
        <v>654.97615321685669</v>
      </c>
      <c r="R56" s="59">
        <f t="shared" si="0"/>
        <v>948.30948655019006</v>
      </c>
      <c r="S56" s="59">
        <f ca="1">AVERAGE(OFFSET($R$3,0,0,'Données projet'!$E$9+1,1))-AVERAGE(OFFSET($H$3,0,0,'Données projet'!$E$9+1,1))</f>
        <v>415.91544298418842</v>
      </c>
      <c r="T56" s="59">
        <f t="shared" si="34"/>
        <v>422.79312683312583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7.2417107430399019</v>
      </c>
      <c r="AA56" s="21">
        <f>EXP(-LN(2)/25)*AA55+(1-EXP(-LN(2)/25))/(LN(2)/25)*Calculateur!V56*Calculateur!X56*VLOOKUP('Données projet'!$B$9,Paramètres!$A$1:$I$89,3,0)*0.475*44/12</f>
        <v>20.484697861294258</v>
      </c>
      <c r="AB56" s="21">
        <f>EXP(-LN(2)/2)*AB55+(1-EXP(-LN(2)/2))/(LN(2)/2)*V56*Y56*VLOOKUP('Données projet'!$B$9,Paramètres!$A$1:$I$89,3,0)*0.475*44/12</f>
        <v>1.2592539892501772E-2</v>
      </c>
      <c r="AC56" s="22">
        <f t="shared" si="3"/>
        <v>27.739001144226663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11.3</v>
      </c>
      <c r="AI56" s="13">
        <f>IF('Données projet'!$A$62&gt;35,AI55+AH56-AQ55,IF(A56&lt;'Données projet'!$A$62,$AF$205^A56,IF(A56='Données projet'!$A$62,'Données projet'!$B$62,AI55+AH56-AQ55)))</f>
        <v>353.90000000000015</v>
      </c>
      <c r="AJ56" s="13">
        <f>AI56*VLOOKUP('Données projet'!$B$10,Paramètres!$A$1:$I$89,3,0)*VLOOKUP('Données projet'!$B$10,Paramètres!$A$1:$I$89,5,0)</f>
        <v>193.22940000000008</v>
      </c>
      <c r="AK56" s="13">
        <f t="shared" si="35"/>
        <v>48.253225491879554</v>
      </c>
      <c r="AL56" s="20">
        <f t="shared" si="4"/>
        <v>420.5822393983571</v>
      </c>
      <c r="AM56" s="59">
        <f t="shared" si="5"/>
        <v>713.91557273169042</v>
      </c>
      <c r="AN56" s="59">
        <f ca="1">AVERAGE(OFFSET($AM$3,0,0,'Données projet'!$E$10+1,1))-AVERAGE(OFFSET($H$3,0,0,'Données projet'!$E$10+1,1))</f>
        <v>248.1486444660062</v>
      </c>
      <c r="AO56" s="59">
        <f t="shared" si="36"/>
        <v>293.34458072322127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5.4014282244069269</v>
      </c>
      <c r="AV56" s="21">
        <f>EXP(-LN(2)/25)*AV55+(1-EXP(-LN(2)/25))/(LN(2)/25)*Calculateur!AQ56*Calculateur!AS56*VLOOKUP('Données projet'!$B$10,Paramètres!$A$1:$I$89,3,0)*0.475*44/12</f>
        <v>17.989252478132453</v>
      </c>
      <c r="AW56" s="21">
        <f>EXP(-LN(2)/2)*AW55+(1-EXP(-LN(2)/2))/(LN(2)/2)*AQ56*AT56*VLOOKUP('Données projet'!$B$10,Paramètres!$A$1:$I$89,3,0)*0.475*44/12</f>
        <v>8.6946602893316072E-3</v>
      </c>
      <c r="AX56" s="21">
        <f t="shared" si="6"/>
        <v>23.399375362828714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19.3</v>
      </c>
      <c r="N57" s="13">
        <f>IF('Données projet'!$A$36&gt;35,N56+M57-V56,IF(A57&lt;'Données projet'!$A$36,$K$205^A57,IF(A57='Données projet'!$A$36,'Données projet'!$B$36,N56+M57-V56)))</f>
        <v>563.1999999999997</v>
      </c>
      <c r="O57" s="13">
        <f>N57*VLOOKUP('Données projet'!$B$9,Paramètres!$A$1:$I$89,3,0)*VLOOKUP('Données projet'!$B$9,Paramètres!$A$1:$I$89,5,0)</f>
        <v>314.82879999999983</v>
      </c>
      <c r="P57" s="13">
        <f t="shared" si="33"/>
        <v>74.276366834686527</v>
      </c>
      <c r="Q57" s="20">
        <f t="shared" si="53"/>
        <v>677.69149890374536</v>
      </c>
      <c r="R57" s="59">
        <f t="shared" si="0"/>
        <v>971.02483223707873</v>
      </c>
      <c r="S57" s="59">
        <f ca="1">AVERAGE(OFFSET($R$3,0,0,'Données projet'!$E$9+1,1))-AVERAGE(OFFSET($H$3,0,0,'Données projet'!$E$9+1,1))</f>
        <v>415.91544298418842</v>
      </c>
      <c r="T57" s="59">
        <f t="shared" si="34"/>
        <v>422.79312683312583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7.0997052123762998</v>
      </c>
      <c r="AA57" s="21">
        <f>EXP(-LN(2)/25)*AA56+(1-EXP(-LN(2)/25))/(LN(2)/25)*Calculateur!V57*Calculateur!X57*VLOOKUP('Données projet'!$B$9,Paramètres!$A$1:$I$89,3,0)*0.475*44/12</f>
        <v>19.924542721033724</v>
      </c>
      <c r="AB57" s="21">
        <f>EXP(-LN(2)/2)*AB56+(1-EXP(-LN(2)/2))/(LN(2)/2)*V57*Y57*VLOOKUP('Données projet'!$B$9,Paramètres!$A$1:$I$89,3,0)*0.475*44/12</f>
        <v>8.904270350350121E-3</v>
      </c>
      <c r="AC57" s="22">
        <f t="shared" si="3"/>
        <v>27.033152203760373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11.3</v>
      </c>
      <c r="AI57" s="13">
        <f>IF('Données projet'!$A$62&gt;35,AI56+AH57-AQ56,IF(A57&lt;'Données projet'!$A$62,$AF$205^A57,IF(A57='Données projet'!$A$62,'Données projet'!$B$62,AI56+AH57-AQ56)))</f>
        <v>365.20000000000016</v>
      </c>
      <c r="AJ57" s="13">
        <f>AI57*VLOOKUP('Données projet'!$B$10,Paramètres!$A$1:$I$89,3,0)*VLOOKUP('Données projet'!$B$10,Paramètres!$A$1:$I$89,5,0)</f>
        <v>199.39920000000009</v>
      </c>
      <c r="AK57" s="13">
        <f t="shared" si="35"/>
        <v>49.612106959430314</v>
      </c>
      <c r="AL57" s="20">
        <f t="shared" si="4"/>
        <v>433.69469295434129</v>
      </c>
      <c r="AM57" s="59">
        <f t="shared" si="5"/>
        <v>727.02802628767461</v>
      </c>
      <c r="AN57" s="59">
        <f ca="1">AVERAGE(OFFSET($AM$3,0,0,'Données projet'!$E$10+1,1))-AVERAGE(OFFSET($H$3,0,0,'Données projet'!$E$10+1,1))</f>
        <v>248.1486444660062</v>
      </c>
      <c r="AO57" s="59">
        <f t="shared" si="36"/>
        <v>293.34458072322127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5.2955095114722148</v>
      </c>
      <c r="AV57" s="21">
        <f>EXP(-LN(2)/25)*AV56+(1-EXP(-LN(2)/25))/(LN(2)/25)*Calculateur!AQ57*Calculateur!AS57*VLOOKUP('Données projet'!$B$10,Paramètres!$A$1:$I$89,3,0)*0.475*44/12</f>
        <v>17.49733542310425</v>
      </c>
      <c r="AW57" s="21">
        <f>EXP(-LN(2)/2)*AW56+(1-EXP(-LN(2)/2))/(LN(2)/2)*AQ57*AT57*VLOOKUP('Données projet'!$B$10,Paramètres!$A$1:$I$89,3,0)*0.475*44/12</f>
        <v>6.1480532506997688E-3</v>
      </c>
      <c r="AX57" s="21">
        <f t="shared" si="6"/>
        <v>22.798992987827166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19.3</v>
      </c>
      <c r="N58" s="13">
        <f>IF('Données projet'!$A$36&gt;35,N57+M58-V57,IF(A58&lt;'Données projet'!$A$36,$K$205^A58,IF(A58='Données projet'!$A$36,'Données projet'!$B$36,N57+M58-V57)))</f>
        <v>582.49999999999966</v>
      </c>
      <c r="O58" s="13">
        <f>N58*VLOOKUP('Données projet'!$B$9,Paramètres!$A$1:$I$89,3,0)*VLOOKUP('Données projet'!$B$9,Paramètres!$A$1:$I$89,5,0)</f>
        <v>325.61749999999984</v>
      </c>
      <c r="P58" s="13">
        <f t="shared" si="33"/>
        <v>76.520997341690872</v>
      </c>
      <c r="Q58" s="20">
        <f t="shared" si="53"/>
        <v>700.39121620344451</v>
      </c>
      <c r="R58" s="59">
        <f t="shared" si="0"/>
        <v>993.72454953677789</v>
      </c>
      <c r="S58" s="59">
        <f ca="1">AVERAGE(OFFSET($R$3,0,0,'Données projet'!$E$9+1,1))-AVERAGE(OFFSET($H$3,0,0,'Données projet'!$E$9+1,1))</f>
        <v>415.91544298418842</v>
      </c>
      <c r="T58" s="59">
        <f t="shared" si="34"/>
        <v>422.79312683312583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6.9604843235541898</v>
      </c>
      <c r="AA58" s="21">
        <f>EXP(-LN(2)/25)*AA57+(1-EXP(-LN(2)/25))/(LN(2)/25)*Calculateur!V58*Calculateur!X58*VLOOKUP('Données projet'!$B$9,Paramètres!$A$1:$I$89,3,0)*0.475*44/12</f>
        <v>19.379705052540892</v>
      </c>
      <c r="AB58" s="21">
        <f>EXP(-LN(2)/2)*AB57+(1-EXP(-LN(2)/2))/(LN(2)/2)*V58*Y58*VLOOKUP('Données projet'!$B$9,Paramètres!$A$1:$I$89,3,0)*0.475*44/12</f>
        <v>6.296269946250886E-3</v>
      </c>
      <c r="AC58" s="22">
        <f t="shared" si="3"/>
        <v>26.346485646041334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11.3</v>
      </c>
      <c r="AI58" s="13">
        <f>IF('Données projet'!$A$62&gt;35,AI57+AH58-AQ57,IF(A58&lt;'Données projet'!$A$62,$AF$205^A58,IF(A58='Données projet'!$A$62,'Données projet'!$B$62,AI57+AH58-AQ57)))</f>
        <v>376.50000000000017</v>
      </c>
      <c r="AJ58" s="13">
        <f>AI58*VLOOKUP('Données projet'!$B$10,Paramètres!$A$1:$I$89,3,0)*VLOOKUP('Données projet'!$B$10,Paramètres!$A$1:$I$89,5,0)</f>
        <v>205.56900000000007</v>
      </c>
      <c r="AK58" s="13">
        <f t="shared" si="35"/>
        <v>50.966102200396577</v>
      </c>
      <c r="AL58" s="20">
        <f t="shared" si="4"/>
        <v>446.79863633235749</v>
      </c>
      <c r="AM58" s="59">
        <f t="shared" si="5"/>
        <v>740.1319696656908</v>
      </c>
      <c r="AN58" s="59">
        <f ca="1">AVERAGE(OFFSET($AM$3,0,0,'Données projet'!$E$10+1,1))-AVERAGE(OFFSET($H$3,0,0,'Données projet'!$E$10+1,1))</f>
        <v>248.1486444660062</v>
      </c>
      <c r="AO58" s="59">
        <f t="shared" si="36"/>
        <v>293.34458072322127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5.1916677998941161</v>
      </c>
      <c r="AV58" s="21">
        <f>EXP(-LN(2)/25)*AV57+(1-EXP(-LN(2)/25))/(LN(2)/25)*Calculateur!AQ58*Calculateur!AS58*VLOOKUP('Données projet'!$B$10,Paramètres!$A$1:$I$89,3,0)*0.475*44/12</f>
        <v>17.018869865814587</v>
      </c>
      <c r="AW58" s="21">
        <f>EXP(-LN(2)/2)*AW57+(1-EXP(-LN(2)/2))/(LN(2)/2)*AQ58*AT58*VLOOKUP('Données projet'!$B$10,Paramètres!$A$1:$I$89,3,0)*0.475*44/12</f>
        <v>4.3473301446658036E-3</v>
      </c>
      <c r="AX58" s="21">
        <f t="shared" si="6"/>
        <v>22.214884995853367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19.3</v>
      </c>
      <c r="N59" s="13">
        <f>IF('Données projet'!$A$36&gt;35,N58+M59-V58,IF(A59&lt;'Données projet'!$A$36,$K$205^A59,IF(A59='Données projet'!$A$36,'Données projet'!$B$36,N58+M59-V58)))</f>
        <v>601.79999999999961</v>
      </c>
      <c r="O59" s="13">
        <f>N59*VLOOKUP('Données projet'!$B$9,Paramètres!$A$1:$I$89,3,0)*VLOOKUP('Données projet'!$B$9,Paramètres!$A$1:$I$89,5,0)</f>
        <v>336.40619999999979</v>
      </c>
      <c r="P59" s="13">
        <f t="shared" si="33"/>
        <v>78.756986013586328</v>
      </c>
      <c r="Q59" s="20">
        <f t="shared" si="53"/>
        <v>723.07588230699582</v>
      </c>
      <c r="R59" s="59">
        <f t="shared" si="0"/>
        <v>1016.4092156403292</v>
      </c>
      <c r="S59" s="59">
        <f ca="1">AVERAGE(OFFSET($R$3,0,0,'Données projet'!$E$9+1,1))-AVERAGE(OFFSET($H$3,0,0,'Données projet'!$E$9+1,1))</f>
        <v>415.91544298418842</v>
      </c>
      <c r="T59" s="59">
        <f t="shared" si="34"/>
        <v>422.79312683312583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6.8239934714455233</v>
      </c>
      <c r="AA59" s="21">
        <f>EXP(-LN(2)/25)*AA58+(1-EXP(-LN(2)/25))/(LN(2)/25)*Calculateur!V59*Calculateur!X59*VLOOKUP('Données projet'!$B$9,Paramètres!$A$1:$I$89,3,0)*0.475*44/12</f>
        <v>18.849765998744765</v>
      </c>
      <c r="AB59" s="21">
        <f>EXP(-LN(2)/2)*AB58+(1-EXP(-LN(2)/2))/(LN(2)/2)*V59*Y59*VLOOKUP('Données projet'!$B$9,Paramètres!$A$1:$I$89,3,0)*0.475*44/12</f>
        <v>4.4521351751750605E-3</v>
      </c>
      <c r="AC59" s="22">
        <f t="shared" si="3"/>
        <v>25.678211605365462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11.3</v>
      </c>
      <c r="AI59" s="13">
        <f>IF('Données projet'!$A$62&gt;35,AI58+AH59-AQ58,IF(A59&lt;'Données projet'!$A$62,$AF$205^A59,IF(A59='Données projet'!$A$62,'Données projet'!$B$62,AI58+AH59-AQ58)))</f>
        <v>387.80000000000018</v>
      </c>
      <c r="AJ59" s="13">
        <f>AI59*VLOOKUP('Données projet'!$B$10,Paramètres!$A$1:$I$89,3,0)*VLOOKUP('Données projet'!$B$10,Paramètres!$A$1:$I$89,5,0)</f>
        <v>211.73880000000008</v>
      </c>
      <c r="AK59" s="13">
        <f t="shared" si="35"/>
        <v>52.315374700843918</v>
      </c>
      <c r="AL59" s="20">
        <f t="shared" si="4"/>
        <v>459.89435427063654</v>
      </c>
      <c r="AM59" s="59">
        <f t="shared" si="5"/>
        <v>753.2276876039698</v>
      </c>
      <c r="AN59" s="59">
        <f ca="1">AVERAGE(OFFSET($AM$3,0,0,'Données projet'!$E$10+1,1))-AVERAGE(OFFSET($H$3,0,0,'Données projet'!$E$10+1,1))</f>
        <v>248.1486444660062</v>
      </c>
      <c r="AO59" s="59">
        <f t="shared" si="36"/>
        <v>293.34458072322127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5.0898623609428739</v>
      </c>
      <c r="AV59" s="21">
        <f>EXP(-LN(2)/25)*AV58+(1-EXP(-LN(2)/25))/(LN(2)/25)*Calculateur!AQ59*Calculateur!AS59*VLOOKUP('Données projet'!$B$10,Paramètres!$A$1:$I$89,3,0)*0.475*44/12</f>
        <v>16.553487974350418</v>
      </c>
      <c r="AW59" s="21">
        <f>EXP(-LN(2)/2)*AW58+(1-EXP(-LN(2)/2))/(LN(2)/2)*AQ59*AT59*VLOOKUP('Données projet'!$B$10,Paramètres!$A$1:$I$89,3,0)*0.475*44/12</f>
        <v>3.0740266253498844E-3</v>
      </c>
      <c r="AX59" s="21">
        <f t="shared" si="6"/>
        <v>21.64642436191864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19.3</v>
      </c>
      <c r="N60" s="13">
        <f>IF('Données projet'!$A$36&gt;35,N59+M60-V59,IF(A60&lt;'Données projet'!$A$36,$K$205^A60,IF(A60='Données projet'!$A$36,'Données projet'!$B$36,N59+M60-V59)))</f>
        <v>621.09999999999957</v>
      </c>
      <c r="O60" s="13">
        <f>N60*VLOOKUP('Données projet'!$B$9,Paramètres!$A$1:$I$89,3,0)*VLOOKUP('Données projet'!$B$9,Paramètres!$A$1:$I$89,5,0)</f>
        <v>347.19489999999979</v>
      </c>
      <c r="P60" s="13">
        <f t="shared" si="33"/>
        <v>80.984641788647266</v>
      </c>
      <c r="Q60" s="20">
        <f t="shared" si="53"/>
        <v>745.74603528189357</v>
      </c>
      <c r="R60" s="59">
        <f t="shared" si="0"/>
        <v>1039.0793686152269</v>
      </c>
      <c r="S60" s="59">
        <f ca="1">AVERAGE(OFFSET($R$3,0,0,'Données projet'!$E$9+1,1))-AVERAGE(OFFSET($H$3,0,0,'Données projet'!$E$9+1,1))</f>
        <v>415.91544298418842</v>
      </c>
      <c r="T60" s="59">
        <f t="shared" si="34"/>
        <v>422.79312683312583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6.6901791216955084</v>
      </c>
      <c r="AA60" s="21">
        <f>EXP(-LN(2)/25)*AA59+(1-EXP(-LN(2)/25))/(LN(2)/25)*Calculateur!V60*Calculateur!X60*VLOOKUP('Données projet'!$B$9,Paramètres!$A$1:$I$89,3,0)*0.475*44/12</f>
        <v>18.334318156242976</v>
      </c>
      <c r="AB60" s="21">
        <f>EXP(-LN(2)/2)*AB59+(1-EXP(-LN(2)/2))/(LN(2)/2)*V60*Y60*VLOOKUP('Données projet'!$B$9,Paramètres!$A$1:$I$89,3,0)*0.475*44/12</f>
        <v>3.148134973125443E-3</v>
      </c>
      <c r="AC60" s="22">
        <f t="shared" si="3"/>
        <v>25.027645412911607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11.3</v>
      </c>
      <c r="AI60" s="13">
        <f>IF('Données projet'!$A$62&gt;35,AI59+AH60-AQ59,IF(A60&lt;'Données projet'!$A$62,$AF$205^A60,IF(A60='Données projet'!$A$62,'Données projet'!$B$62,AI59+AH60-AQ59)))</f>
        <v>399.10000000000019</v>
      </c>
      <c r="AJ60" s="13">
        <f>AI60*VLOOKUP('Données projet'!$B$10,Paramètres!$A$1:$I$89,3,0)*VLOOKUP('Données projet'!$B$10,Paramètres!$A$1:$I$89,5,0)</f>
        <v>217.90860000000009</v>
      </c>
      <c r="AK60" s="13">
        <f t="shared" si="35"/>
        <v>53.660077877545731</v>
      </c>
      <c r="AL60" s="20">
        <f t="shared" si="4"/>
        <v>472.98211397005889</v>
      </c>
      <c r="AM60" s="59">
        <f t="shared" si="5"/>
        <v>766.31544730339215</v>
      </c>
      <c r="AN60" s="59">
        <f ca="1">AVERAGE(OFFSET($AM$3,0,0,'Données projet'!$E$10+1,1))-AVERAGE(OFFSET($H$3,0,0,'Données projet'!$E$10+1,1))</f>
        <v>248.1486444660062</v>
      </c>
      <c r="AO60" s="59">
        <f t="shared" si="36"/>
        <v>293.34458072322127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4.9900532645542794</v>
      </c>
      <c r="AV60" s="21">
        <f>EXP(-LN(2)/25)*AV59+(1-EXP(-LN(2)/25))/(LN(2)/25)*Calculateur!AQ60*Calculateur!AS60*VLOOKUP('Données projet'!$B$10,Paramètres!$A$1:$I$89,3,0)*0.475*44/12</f>
        <v>16.100831975181706</v>
      </c>
      <c r="AW60" s="21">
        <f>EXP(-LN(2)/2)*AW59+(1-EXP(-LN(2)/2))/(LN(2)/2)*AQ60*AT60*VLOOKUP('Données projet'!$B$10,Paramètres!$A$1:$I$89,3,0)*0.475*44/12</f>
        <v>2.1736650723329018E-3</v>
      </c>
      <c r="AX60" s="21">
        <f t="shared" si="6"/>
        <v>21.09305890480832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19.3</v>
      </c>
      <c r="N61" s="13">
        <f>IF('Données projet'!$A$36&gt;35,N60+M61-V60,IF(A61&lt;'Données projet'!$A$36,$K$205^A61,IF(A61='Données projet'!$A$36,'Données projet'!$B$36,N60+M61-V60)))</f>
        <v>640.39999999999952</v>
      </c>
      <c r="O61" s="13">
        <f>N61*VLOOKUP('Données projet'!$B$9,Paramètres!$A$1:$I$89,3,0)*VLOOKUP('Données projet'!$B$9,Paramètres!$A$1:$I$89,5,0)</f>
        <v>357.98359999999974</v>
      </c>
      <c r="P61" s="13">
        <f t="shared" si="33"/>
        <v>83.204253314675796</v>
      </c>
      <c r="Q61" s="20">
        <f t="shared" si="53"/>
        <v>768.40217785639322</v>
      </c>
      <c r="R61" s="59">
        <f t="shared" si="0"/>
        <v>1061.7355111897266</v>
      </c>
      <c r="S61" s="59">
        <f ca="1">AVERAGE(OFFSET($R$3,0,0,'Données projet'!$E$9+1,1))-AVERAGE(OFFSET($H$3,0,0,'Données projet'!$E$9+1,1))</f>
        <v>415.91544298418842</v>
      </c>
      <c r="T61" s="59">
        <f t="shared" si="34"/>
        <v>422.79312683312583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6.5589887897253973</v>
      </c>
      <c r="AA61" s="21">
        <f>EXP(-LN(2)/25)*AA60+(1-EXP(-LN(2)/25))/(LN(2)/25)*Calculateur!V61*Calculateur!X61*VLOOKUP('Données projet'!$B$9,Paramètres!$A$1:$I$89,3,0)*0.475*44/12</f>
        <v>17.832965262100622</v>
      </c>
      <c r="AB61" s="21">
        <f>EXP(-LN(2)/2)*AB60+(1-EXP(-LN(2)/2))/(LN(2)/2)*V61*Y61*VLOOKUP('Données projet'!$B$9,Paramètres!$A$1:$I$89,3,0)*0.475*44/12</f>
        <v>2.2260675875875303E-3</v>
      </c>
      <c r="AC61" s="22">
        <f t="shared" si="3"/>
        <v>24.394180119413608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11.3</v>
      </c>
      <c r="AI61" s="13">
        <f>IF('Données projet'!$A$62&gt;35,AI60+AH61-AQ60,IF(A61&lt;'Données projet'!$A$62,$AF$205^A61,IF(A61='Données projet'!$A$62,'Données projet'!$B$62,AI60+AH61-AQ60)))</f>
        <v>410.4000000000002</v>
      </c>
      <c r="AJ61" s="13">
        <f>AI61*VLOOKUP('Données projet'!$B$10,Paramètres!$A$1:$I$89,3,0)*VLOOKUP('Données projet'!$B$10,Paramètres!$A$1:$I$89,5,0)</f>
        <v>224.0784000000001</v>
      </c>
      <c r="AK61" s="13">
        <f t="shared" si="35"/>
        <v>55.000355965484125</v>
      </c>
      <c r="AL61" s="20">
        <f t="shared" si="4"/>
        <v>486.06216663988494</v>
      </c>
      <c r="AM61" s="59">
        <f t="shared" si="5"/>
        <v>779.39549997321819</v>
      </c>
      <c r="AN61" s="59">
        <f ca="1">AVERAGE(OFFSET($AM$3,0,0,'Données projet'!$E$10+1,1))-AVERAGE(OFFSET($H$3,0,0,'Données projet'!$E$10+1,1))</f>
        <v>248.1486444660062</v>
      </c>
      <c r="AO61" s="59">
        <f t="shared" si="36"/>
        <v>293.34458072322127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4.8922013636683275</v>
      </c>
      <c r="AV61" s="21">
        <f>EXP(-LN(2)/25)*AV60+(1-EXP(-LN(2)/25))/(LN(2)/25)*Calculateur!AQ61*Calculateur!AS61*VLOOKUP('Données projet'!$B$10,Paramètres!$A$1:$I$89,3,0)*0.475*44/12</f>
        <v>15.660553878114408</v>
      </c>
      <c r="AW61" s="21">
        <f>EXP(-LN(2)/2)*AW60+(1-EXP(-LN(2)/2))/(LN(2)/2)*AQ61*AT61*VLOOKUP('Données projet'!$B$10,Paramètres!$A$1:$I$89,3,0)*0.475*44/12</f>
        <v>1.5370133126749422E-3</v>
      </c>
      <c r="AX61" s="21">
        <f t="shared" si="6"/>
        <v>20.554292255095408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19.3</v>
      </c>
      <c r="N62" s="13">
        <f>IF('Données projet'!$A$36&gt;35,N61+M62-V61,IF(A62&lt;'Données projet'!$A$36,$K$205^A62,IF(A62='Données projet'!$A$36,'Données projet'!$B$36,N61+M62-V61)))</f>
        <v>659.69999999999948</v>
      </c>
      <c r="O62" s="13">
        <f>N62*VLOOKUP('Données projet'!$B$9,Paramètres!$A$1:$I$89,3,0)*VLOOKUP('Données projet'!$B$9,Paramètres!$A$1:$I$89,5,0)</f>
        <v>368.77229999999969</v>
      </c>
      <c r="P62" s="13">
        <f t="shared" si="33"/>
        <v>85.416090852521961</v>
      </c>
      <c r="Q62" s="20">
        <f t="shared" si="53"/>
        <v>791.04478073480857</v>
      </c>
      <c r="R62" s="59">
        <f t="shared" si="0"/>
        <v>1084.3781140681419</v>
      </c>
      <c r="S62" s="59">
        <f ca="1">AVERAGE(OFFSET($R$3,0,0,'Données projet'!$E$9+1,1))-AVERAGE(OFFSET($H$3,0,0,'Données projet'!$E$9+1,1))</f>
        <v>415.91544298418842</v>
      </c>
      <c r="T62" s="59">
        <f t="shared" si="34"/>
        <v>422.79312683312583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6.4303710201470183</v>
      </c>
      <c r="AA62" s="21">
        <f>EXP(-LN(2)/25)*AA61+(1-EXP(-LN(2)/25))/(LN(2)/25)*Calculateur!V62*Calculateur!X62*VLOOKUP('Données projet'!$B$9,Paramètres!$A$1:$I$89,3,0)*0.475*44/12</f>
        <v>17.345321889213594</v>
      </c>
      <c r="AB62" s="21">
        <f>EXP(-LN(2)/2)*AB61+(1-EXP(-LN(2)/2))/(LN(2)/2)*V62*Y62*VLOOKUP('Données projet'!$B$9,Paramètres!$A$1:$I$89,3,0)*0.475*44/12</f>
        <v>1.5740674865627215E-3</v>
      </c>
      <c r="AC62" s="22">
        <f t="shared" si="3"/>
        <v>23.777266976847173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11.3</v>
      </c>
      <c r="AI62" s="13">
        <f>IF('Données projet'!$A$62&gt;35,AI61+AH62-AQ61,IF(A62&lt;'Données projet'!$A$62,$AF$205^A62,IF(A62='Données projet'!$A$62,'Données projet'!$B$62,AI61+AH62-AQ61)))</f>
        <v>421.70000000000022</v>
      </c>
      <c r="AJ62" s="13">
        <f>AI62*VLOOKUP('Données projet'!$B$10,Paramètres!$A$1:$I$89,3,0)*VLOOKUP('Données projet'!$B$10,Paramètres!$A$1:$I$89,5,0)</f>
        <v>230.24820000000011</v>
      </c>
      <c r="AK62" s="13">
        <f t="shared" si="35"/>
        <v>56.336344804856289</v>
      </c>
      <c r="AL62" s="20">
        <f t="shared" si="4"/>
        <v>499.13474886845819</v>
      </c>
      <c r="AM62" s="59">
        <f t="shared" si="5"/>
        <v>792.4680822017915</v>
      </c>
      <c r="AN62" s="59">
        <f ca="1">AVERAGE(OFFSET($AM$3,0,0,'Données projet'!$E$10+1,1))-AVERAGE(OFFSET($H$3,0,0,'Données projet'!$E$10+1,1))</f>
        <v>248.1486444660062</v>
      </c>
      <c r="AO62" s="59">
        <f t="shared" si="36"/>
        <v>293.34458072322127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4.7962682788749831</v>
      </c>
      <c r="AV62" s="21">
        <f>EXP(-LN(2)/25)*AV61+(1-EXP(-LN(2)/25))/(LN(2)/25)*Calculateur!AQ62*Calculateur!AS62*VLOOKUP('Données projet'!$B$10,Paramètres!$A$1:$I$89,3,0)*0.475*44/12</f>
        <v>15.232315208764634</v>
      </c>
      <c r="AW62" s="21">
        <f>EXP(-LN(2)/2)*AW61+(1-EXP(-LN(2)/2))/(LN(2)/2)*AQ62*AT62*VLOOKUP('Données projet'!$B$10,Paramètres!$A$1:$I$89,3,0)*0.475*44/12</f>
        <v>1.0868325361664509E-3</v>
      </c>
      <c r="AX62" s="21">
        <f t="shared" si="6"/>
        <v>20.029670320175782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679</v>
      </c>
      <c r="L63" s="12">
        <f>VLOOKUP(A63,'Données projet'!$A$35:$I$55,9,0)</f>
        <v>19.3</v>
      </c>
      <c r="M63" s="12">
        <f t="array" ref="M63">INDEX(L:L,MIN(IF(ISNUMBER(L63:L259),ROW(L63:L259),"")))</f>
        <v>19.3</v>
      </c>
      <c r="N63" s="13">
        <f>IF('Données projet'!$A$36&gt;35,N62+M63-V62,IF(A63&lt;'Données projet'!$A$36,$K$205^A63,IF(A63='Données projet'!$A$36,'Données projet'!$B$36,N62+M63-V62)))</f>
        <v>678.99999999999943</v>
      </c>
      <c r="O63" s="13">
        <f>N63*VLOOKUP('Données projet'!$B$9,Paramètres!$A$1:$I$89,3,0)*VLOOKUP('Données projet'!$B$9,Paramètres!$A$1:$I$89,5,0)</f>
        <v>379.56099999999969</v>
      </c>
      <c r="P63" s="13">
        <f t="shared" si="33"/>
        <v>87.620407950587037</v>
      </c>
      <c r="Q63" s="20">
        <f t="shared" si="53"/>
        <v>813.67428551393857</v>
      </c>
      <c r="R63" s="59">
        <f t="shared" si="0"/>
        <v>1107.0076188472719</v>
      </c>
      <c r="S63" s="59">
        <f ca="1">AVERAGE(OFFSET($R$3,0,0,'Données projet'!$E$9+1,1))-AVERAGE(OFFSET($H$3,0,0,'Données projet'!$E$9+1,1))</f>
        <v>415.91544298418842</v>
      </c>
      <c r="T63" s="59">
        <f t="shared" si="34"/>
        <v>422.79312683312583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6.3042753665809785</v>
      </c>
      <c r="AA63" s="21">
        <f>EXP(-LN(2)/25)*AA62+(1-EXP(-LN(2)/25))/(LN(2)/25)*Calculateur!V63*Calculateur!X63*VLOOKUP('Données projet'!$B$9,Paramètres!$A$1:$I$89,3,0)*0.475*44/12</f>
        <v>16.871013150002213</v>
      </c>
      <c r="AB63" s="21">
        <f>EXP(-LN(2)/2)*AB62+(1-EXP(-LN(2)/2))/(LN(2)/2)*V63*Y63*VLOOKUP('Données projet'!$B$9,Paramètres!$A$1:$I$89,3,0)*0.475*44/12</f>
        <v>1.1130337937937651E-3</v>
      </c>
      <c r="AC63" s="22">
        <f t="shared" si="3"/>
        <v>23.176401550376983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433</v>
      </c>
      <c r="AG63" s="12">
        <f>VLOOKUP(A63,'Données projet'!$A$61:$I$81,9,0)</f>
        <v>11.3</v>
      </c>
      <c r="AH63" s="12">
        <f t="array" ref="AH63">INDEX(AG:AG,MIN(IF(ISNUMBER(AG63:AG259),ROW(AG63:AG259),"")))</f>
        <v>11.3</v>
      </c>
      <c r="AI63" s="13">
        <f>IF('Données projet'!$A$62&gt;35,AI62+AH63-AQ62,IF(A63&lt;'Données projet'!$A$62,$AF$205^A63,IF(A63='Données projet'!$A$62,'Données projet'!$B$62,AI62+AH63-AQ62)))</f>
        <v>433.00000000000023</v>
      </c>
      <c r="AJ63" s="13">
        <f>AI63*VLOOKUP('Données projet'!$B$10,Paramètres!$A$1:$I$89,3,0)*VLOOKUP('Données projet'!$B$10,Paramètres!$A$1:$I$89,5,0)</f>
        <v>236.41800000000015</v>
      </c>
      <c r="AK63" s="13">
        <f t="shared" si="35"/>
        <v>57.668172541352803</v>
      </c>
      <c r="AL63" s="20">
        <f t="shared" si="4"/>
        <v>512.20008384285632</v>
      </c>
      <c r="AM63" s="59">
        <f t="shared" si="5"/>
        <v>805.53341717618969</v>
      </c>
      <c r="AN63" s="59">
        <f ca="1">AVERAGE(OFFSET($AM$3,0,0,'Données projet'!$E$10+1,1))-AVERAGE(OFFSET($H$3,0,0,'Données projet'!$E$10+1,1))</f>
        <v>248.1486444660062</v>
      </c>
      <c r="AO63" s="59">
        <f t="shared" si="36"/>
        <v>293.34458072322127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67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4.7022163833610318</v>
      </c>
      <c r="AV63" s="21">
        <f>EXP(-LN(2)/25)*AV62+(1-EXP(-LN(2)/25))/(LN(2)/25)*Calculateur!AQ63*Calculateur!AS63*VLOOKUP('Données projet'!$B$10,Paramètres!$A$1:$I$89,3,0)*0.475*44/12</f>
        <v>14.815786748348321</v>
      </c>
      <c r="AW63" s="21">
        <f>EXP(-LN(2)/2)*AW62+(1-EXP(-LN(2)/2))/(LN(2)/2)*AQ63*AT63*VLOOKUP('Données projet'!$B$10,Paramètres!$A$1:$I$89,3,0)*0.475*44/12</f>
        <v>7.685066563374711E-4</v>
      </c>
      <c r="AX63" s="21">
        <f t="shared" si="6"/>
        <v>19.518771638365692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15.8</v>
      </c>
      <c r="N64" s="13">
        <f>IF('Données projet'!$A$36&gt;35,N63+M64-V63,IF(A64&lt;'Données projet'!$A$36,$K$205^A64,IF(A64='Données projet'!$A$36,'Données projet'!$B$36,N63+M64-V63)))</f>
        <v>598.79999999999939</v>
      </c>
      <c r="O64" s="13">
        <f>N64*VLOOKUP('Données projet'!$B$9,Paramètres!$A$1:$I$89,3,0)*VLOOKUP('Données projet'!$B$9,Paramètres!$A$1:$I$89,5,0)</f>
        <v>334.72919999999971</v>
      </c>
      <c r="P64" s="13">
        <f t="shared" si="33"/>
        <v>78.409977536916543</v>
      </c>
      <c r="Q64" s="20">
        <f t="shared" si="53"/>
        <v>719.55073421012912</v>
      </c>
      <c r="R64" s="59">
        <f t="shared" si="0"/>
        <v>1012.8840675434624</v>
      </c>
      <c r="S64" s="59">
        <f ca="1">AVERAGE(OFFSET($R$3,0,0,'Données projet'!$E$9+1,1))-AVERAGE(OFFSET($H$3,0,0,'Données projet'!$E$9+1,1))</f>
        <v>415.91544298418842</v>
      </c>
      <c r="T64" s="59">
        <f t="shared" si="34"/>
        <v>422.79312683312583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6.1806523718706146</v>
      </c>
      <c r="AA64" s="21">
        <f>EXP(-LN(2)/25)*AA63+(1-EXP(-LN(2)/25))/(LN(2)/25)*Calculateur!V64*Calculateur!X64*VLOOKUP('Données projet'!$B$9,Paramètres!$A$1:$I$89,3,0)*0.475*44/12</f>
        <v>16.40967440820738</v>
      </c>
      <c r="AB64" s="21">
        <f>EXP(-LN(2)/2)*AB63+(1-EXP(-LN(2)/2))/(LN(2)/2)*V64*Y64*VLOOKUP('Données projet'!$B$9,Paramètres!$A$1:$I$89,3,0)*0.475*44/12</f>
        <v>7.8703374328136075E-4</v>
      </c>
      <c r="AC64" s="22">
        <f t="shared" si="3"/>
        <v>22.591113813821277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9.8000000000000007</v>
      </c>
      <c r="AI64" s="13">
        <f>IF('Données projet'!$A$62&gt;35,AI63+AH64-AQ63,IF(A64&lt;'Données projet'!$A$62,$AF$205^A64,IF(A64='Données projet'!$A$62,'Données projet'!$B$62,AI63+AH64-AQ63)))</f>
        <v>375.80000000000024</v>
      </c>
      <c r="AJ64" s="13">
        <f>AI64*VLOOKUP('Données projet'!$B$10,Paramètres!$A$1:$I$89,3,0)*VLOOKUP('Données projet'!$B$10,Paramètres!$A$1:$I$89,5,0)</f>
        <v>205.18680000000015</v>
      </c>
      <c r="AK64" s="13">
        <f t="shared" si="35"/>
        <v>50.882365236333044</v>
      </c>
      <c r="AL64" s="20">
        <f t="shared" si="4"/>
        <v>445.98712945328037</v>
      </c>
      <c r="AM64" s="59">
        <f t="shared" si="5"/>
        <v>739.32046278661369</v>
      </c>
      <c r="AN64" s="59">
        <f ca="1">AVERAGE(OFFSET($AM$3,0,0,'Données projet'!$E$10+1,1))-AVERAGE(OFFSET($H$3,0,0,'Données projet'!$E$10+1,1))</f>
        <v>248.1486444660062</v>
      </c>
      <c r="AO64" s="59">
        <f t="shared" si="36"/>
        <v>293.34458072322127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4.6100087881521175</v>
      </c>
      <c r="AV64" s="21">
        <f>EXP(-LN(2)/25)*AV63+(1-EXP(-LN(2)/25))/(LN(2)/25)*Calculateur!AQ64*Calculateur!AS64*VLOOKUP('Données projet'!$B$10,Paramètres!$A$1:$I$89,3,0)*0.475*44/12</f>
        <v>14.410648280586374</v>
      </c>
      <c r="AW64" s="21">
        <f>EXP(-LN(2)/2)*AW63+(1-EXP(-LN(2)/2))/(LN(2)/2)*AQ64*AT64*VLOOKUP('Données projet'!$B$10,Paramètres!$A$1:$I$89,3,0)*0.475*44/12</f>
        <v>5.4341626808322545E-4</v>
      </c>
      <c r="AX64" s="21">
        <f t="shared" si="6"/>
        <v>19.021200485006574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15.8</v>
      </c>
      <c r="N65" s="13">
        <f>IF('Données projet'!$A$36&gt;35,N64+M65-V64,IF(A65&lt;'Données projet'!$A$36,$K$205^A65,IF(A65='Données projet'!$A$36,'Données projet'!$B$36,N64+M65-V64)))</f>
        <v>614.59999999999934</v>
      </c>
      <c r="O65" s="13">
        <f>N65*VLOOKUP('Données projet'!$B$9,Paramètres!$A$1:$I$89,3,0)*VLOOKUP('Données projet'!$B$9,Paramètres!$A$1:$I$89,5,0)</f>
        <v>343.56139999999965</v>
      </c>
      <c r="P65" s="13">
        <f t="shared" si="33"/>
        <v>80.235307380202258</v>
      </c>
      <c r="Q65" s="20">
        <f t="shared" si="53"/>
        <v>738.11259868718491</v>
      </c>
      <c r="R65" s="59">
        <f t="shared" si="0"/>
        <v>1031.4459320205183</v>
      </c>
      <c r="S65" s="59">
        <f ca="1">AVERAGE(OFFSET($R$3,0,0,'Données projet'!$E$9+1,1))-AVERAGE(OFFSET($H$3,0,0,'Données projet'!$E$9+1,1))</f>
        <v>415.91544298418842</v>
      </c>
      <c r="T65" s="59">
        <f t="shared" si="34"/>
        <v>422.79312683312583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6.0594535486839396</v>
      </c>
      <c r="AA65" s="21">
        <f>EXP(-LN(2)/25)*AA64+(1-EXP(-LN(2)/25))/(LN(2)/25)*Calculateur!V65*Calculateur!X65*VLOOKUP('Données projet'!$B$9,Paramètres!$A$1:$I$89,3,0)*0.475*44/12</f>
        <v>15.960950998567677</v>
      </c>
      <c r="AB65" s="21">
        <f>EXP(-LN(2)/2)*AB64+(1-EXP(-LN(2)/2))/(LN(2)/2)*V65*Y65*VLOOKUP('Données projet'!$B$9,Paramètres!$A$1:$I$89,3,0)*0.475*44/12</f>
        <v>5.5651689689688256E-4</v>
      </c>
      <c r="AC65" s="22">
        <f t="shared" si="3"/>
        <v>22.020961064148512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9.8000000000000007</v>
      </c>
      <c r="AI65" s="13">
        <f>IF('Données projet'!$A$62&gt;35,AI64+AH65-AQ64,IF(A65&lt;'Données projet'!$A$62,$AF$205^A65,IF(A65='Données projet'!$A$62,'Données projet'!$B$62,AI64+AH65-AQ64)))</f>
        <v>385.60000000000025</v>
      </c>
      <c r="AJ65" s="13">
        <f>AI65*VLOOKUP('Données projet'!$B$10,Paramètres!$A$1:$I$89,3,0)*VLOOKUP('Données projet'!$B$10,Paramètres!$A$1:$I$89,5,0)</f>
        <v>210.53760000000014</v>
      </c>
      <c r="AK65" s="13">
        <f t="shared" si="35"/>
        <v>52.053047337322276</v>
      </c>
      <c r="AL65" s="20">
        <f t="shared" si="4"/>
        <v>457.3453774458365</v>
      </c>
      <c r="AM65" s="59">
        <f t="shared" si="5"/>
        <v>750.67871077916982</v>
      </c>
      <c r="AN65" s="59">
        <f ca="1">AVERAGE(OFFSET($AM$3,0,0,'Données projet'!$E$10+1,1))-AVERAGE(OFFSET($H$3,0,0,'Données projet'!$E$10+1,1))</f>
        <v>248.1486444660062</v>
      </c>
      <c r="AO65" s="59">
        <f t="shared" si="36"/>
        <v>293.34458072322127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4.5196093276441704</v>
      </c>
      <c r="AV65" s="21">
        <f>EXP(-LN(2)/25)*AV64+(1-EXP(-LN(2)/25))/(LN(2)/25)*Calculateur!AQ65*Calculateur!AS65*VLOOKUP('Données projet'!$B$10,Paramètres!$A$1:$I$89,3,0)*0.475*44/12</f>
        <v>14.016588345530682</v>
      </c>
      <c r="AW65" s="21">
        <f>EXP(-LN(2)/2)*AW64+(1-EXP(-LN(2)/2))/(LN(2)/2)*AQ65*AT65*VLOOKUP('Données projet'!$B$10,Paramètres!$A$1:$I$89,3,0)*0.475*44/12</f>
        <v>3.8425332816873555E-4</v>
      </c>
      <c r="AX65" s="21">
        <f t="shared" si="6"/>
        <v>18.536581926503022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15.8</v>
      </c>
      <c r="N66" s="13">
        <f>IF('Données projet'!$A$36&gt;35,N65+M66-V65,IF(A66&lt;'Données projet'!$A$36,$K$205^A66,IF(A66='Données projet'!$A$36,'Données projet'!$B$36,N65+M66-V65)))</f>
        <v>630.3999999999993</v>
      </c>
      <c r="O66" s="13">
        <f>N66*VLOOKUP('Données projet'!$B$9,Paramètres!$A$1:$I$89,3,0)*VLOOKUP('Données projet'!$B$9,Paramètres!$A$1:$I$89,5,0)</f>
        <v>352.39359999999965</v>
      </c>
      <c r="P66" s="13">
        <f t="shared" si="33"/>
        <v>82.055182662578147</v>
      </c>
      <c r="Q66" s="20">
        <f t="shared" si="53"/>
        <v>756.66496313732296</v>
      </c>
      <c r="R66" s="59">
        <f t="shared" si="0"/>
        <v>1049.9982964706562</v>
      </c>
      <c r="S66" s="59">
        <f ca="1">AVERAGE(OFFSET($R$3,0,0,'Données projet'!$E$9+1,1))-AVERAGE(OFFSET($H$3,0,0,'Données projet'!$E$9+1,1))</f>
        <v>415.91544298418842</v>
      </c>
      <c r="T66" s="59">
        <f t="shared" si="34"/>
        <v>422.79312683312583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5.9406313604959724</v>
      </c>
      <c r="AA66" s="21">
        <f>EXP(-LN(2)/25)*AA65+(1-EXP(-LN(2)/25))/(LN(2)/25)*Calculateur!V66*Calculateur!X66*VLOOKUP('Données projet'!$B$9,Paramètres!$A$1:$I$89,3,0)*0.475*44/12</f>
        <v>15.524497954161911</v>
      </c>
      <c r="AB66" s="21">
        <f>EXP(-LN(2)/2)*AB65+(1-EXP(-LN(2)/2))/(LN(2)/2)*V66*Y66*VLOOKUP('Données projet'!$B$9,Paramètres!$A$1:$I$89,3,0)*0.475*44/12</f>
        <v>3.9351687164068037E-4</v>
      </c>
      <c r="AC66" s="22">
        <f t="shared" si="3"/>
        <v>21.465522831529523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9.8000000000000007</v>
      </c>
      <c r="AI66" s="13">
        <f>IF('Données projet'!$A$62&gt;35,AI65+AH66-AQ65,IF(A66&lt;'Données projet'!$A$62,$AF$205^A66,IF(A66='Données projet'!$A$62,'Données projet'!$B$62,AI65+AH66-AQ65)))</f>
        <v>395.40000000000026</v>
      </c>
      <c r="AJ66" s="13">
        <f>AI66*VLOOKUP('Données projet'!$B$10,Paramètres!$A$1:$I$89,3,0)*VLOOKUP('Données projet'!$B$10,Paramètres!$A$1:$I$89,5,0)</f>
        <v>215.88840000000013</v>
      </c>
      <c r="AK66" s="13">
        <f t="shared" si="35"/>
        <v>53.220270935025496</v>
      </c>
      <c r="AL66" s="20">
        <f t="shared" si="4"/>
        <v>468.69760187850301</v>
      </c>
      <c r="AM66" s="59">
        <f t="shared" si="5"/>
        <v>762.03093521183632</v>
      </c>
      <c r="AN66" s="59">
        <f ca="1">AVERAGE(OFFSET($AM$3,0,0,'Données projet'!$E$10+1,1))-AVERAGE(OFFSET($H$3,0,0,'Données projet'!$E$10+1,1))</f>
        <v>248.1486444660062</v>
      </c>
      <c r="AO66" s="59">
        <f t="shared" si="36"/>
        <v>293.34458072322127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4.4309825454185576</v>
      </c>
      <c r="AV66" s="21">
        <f>EXP(-LN(2)/25)*AV65+(1-EXP(-LN(2)/25))/(LN(2)/25)*Calculateur!AQ66*Calculateur!AS66*VLOOKUP('Données projet'!$B$10,Paramètres!$A$1:$I$89,3,0)*0.475*44/12</f>
        <v>13.6333040001218</v>
      </c>
      <c r="AW66" s="21">
        <f>EXP(-LN(2)/2)*AW65+(1-EXP(-LN(2)/2))/(LN(2)/2)*AQ66*AT66*VLOOKUP('Données projet'!$B$10,Paramètres!$A$1:$I$89,3,0)*0.475*44/12</f>
        <v>2.7170813404161272E-4</v>
      </c>
      <c r="AX66" s="21">
        <f t="shared" si="6"/>
        <v>18.064558253674399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15.8</v>
      </c>
      <c r="N67" s="13">
        <f>IF('Données projet'!$A$36&gt;35,N66+M67-V66,IF(A67&lt;'Données projet'!$A$36,$K$205^A67,IF(A67='Données projet'!$A$36,'Données projet'!$B$36,N66+M67-V66)))</f>
        <v>646.19999999999925</v>
      </c>
      <c r="O67" s="13">
        <f>N67*VLOOKUP('Données projet'!$B$9,Paramètres!$A$1:$I$89,3,0)*VLOOKUP('Données projet'!$B$9,Paramètres!$A$1:$I$89,5,0)</f>
        <v>361.22579999999965</v>
      </c>
      <c r="P67" s="13">
        <f t="shared" si="33"/>
        <v>83.869755817099659</v>
      </c>
      <c r="Q67" s="20">
        <f t="shared" ref="Q67:Q98" si="54">(O67+P67)*0.475*44/12</f>
        <v>775.20809304811462</v>
      </c>
      <c r="R67" s="59">
        <f t="shared" ref="R67:R130" si="55">Q67+(I67+J67)*44/12</f>
        <v>1068.541426381448</v>
      </c>
      <c r="S67" s="59">
        <f ca="1">AVERAGE(OFFSET($R$3,0,0,'Données projet'!$E$9+1,1))-AVERAGE(OFFSET($H$3,0,0,'Données projet'!$E$9+1,1))</f>
        <v>415.91544298418842</v>
      </c>
      <c r="T67" s="59">
        <f t="shared" si="34"/>
        <v>422.79312683312583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5.8241392029439929</v>
      </c>
      <c r="AA67" s="21">
        <f>EXP(-LN(2)/25)*AA66+(1-EXP(-LN(2)/25))/(LN(2)/25)*Calculateur!V67*Calculateur!X67*VLOOKUP('Données projet'!$B$9,Paramètres!$A$1:$I$89,3,0)*0.475*44/12</f>
        <v>15.099979741207488</v>
      </c>
      <c r="AB67" s="21">
        <f>EXP(-LN(2)/2)*AB66+(1-EXP(-LN(2)/2))/(LN(2)/2)*V67*Y67*VLOOKUP('Données projet'!$B$9,Paramètres!$A$1:$I$89,3,0)*0.475*44/12</f>
        <v>2.7825844844844128E-4</v>
      </c>
      <c r="AC67" s="22">
        <f t="shared" si="3"/>
        <v>20.924397202599931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9.8000000000000007</v>
      </c>
      <c r="AI67" s="13">
        <f>IF('Données projet'!$A$62&gt;35,AI66+AH67-AQ66,IF(A67&lt;'Données projet'!$A$62,$AF$205^A67,IF(A67='Données projet'!$A$62,'Données projet'!$B$62,AI66+AH67-AQ66)))</f>
        <v>405.20000000000027</v>
      </c>
      <c r="AJ67" s="13">
        <f>AI67*VLOOKUP('Données projet'!$B$10,Paramètres!$A$1:$I$89,3,0)*VLOOKUP('Données projet'!$B$10,Paramètres!$A$1:$I$89,5,0)</f>
        <v>221.23920000000015</v>
      </c>
      <c r="AK67" s="13">
        <f t="shared" si="35"/>
        <v>54.384131608131625</v>
      </c>
      <c r="AL67" s="20">
        <f t="shared" si="4"/>
        <v>480.04396921749617</v>
      </c>
      <c r="AM67" s="59">
        <f t="shared" si="5"/>
        <v>773.37730255082943</v>
      </c>
      <c r="AN67" s="59">
        <f ca="1">AVERAGE(OFFSET($AM$3,0,0,'Données projet'!$E$10+1,1))-AVERAGE(OFFSET($H$3,0,0,'Données projet'!$E$10+1,1))</f>
        <v>248.1486444660062</v>
      </c>
      <c r="AO67" s="59">
        <f t="shared" si="36"/>
        <v>293.34458072322127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4.3440936803353898</v>
      </c>
      <c r="AV67" s="21">
        <f>EXP(-LN(2)/25)*AV66+(1-EXP(-LN(2)/25))/(LN(2)/25)*Calculateur!AQ67*Calculateur!AS67*VLOOKUP('Données projet'!$B$10,Paramètres!$A$1:$I$89,3,0)*0.475*44/12</f>
        <v>13.260500585294171</v>
      </c>
      <c r="AW67" s="21">
        <f>EXP(-LN(2)/2)*AW66+(1-EXP(-LN(2)/2))/(LN(2)/2)*AQ67*AT67*VLOOKUP('Données projet'!$B$10,Paramètres!$A$1:$I$89,3,0)*0.475*44/12</f>
        <v>1.9212666408436777E-4</v>
      </c>
      <c r="AX67" s="21">
        <f t="shared" si="6"/>
        <v>17.604786392293647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15.8</v>
      </c>
      <c r="N68" s="13">
        <f>IF('Données projet'!$A$36&gt;35,N67+M68-V67,IF(A68&lt;'Données projet'!$A$36,$K$205^A68,IF(A68='Données projet'!$A$36,'Données projet'!$B$36,N67+M68-V67)))</f>
        <v>661.9999999999992</v>
      </c>
      <c r="O68" s="13">
        <f>N68*VLOOKUP('Données projet'!$B$9,Paramètres!$A$1:$I$89,3,0)*VLOOKUP('Données projet'!$B$9,Paramètres!$A$1:$I$89,5,0)</f>
        <v>370.05799999999954</v>
      </c>
      <c r="P68" s="13">
        <f t="shared" si="33"/>
        <v>85.679171397668327</v>
      </c>
      <c r="Q68" s="20">
        <f t="shared" si="54"/>
        <v>793.74224018427151</v>
      </c>
      <c r="R68" s="59">
        <f t="shared" si="55"/>
        <v>1087.0755735176049</v>
      </c>
      <c r="S68" s="59">
        <f ca="1">AVERAGE(OFFSET($R$3,0,0,'Données projet'!$E$9+1,1))-AVERAGE(OFFSET($H$3,0,0,'Données projet'!$E$9+1,1))</f>
        <v>415.91544298418842</v>
      </c>
      <c r="T68" s="59">
        <f t="shared" si="34"/>
        <v>422.79312683312583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5.7099313855484075</v>
      </c>
      <c r="AA68" s="21">
        <f>EXP(-LN(2)/25)*AA67+(1-EXP(-LN(2)/25))/(LN(2)/25)*Calculateur!V68*Calculateur!X68*VLOOKUP('Données projet'!$B$9,Paramètres!$A$1:$I$89,3,0)*0.475*44/12</f>
        <v>14.687070001110746</v>
      </c>
      <c r="AB68" s="21">
        <f>EXP(-LN(2)/2)*AB67+(1-EXP(-LN(2)/2))/(LN(2)/2)*V68*Y68*VLOOKUP('Données projet'!$B$9,Paramètres!$A$1:$I$89,3,0)*0.475*44/12</f>
        <v>1.9675843582034019E-4</v>
      </c>
      <c r="AC68" s="22">
        <f t="shared" ref="AC68:AC131" si="57">SUM(Z68:AB68)</f>
        <v>20.397198145094972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9.8000000000000007</v>
      </c>
      <c r="AI68" s="13">
        <f>IF('Données projet'!$A$62&gt;35,AI67+AH68-AQ67,IF(A68&lt;'Données projet'!$A$62,$AF$205^A68,IF(A68='Données projet'!$A$62,'Données projet'!$B$62,AI67+AH68-AQ67)))</f>
        <v>415.00000000000028</v>
      </c>
      <c r="AJ68" s="13">
        <f>AI68*VLOOKUP('Données projet'!$B$10,Paramètres!$A$1:$I$89,3,0)*VLOOKUP('Données projet'!$B$10,Paramètres!$A$1:$I$89,5,0)</f>
        <v>226.59000000000017</v>
      </c>
      <c r="AK68" s="13">
        <f t="shared" si="35"/>
        <v>55.544720048447758</v>
      </c>
      <c r="AL68" s="20">
        <f t="shared" ref="AL68:AL131" si="58">(AJ68+AK68)*0.475*44/12</f>
        <v>491.38463741771352</v>
      </c>
      <c r="AM68" s="59">
        <f t="shared" ref="AM68:AM131" si="59">AL68+(AD68+AE68)*44/12</f>
        <v>784.71797075104678</v>
      </c>
      <c r="AN68" s="59">
        <f ca="1">AVERAGE(OFFSET($AM$3,0,0,'Données projet'!$E$10+1,1))-AVERAGE(OFFSET($H$3,0,0,'Données projet'!$E$10+1,1))</f>
        <v>248.1486444660062</v>
      </c>
      <c r="AO68" s="59">
        <f t="shared" si="36"/>
        <v>293.34458072322127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4.2589086528995281</v>
      </c>
      <c r="AV68" s="21">
        <f>EXP(-LN(2)/25)*AV67+(1-EXP(-LN(2)/25))/(LN(2)/25)*Calculateur!AQ68*Calculateur!AS68*VLOOKUP('Données projet'!$B$10,Paramètres!$A$1:$I$89,3,0)*0.475*44/12</f>
        <v>12.897891499449884</v>
      </c>
      <c r="AW68" s="21">
        <f>EXP(-LN(2)/2)*AW67+(1-EXP(-LN(2)/2))/(LN(2)/2)*AQ68*AT68*VLOOKUP('Données projet'!$B$10,Paramètres!$A$1:$I$89,3,0)*0.475*44/12</f>
        <v>1.3585406702080636E-4</v>
      </c>
      <c r="AX68" s="21">
        <f t="shared" ref="AX68:AX131" si="60">SUM(AU68:AW68)</f>
        <v>17.156936006416434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15.8</v>
      </c>
      <c r="N69" s="13">
        <f>IF('Données projet'!$A$36&gt;35,N68+M69-V68,IF(A69&lt;'Données projet'!$A$36,$K$205^A69,IF(A69='Données projet'!$A$36,'Données projet'!$B$36,N68+M69-V68)))</f>
        <v>677.79999999999916</v>
      </c>
      <c r="O69" s="13">
        <f>N69*VLOOKUP('Données projet'!$B$9,Paramètres!$A$1:$I$89,3,0)*VLOOKUP('Données projet'!$B$9,Paramètres!$A$1:$I$89,5,0)</f>
        <v>378.89019999999948</v>
      </c>
      <c r="P69" s="13">
        <f t="shared" ref="P69:P132" si="87">EXP(-1.0587+0.8836*LN(O69)+0.284)</f>
        <v>87.483566664488848</v>
      </c>
      <c r="Q69" s="20">
        <f t="shared" si="54"/>
        <v>812.26764360731715</v>
      </c>
      <c r="R69" s="59">
        <f t="shared" si="55"/>
        <v>1105.6009769406505</v>
      </c>
      <c r="S69" s="59">
        <f ca="1">AVERAGE(OFFSET($R$3,0,0,'Données projet'!$E$9+1,1))-AVERAGE(OFFSET($H$3,0,0,'Données projet'!$E$9+1,1))</f>
        <v>415.91544298418842</v>
      </c>
      <c r="T69" s="59">
        <f t="shared" ref="T69:T132" si="88">$T$3</f>
        <v>422.79312683312583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5.5979631137920594</v>
      </c>
      <c r="AA69" s="21">
        <f>EXP(-LN(2)/25)*AA68+(1-EXP(-LN(2)/25))/(LN(2)/25)*Calculateur!V69*Calculateur!X69*VLOOKUP('Données projet'!$B$9,Paramètres!$A$1:$I$89,3,0)*0.475*44/12</f>
        <v>14.285451299570928</v>
      </c>
      <c r="AB69" s="21">
        <f>EXP(-LN(2)/2)*AB68+(1-EXP(-LN(2)/2))/(LN(2)/2)*V69*Y69*VLOOKUP('Données projet'!$B$9,Paramètres!$A$1:$I$89,3,0)*0.475*44/12</f>
        <v>1.3912922422422064E-4</v>
      </c>
      <c r="AC69" s="22">
        <f t="shared" si="57"/>
        <v>19.883553542587212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9.8000000000000007</v>
      </c>
      <c r="AI69" s="13">
        <f>IF('Données projet'!$A$62&gt;35,AI68+AH69-AQ68,IF(A69&lt;'Données projet'!$A$62,$AF$205^A69,IF(A69='Données projet'!$A$62,'Données projet'!$B$62,AI68+AH69-AQ68)))</f>
        <v>424.8000000000003</v>
      </c>
      <c r="AJ69" s="13">
        <f>AI69*VLOOKUP('Données projet'!$B$10,Paramètres!$A$1:$I$89,3,0)*VLOOKUP('Données projet'!$B$10,Paramètres!$A$1:$I$89,5,0)</f>
        <v>231.94080000000014</v>
      </c>
      <c r="AK69" s="13">
        <f t="shared" ref="AK69:AK132" si="89">EXP(-1.0587+0.8836*LN(AJ69)+0.284)</f>
        <v>56.702122420175506</v>
      </c>
      <c r="AL69" s="20">
        <f t="shared" si="58"/>
        <v>502.71975654847256</v>
      </c>
      <c r="AM69" s="59">
        <f t="shared" si="59"/>
        <v>796.05308988180582</v>
      </c>
      <c r="AN69" s="59">
        <f ca="1">AVERAGE(OFFSET($AM$3,0,0,'Données projet'!$E$10+1,1))-AVERAGE(OFFSET($H$3,0,0,'Données projet'!$E$10+1,1))</f>
        <v>248.1486444660062</v>
      </c>
      <c r="AO69" s="59">
        <f t="shared" ref="AO69:AO132" si="90">$AO$3</f>
        <v>293.34458072322127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4.1753940518939476</v>
      </c>
      <c r="AV69" s="21">
        <f>EXP(-LN(2)/25)*AV68+(1-EXP(-LN(2)/25))/(LN(2)/25)*Calculateur!AQ69*Calculateur!AS69*VLOOKUP('Données projet'!$B$10,Paramètres!$A$1:$I$89,3,0)*0.475*44/12</f>
        <v>12.545197978126792</v>
      </c>
      <c r="AW69" s="21">
        <f>EXP(-LN(2)/2)*AW68+(1-EXP(-LN(2)/2))/(LN(2)/2)*AQ69*AT69*VLOOKUP('Données projet'!$B$10,Paramètres!$A$1:$I$89,3,0)*0.475*44/12</f>
        <v>9.6063332042183887E-5</v>
      </c>
      <c r="AX69" s="21">
        <f t="shared" si="60"/>
        <v>16.720688093352781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15.8</v>
      </c>
      <c r="N70" s="13">
        <f>IF('Données projet'!$A$36&gt;35,N69+M70-V69,IF(A70&lt;'Données projet'!$A$36,$K$205^A70,IF(A70='Données projet'!$A$36,'Données projet'!$B$36,N69+M70-V69)))</f>
        <v>693.59999999999911</v>
      </c>
      <c r="O70" s="13">
        <f>N70*VLOOKUP('Données projet'!$B$9,Paramètres!$A$1:$I$89,3,0)*VLOOKUP('Données projet'!$B$9,Paramètres!$A$1:$I$89,5,0)</f>
        <v>387.72239999999948</v>
      </c>
      <c r="P70" s="13">
        <f t="shared" si="87"/>
        <v>89.283072113397623</v>
      </c>
      <c r="Q70" s="20">
        <f t="shared" si="54"/>
        <v>830.78453059749984</v>
      </c>
      <c r="R70" s="59">
        <f t="shared" si="55"/>
        <v>1124.1178639308332</v>
      </c>
      <c r="S70" s="59">
        <f ca="1">AVERAGE(OFFSET($R$3,0,0,'Données projet'!$E$9+1,1))-AVERAGE(OFFSET($H$3,0,0,'Données projet'!$E$9+1,1))</f>
        <v>415.91544298418842</v>
      </c>
      <c r="T70" s="59">
        <f t="shared" si="88"/>
        <v>422.79312683312583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5.4881904715509506</v>
      </c>
      <c r="AA70" s="21">
        <f>EXP(-LN(2)/25)*AA69+(1-EXP(-LN(2)/25))/(LN(2)/25)*Calculateur!V70*Calculateur!X70*VLOOKUP('Données projet'!$B$9,Paramètres!$A$1:$I$89,3,0)*0.475*44/12</f>
        <v>13.894814882544928</v>
      </c>
      <c r="AB70" s="21">
        <f>EXP(-LN(2)/2)*AB69+(1-EXP(-LN(2)/2))/(LN(2)/2)*V70*Y70*VLOOKUP('Données projet'!$B$9,Paramètres!$A$1:$I$89,3,0)*0.475*44/12</f>
        <v>9.8379217910170093E-5</v>
      </c>
      <c r="AC70" s="22">
        <f t="shared" si="57"/>
        <v>19.383103733313789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9.8000000000000007</v>
      </c>
      <c r="AI70" s="13">
        <f>IF('Données projet'!$A$62&gt;35,AI69+AH70-AQ69,IF(A70&lt;'Données projet'!$A$62,$AF$205^A70,IF(A70='Données projet'!$A$62,'Données projet'!$B$62,AI69+AH70-AQ69)))</f>
        <v>434.60000000000031</v>
      </c>
      <c r="AJ70" s="13">
        <f>AI70*VLOOKUP('Données projet'!$B$10,Paramètres!$A$1:$I$89,3,0)*VLOOKUP('Données projet'!$B$10,Paramètres!$A$1:$I$89,5,0)</f>
        <v>237.29160000000016</v>
      </c>
      <c r="AK70" s="13">
        <f t="shared" si="89"/>
        <v>57.856420685099636</v>
      </c>
      <c r="AL70" s="20">
        <f t="shared" si="58"/>
        <v>514.04946935988221</v>
      </c>
      <c r="AM70" s="59">
        <f t="shared" si="59"/>
        <v>807.38280269321558</v>
      </c>
      <c r="AN70" s="59">
        <f ca="1">AVERAGE(OFFSET($AM$3,0,0,'Données projet'!$E$10+1,1))-AVERAGE(OFFSET($H$3,0,0,'Données projet'!$E$10+1,1))</f>
        <v>248.1486444660062</v>
      </c>
      <c r="AO70" s="59">
        <f t="shared" si="90"/>
        <v>293.34458072322127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4.0935171212752097</v>
      </c>
      <c r="AV70" s="21">
        <f>EXP(-LN(2)/25)*AV69+(1-EXP(-LN(2)/25))/(LN(2)/25)*Calculateur!AQ70*Calculateur!AS70*VLOOKUP('Données projet'!$B$10,Paramètres!$A$1:$I$89,3,0)*0.475*44/12</f>
        <v>12.202148879691626</v>
      </c>
      <c r="AW70" s="21">
        <f>EXP(-LN(2)/2)*AW69+(1-EXP(-LN(2)/2))/(LN(2)/2)*AQ70*AT70*VLOOKUP('Données projet'!$B$10,Paramètres!$A$1:$I$89,3,0)*0.475*44/12</f>
        <v>6.7927033510403181E-5</v>
      </c>
      <c r="AX70" s="21">
        <f t="shared" si="60"/>
        <v>16.295733928000345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15.8</v>
      </c>
      <c r="N71" s="13">
        <f>IF('Données projet'!$A$36&gt;35,N70+M71-V70,IF(A71&lt;'Données projet'!$A$36,$K$205^A71,IF(A71='Données projet'!$A$36,'Données projet'!$B$36,N70+M71-V70)))</f>
        <v>709.39999999999907</v>
      </c>
      <c r="O71" s="13">
        <f>N71*VLOOKUP('Données projet'!$B$9,Paramètres!$A$1:$I$89,3,0)*VLOOKUP('Données projet'!$B$9,Paramètres!$A$1:$I$89,5,0)</f>
        <v>396.55459999999948</v>
      </c>
      <c r="P71" s="13">
        <f t="shared" si="87"/>
        <v>91.077811955600495</v>
      </c>
      <c r="Q71" s="20">
        <f t="shared" si="54"/>
        <v>849.29311748933662</v>
      </c>
      <c r="R71" s="59">
        <f t="shared" si="55"/>
        <v>1142.62645082267</v>
      </c>
      <c r="S71" s="59">
        <f ca="1">AVERAGE(OFFSET($R$3,0,0,'Données projet'!$E$9+1,1))-AVERAGE(OFFSET($H$3,0,0,'Données projet'!$E$9+1,1))</f>
        <v>415.91544298418842</v>
      </c>
      <c r="T71" s="59">
        <f t="shared" si="88"/>
        <v>422.79312683312583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5.3805704038694895</v>
      </c>
      <c r="AA71" s="21">
        <f>EXP(-LN(2)/25)*AA70+(1-EXP(-LN(2)/25))/(LN(2)/25)*Calculateur!V71*Calculateur!X71*VLOOKUP('Données projet'!$B$9,Paramètres!$A$1:$I$89,3,0)*0.475*44/12</f>
        <v>13.514860438885179</v>
      </c>
      <c r="AB71" s="21">
        <f>EXP(-LN(2)/2)*AB70+(1-EXP(-LN(2)/2))/(LN(2)/2)*V71*Y71*VLOOKUP('Données projet'!$B$9,Paramètres!$A$1:$I$89,3,0)*0.475*44/12</f>
        <v>6.9564612112110321E-5</v>
      </c>
      <c r="AC71" s="22">
        <f t="shared" si="57"/>
        <v>18.895500407366782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9.8000000000000007</v>
      </c>
      <c r="AI71" s="13">
        <f>IF('Données projet'!$A$62&gt;35,AI70+AH71-AQ70,IF(A71&lt;'Données projet'!$A$62,$AF$205^A71,IF(A71='Données projet'!$A$62,'Données projet'!$B$62,AI70+AH71-AQ70)))</f>
        <v>444.40000000000032</v>
      </c>
      <c r="AJ71" s="13">
        <f>AI71*VLOOKUP('Données projet'!$B$10,Paramètres!$A$1:$I$89,3,0)*VLOOKUP('Données projet'!$B$10,Paramètres!$A$1:$I$89,5,0)</f>
        <v>242.64240000000018</v>
      </c>
      <c r="AK71" s="13">
        <f t="shared" si="89"/>
        <v>59.007692897618305</v>
      </c>
      <c r="AL71" s="20">
        <f t="shared" si="58"/>
        <v>525.37391179668555</v>
      </c>
      <c r="AM71" s="59">
        <f t="shared" si="59"/>
        <v>818.70724513001892</v>
      </c>
      <c r="AN71" s="59">
        <f ca="1">AVERAGE(OFFSET($AM$3,0,0,'Données projet'!$E$10+1,1))-AVERAGE(OFFSET($H$3,0,0,'Données projet'!$E$10+1,1))</f>
        <v>248.1486444660062</v>
      </c>
      <c r="AO71" s="59">
        <f t="shared" si="90"/>
        <v>293.34458072322127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4.0132457473259082</v>
      </c>
      <c r="AV71" s="21">
        <f>EXP(-LN(2)/25)*AV70+(1-EXP(-LN(2)/25))/(LN(2)/25)*Calculateur!AQ71*Calculateur!AS71*VLOOKUP('Données projet'!$B$10,Paramètres!$A$1:$I$89,3,0)*0.475*44/12</f>
        <v>11.868480476893337</v>
      </c>
      <c r="AW71" s="21">
        <f>EXP(-LN(2)/2)*AW70+(1-EXP(-LN(2)/2))/(LN(2)/2)*AQ71*AT71*VLOOKUP('Données projet'!$B$10,Paramètres!$A$1:$I$89,3,0)*0.475*44/12</f>
        <v>4.8031666021091944E-5</v>
      </c>
      <c r="AX71" s="21">
        <f t="shared" si="60"/>
        <v>15.881774255885267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15.8</v>
      </c>
      <c r="N72" s="13">
        <f>IF('Données projet'!$A$36&gt;35,N71+M72-V71,IF(A72&lt;'Données projet'!$A$36,$K$205^A72,IF(A72='Données projet'!$A$36,'Données projet'!$B$36,N71+M72-V71)))</f>
        <v>725.19999999999902</v>
      </c>
      <c r="O72" s="13">
        <f>N72*VLOOKUP('Données projet'!$B$9,Paramètres!$A$1:$I$89,3,0)*VLOOKUP('Données projet'!$B$9,Paramètres!$A$1:$I$89,5,0)</f>
        <v>405.38679999999943</v>
      </c>
      <c r="P72" s="13">
        <f t="shared" si="87"/>
        <v>92.867904553465792</v>
      </c>
      <c r="Q72" s="20">
        <f t="shared" si="54"/>
        <v>867.79361043061851</v>
      </c>
      <c r="R72" s="59">
        <f t="shared" si="55"/>
        <v>1161.1269437639519</v>
      </c>
      <c r="S72" s="59">
        <f ca="1">AVERAGE(OFFSET($R$3,0,0,'Données projet'!$E$9+1,1))-AVERAGE(OFFSET($H$3,0,0,'Données projet'!$E$9+1,1))</f>
        <v>415.91544298418842</v>
      </c>
      <c r="T72" s="59">
        <f t="shared" si="88"/>
        <v>422.79312683312583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5.2750607000735021</v>
      </c>
      <c r="AA72" s="21">
        <f>EXP(-LN(2)/25)*AA71+(1-EXP(-LN(2)/25))/(LN(2)/25)*Calculateur!V72*Calculateur!X72*VLOOKUP('Données projet'!$B$9,Paramètres!$A$1:$I$89,3,0)*0.475*44/12</f>
        <v>13.145295869468242</v>
      </c>
      <c r="AB72" s="21">
        <f>EXP(-LN(2)/2)*AB71+(1-EXP(-LN(2)/2))/(LN(2)/2)*V72*Y72*VLOOKUP('Données projet'!$B$9,Paramètres!$A$1:$I$89,3,0)*0.475*44/12</f>
        <v>4.9189608955085047E-5</v>
      </c>
      <c r="AC72" s="22">
        <f t="shared" si="57"/>
        <v>18.4204057591507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9.8000000000000007</v>
      </c>
      <c r="AI72" s="13">
        <f>IF('Données projet'!$A$62&gt;35,AI71+AH72-AQ71,IF(A72&lt;'Données projet'!$A$62,$AF$205^A72,IF(A72='Données projet'!$A$62,'Données projet'!$B$62,AI71+AH72-AQ71)))</f>
        <v>454.20000000000033</v>
      </c>
      <c r="AJ72" s="13">
        <f>AI72*VLOOKUP('Données projet'!$B$10,Paramètres!$A$1:$I$89,3,0)*VLOOKUP('Données projet'!$B$10,Paramètres!$A$1:$I$89,5,0)</f>
        <v>247.99320000000017</v>
      </c>
      <c r="AK72" s="13">
        <f t="shared" si="89"/>
        <v>60.15601347301552</v>
      </c>
      <c r="AL72" s="20">
        <f t="shared" si="58"/>
        <v>536.69321346550237</v>
      </c>
      <c r="AM72" s="59">
        <f t="shared" si="59"/>
        <v>830.02654679883562</v>
      </c>
      <c r="AN72" s="59">
        <f ca="1">AVERAGE(OFFSET($AM$3,0,0,'Données projet'!$E$10+1,1))-AVERAGE(OFFSET($H$3,0,0,'Données projet'!$E$10+1,1))</f>
        <v>248.1486444660062</v>
      </c>
      <c r="AO72" s="59">
        <f t="shared" si="90"/>
        <v>293.34458072322127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3.9345484460590492</v>
      </c>
      <c r="AV72" s="21">
        <f>EXP(-LN(2)/25)*AV71+(1-EXP(-LN(2)/25))/(LN(2)/25)*Calculateur!AQ72*Calculateur!AS72*VLOOKUP('Données projet'!$B$10,Paramètres!$A$1:$I$89,3,0)*0.475*44/12</f>
        <v>11.543936254116426</v>
      </c>
      <c r="AW72" s="21">
        <f>EXP(-LN(2)/2)*AW71+(1-EXP(-LN(2)/2))/(LN(2)/2)*AQ72*AT72*VLOOKUP('Données projet'!$B$10,Paramètres!$A$1:$I$89,3,0)*0.475*44/12</f>
        <v>3.3963516755201591E-5</v>
      </c>
      <c r="AX72" s="21">
        <f t="shared" si="60"/>
        <v>15.478518663692229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741</v>
      </c>
      <c r="L73" s="12">
        <f>VLOOKUP(A73,'Données projet'!$A$35:$I$55,9,0)</f>
        <v>15.8</v>
      </c>
      <c r="M73" s="12">
        <f t="array" ref="M73">INDEX(L:L,MIN(IF(ISNUMBER(L73:L269),ROW(L73:L269),"")))</f>
        <v>15.8</v>
      </c>
      <c r="N73" s="13">
        <f>IF('Données projet'!$A$36&gt;35,N72+M73-V72,IF(A73&lt;'Données projet'!$A$36,$K$205^A73,IF(A73='Données projet'!$A$36,'Données projet'!$B$36,N72+M73-V72)))</f>
        <v>740.99999999999898</v>
      </c>
      <c r="O73" s="13">
        <f>N73*VLOOKUP('Données projet'!$B$9,Paramètres!$A$1:$I$89,3,0)*VLOOKUP('Données projet'!$B$9,Paramètres!$A$1:$I$89,5,0)</f>
        <v>414.21899999999943</v>
      </c>
      <c r="P73" s="13">
        <f t="shared" si="87"/>
        <v>94.653462817267581</v>
      </c>
      <c r="Q73" s="20">
        <f t="shared" si="54"/>
        <v>886.28620607340656</v>
      </c>
      <c r="R73" s="59">
        <f t="shared" si="55"/>
        <v>1179.6195394067399</v>
      </c>
      <c r="S73" s="59">
        <f ca="1">AVERAGE(OFFSET($R$3,0,0,'Données projet'!$E$9+1,1))-AVERAGE(OFFSET($H$3,0,0,'Données projet'!$E$9+1,1))</f>
        <v>415.91544298418842</v>
      </c>
      <c r="T73" s="59">
        <f t="shared" si="88"/>
        <v>422.79312683312583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5.1716199772143892</v>
      </c>
      <c r="AA73" s="21">
        <f>EXP(-LN(2)/25)*AA72+(1-EXP(-LN(2)/25))/(LN(2)/25)*Calculateur!V73*Calculateur!X73*VLOOKUP('Données projet'!$B$9,Paramètres!$A$1:$I$89,3,0)*0.475*44/12</f>
        <v>12.785837062636567</v>
      </c>
      <c r="AB73" s="21">
        <f>EXP(-LN(2)/2)*AB72+(1-EXP(-LN(2)/2))/(LN(2)/2)*V73*Y73*VLOOKUP('Données projet'!$B$9,Paramètres!$A$1:$I$89,3,0)*0.475*44/12</f>
        <v>3.478230605605516E-5</v>
      </c>
      <c r="AC73" s="22">
        <f t="shared" si="57"/>
        <v>17.957491822157014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464</v>
      </c>
      <c r="AG73" s="12">
        <f>VLOOKUP(A73,'Données projet'!$A$61:$I$81,9,0)</f>
        <v>9.8000000000000007</v>
      </c>
      <c r="AH73" s="12">
        <f t="array" ref="AH73">INDEX(AG:AG,MIN(IF(ISNUMBER(AG73:AG269),ROW(AG73:AG269),"")))</f>
        <v>9.8000000000000007</v>
      </c>
      <c r="AI73" s="13">
        <f>IF('Données projet'!$A$62&gt;35,AI72+AH73-AQ72,IF(A73&lt;'Données projet'!$A$62,$AF$205^A73,IF(A73='Données projet'!$A$62,'Données projet'!$B$62,AI72+AH73-AQ72)))</f>
        <v>464.00000000000034</v>
      </c>
      <c r="AJ73" s="13">
        <f>AI73*VLOOKUP('Données projet'!$B$10,Paramètres!$A$1:$I$89,3,0)*VLOOKUP('Données projet'!$B$10,Paramètres!$A$1:$I$89,5,0)</f>
        <v>253.34400000000019</v>
      </c>
      <c r="AK73" s="13">
        <f t="shared" si="89"/>
        <v>61.301453431926305</v>
      </c>
      <c r="AL73" s="20">
        <f t="shared" si="58"/>
        <v>548.00749806060537</v>
      </c>
      <c r="AM73" s="59">
        <f t="shared" si="59"/>
        <v>841.34083139393874</v>
      </c>
      <c r="AN73" s="59">
        <f ca="1">AVERAGE(OFFSET($AM$3,0,0,'Données projet'!$E$10+1,1))-AVERAGE(OFFSET($H$3,0,0,'Données projet'!$E$10+1,1))</f>
        <v>248.1486444660062</v>
      </c>
      <c r="AO73" s="59">
        <f t="shared" si="90"/>
        <v>293.34458072322127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63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3.8573943508694191</v>
      </c>
      <c r="AV73" s="21">
        <f>EXP(-LN(2)/25)*AV72+(1-EXP(-LN(2)/25))/(LN(2)/25)*Calculateur!AQ73*Calculateur!AS73*VLOOKUP('Données projet'!$B$10,Paramètres!$A$1:$I$89,3,0)*0.475*44/12</f>
        <v>11.228266710178389</v>
      </c>
      <c r="AW73" s="21">
        <f>EXP(-LN(2)/2)*AW72+(1-EXP(-LN(2)/2))/(LN(2)/2)*AQ73*AT73*VLOOKUP('Données projet'!$B$10,Paramètres!$A$1:$I$89,3,0)*0.475*44/12</f>
        <v>2.4015833010545972E-5</v>
      </c>
      <c r="AX73" s="21">
        <f t="shared" si="60"/>
        <v>15.08568507688082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12.9</v>
      </c>
      <c r="N74" s="13">
        <f>IF('Données projet'!$A$36&gt;35,N73+M74-V73,IF(A74&lt;'Données projet'!$A$36,$K$205^A74,IF(A74='Données projet'!$A$36,'Données projet'!$B$36,N73+M74-V73)))</f>
        <v>673.89999999999895</v>
      </c>
      <c r="O74" s="13">
        <f>N74*VLOOKUP('Données projet'!$B$9,Paramètres!$A$1:$I$89,3,0)*VLOOKUP('Données projet'!$B$9,Paramètres!$A$1:$I$89,5,0)</f>
        <v>376.71009999999939</v>
      </c>
      <c r="P74" s="13">
        <f t="shared" si="87"/>
        <v>87.038637418312646</v>
      </c>
      <c r="Q74" s="20">
        <f t="shared" si="54"/>
        <v>807.69571767022671</v>
      </c>
      <c r="R74" s="59">
        <f t="shared" si="55"/>
        <v>1101.02905100356</v>
      </c>
      <c r="S74" s="59">
        <f ca="1">AVERAGE(OFFSET($R$3,0,0,'Données projet'!$E$9+1,1))-AVERAGE(OFFSET($H$3,0,0,'Données projet'!$E$9+1,1))</f>
        <v>415.91544298418842</v>
      </c>
      <c r="T74" s="59">
        <f t="shared" si="88"/>
        <v>422.79312683312583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5.0702076638379321</v>
      </c>
      <c r="AA74" s="21">
        <f>EXP(-LN(2)/25)*AA73+(1-EXP(-LN(2)/25))/(LN(2)/25)*Calculateur!V74*Calculateur!X74*VLOOKUP('Données projet'!$B$9,Paramètres!$A$1:$I$89,3,0)*0.475*44/12</f>
        <v>12.436207675780821</v>
      </c>
      <c r="AB74" s="21">
        <f>EXP(-LN(2)/2)*AB73+(1-EXP(-LN(2)/2))/(LN(2)/2)*V74*Y74*VLOOKUP('Données projet'!$B$9,Paramètres!$A$1:$I$89,3,0)*0.475*44/12</f>
        <v>2.4594804477542523E-5</v>
      </c>
      <c r="AC74" s="22">
        <f t="shared" si="57"/>
        <v>17.506439934423234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8.6</v>
      </c>
      <c r="AI74" s="13">
        <f>IF('Données projet'!$A$62&gt;35,AI73+AH74-AQ73,IF(A74&lt;'Données projet'!$A$62,$AF$205^A74,IF(A74='Données projet'!$A$62,'Données projet'!$B$62,AI73+AH74-AQ73)))</f>
        <v>409.60000000000036</v>
      </c>
      <c r="AJ74" s="13">
        <f>AI74*VLOOKUP('Données projet'!$B$10,Paramètres!$A$1:$I$89,3,0)*VLOOKUP('Données projet'!$B$10,Paramètres!$A$1:$I$89,5,0)</f>
        <v>223.64160000000021</v>
      </c>
      <c r="AK74" s="13">
        <f t="shared" si="89"/>
        <v>54.905611653539268</v>
      </c>
      <c r="AL74" s="20">
        <f t="shared" si="58"/>
        <v>485.13639362991449</v>
      </c>
      <c r="AM74" s="59">
        <f t="shared" si="59"/>
        <v>778.46972696324781</v>
      </c>
      <c r="AN74" s="59">
        <f ca="1">AVERAGE(OFFSET($AM$3,0,0,'Données projet'!$E$10+1,1))-AVERAGE(OFFSET($H$3,0,0,'Données projet'!$E$10+1,1))</f>
        <v>248.1486444660062</v>
      </c>
      <c r="AO74" s="59">
        <f t="shared" si="90"/>
        <v>293.34458072322127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3.7817532004271062</v>
      </c>
      <c r="AV74" s="21">
        <f>EXP(-LN(2)/25)*AV73+(1-EXP(-LN(2)/25))/(LN(2)/25)*Calculateur!AQ74*Calculateur!AS74*VLOOKUP('Données projet'!$B$10,Paramètres!$A$1:$I$89,3,0)*0.475*44/12</f>
        <v>10.921229166519677</v>
      </c>
      <c r="AW74" s="21">
        <f>EXP(-LN(2)/2)*AW73+(1-EXP(-LN(2)/2))/(LN(2)/2)*AQ74*AT74*VLOOKUP('Données projet'!$B$10,Paramètres!$A$1:$I$89,3,0)*0.475*44/12</f>
        <v>1.6981758377600795E-5</v>
      </c>
      <c r="AX74" s="21">
        <f t="shared" si="60"/>
        <v>14.702999348705161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12.9</v>
      </c>
      <c r="N75" s="13">
        <f>IF('Données projet'!$A$36&gt;35,N74+M75-V74,IF(A75&lt;'Données projet'!$A$36,$K$205^A75,IF(A75='Données projet'!$A$36,'Données projet'!$B$36,N74+M75-V74)))</f>
        <v>686.79999999999893</v>
      </c>
      <c r="O75" s="13">
        <f>N75*VLOOKUP('Données projet'!$B$9,Paramètres!$A$1:$I$89,3,0)*VLOOKUP('Données projet'!$B$9,Paramètres!$A$1:$I$89,5,0)</f>
        <v>383.92119999999943</v>
      </c>
      <c r="P75" s="13">
        <f t="shared" si="87"/>
        <v>88.509192685867021</v>
      </c>
      <c r="Q75" s="20">
        <f t="shared" si="54"/>
        <v>822.81626726121738</v>
      </c>
      <c r="R75" s="59">
        <f t="shared" si="55"/>
        <v>1116.1496005945507</v>
      </c>
      <c r="S75" s="59">
        <f ca="1">AVERAGE(OFFSET($R$3,0,0,'Données projet'!$E$9+1,1))-AVERAGE(OFFSET($H$3,0,0,'Données projet'!$E$9+1,1))</f>
        <v>415.91544298418842</v>
      </c>
      <c r="T75" s="59">
        <f t="shared" si="88"/>
        <v>422.79312683312583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4.9707839840713843</v>
      </c>
      <c r="AA75" s="21">
        <f>EXP(-LN(2)/25)*AA74+(1-EXP(-LN(2)/25))/(LN(2)/25)*Calculateur!V75*Calculateur!X75*VLOOKUP('Données projet'!$B$9,Paramètres!$A$1:$I$89,3,0)*0.475*44/12</f>
        <v>12.096138922894855</v>
      </c>
      <c r="AB75" s="21">
        <f>EXP(-LN(2)/2)*AB74+(1-EXP(-LN(2)/2))/(LN(2)/2)*V75*Y75*VLOOKUP('Données projet'!$B$9,Paramètres!$A$1:$I$89,3,0)*0.475*44/12</f>
        <v>1.739115302802758E-5</v>
      </c>
      <c r="AC75" s="22">
        <f t="shared" si="57"/>
        <v>17.06694029811927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8.6</v>
      </c>
      <c r="AI75" s="13">
        <f>IF('Données projet'!$A$62&gt;35,AI74+AH75-AQ74,IF(A75&lt;'Données projet'!$A$62,$AF$205^A75,IF(A75='Données projet'!$A$62,'Données projet'!$B$62,AI74+AH75-AQ74)))</f>
        <v>418.20000000000039</v>
      </c>
      <c r="AJ75" s="13">
        <f>AI75*VLOOKUP('Données projet'!$B$10,Paramètres!$A$1:$I$89,3,0)*VLOOKUP('Données projet'!$B$10,Paramètres!$A$1:$I$89,5,0)</f>
        <v>228.33720000000019</v>
      </c>
      <c r="AK75" s="13">
        <f t="shared" si="89"/>
        <v>55.922993607595103</v>
      </c>
      <c r="AL75" s="20">
        <f t="shared" si="58"/>
        <v>495.08650386656171</v>
      </c>
      <c r="AM75" s="59">
        <f t="shared" si="59"/>
        <v>788.41983719989503</v>
      </c>
      <c r="AN75" s="59">
        <f ca="1">AVERAGE(OFFSET($AM$3,0,0,'Données projet'!$E$10+1,1))-AVERAGE(OFFSET($H$3,0,0,'Données projet'!$E$10+1,1))</f>
        <v>248.1486444660062</v>
      </c>
      <c r="AO75" s="59">
        <f t="shared" si="90"/>
        <v>293.34458072322127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3.7075953268084207</v>
      </c>
      <c r="AV75" s="21">
        <f>EXP(-LN(2)/25)*AV74+(1-EXP(-LN(2)/25))/(LN(2)/25)*Calculateur!AQ75*Calculateur!AS75*VLOOKUP('Données projet'!$B$10,Paramètres!$A$1:$I$89,3,0)*0.475*44/12</f>
        <v>10.622587580638715</v>
      </c>
      <c r="AW75" s="21">
        <f>EXP(-LN(2)/2)*AW74+(1-EXP(-LN(2)/2))/(LN(2)/2)*AQ75*AT75*VLOOKUP('Données projet'!$B$10,Paramètres!$A$1:$I$89,3,0)*0.475*44/12</f>
        <v>1.2007916505272986E-5</v>
      </c>
      <c r="AX75" s="21">
        <f t="shared" si="60"/>
        <v>14.33019491536364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12.9</v>
      </c>
      <c r="N76" s="13">
        <f>IF('Données projet'!$A$36&gt;35,N75+M76-V75,IF(A76&lt;'Données projet'!$A$36,$K$205^A76,IF(A76='Données projet'!$A$36,'Données projet'!$B$36,N75+M76-V75)))</f>
        <v>699.69999999999891</v>
      </c>
      <c r="O76" s="13">
        <f>N76*VLOOKUP('Données projet'!$B$9,Paramètres!$A$1:$I$89,3,0)*VLOOKUP('Données projet'!$B$9,Paramètres!$A$1:$I$89,5,0)</f>
        <v>391.13229999999942</v>
      </c>
      <c r="P76" s="13">
        <f t="shared" si="87"/>
        <v>89.976536171230705</v>
      </c>
      <c r="Q76" s="20">
        <f t="shared" si="54"/>
        <v>837.93122299822573</v>
      </c>
      <c r="R76" s="59">
        <f t="shared" si="55"/>
        <v>1131.2645563315591</v>
      </c>
      <c r="S76" s="59">
        <f ca="1">AVERAGE(OFFSET($R$3,0,0,'Données projet'!$E$9+1,1))-AVERAGE(OFFSET($H$3,0,0,'Données projet'!$E$9+1,1))</f>
        <v>415.91544298418842</v>
      </c>
      <c r="T76" s="59">
        <f t="shared" si="88"/>
        <v>422.79312683312583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4.873309942022602</v>
      </c>
      <c r="AA76" s="21">
        <f>EXP(-LN(2)/25)*AA75+(1-EXP(-LN(2)/25))/(LN(2)/25)*Calculateur!V76*Calculateur!X76*VLOOKUP('Données projet'!$B$9,Paramètres!$A$1:$I$89,3,0)*0.475*44/12</f>
        <v>11.765369367939996</v>
      </c>
      <c r="AB76" s="21">
        <f>EXP(-LN(2)/2)*AB75+(1-EXP(-LN(2)/2))/(LN(2)/2)*V76*Y76*VLOOKUP('Données projet'!$B$9,Paramètres!$A$1:$I$89,3,0)*0.475*44/12</f>
        <v>1.2297402238771262E-5</v>
      </c>
      <c r="AC76" s="22">
        <f t="shared" si="57"/>
        <v>16.638691607364837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8.6</v>
      </c>
      <c r="AI76" s="13">
        <f>IF('Données projet'!$A$62&gt;35,AI75+AH76-AQ75,IF(A76&lt;'Données projet'!$A$62,$AF$205^A76,IF(A76='Données projet'!$A$62,'Données projet'!$B$62,AI75+AH76-AQ75)))</f>
        <v>426.80000000000041</v>
      </c>
      <c r="AJ76" s="13">
        <f>AI76*VLOOKUP('Données projet'!$B$10,Paramètres!$A$1:$I$89,3,0)*VLOOKUP('Données projet'!$B$10,Paramètres!$A$1:$I$89,5,0)</f>
        <v>233.03280000000024</v>
      </c>
      <c r="AK76" s="13">
        <f t="shared" si="89"/>
        <v>56.937942998569035</v>
      </c>
      <c r="AL76" s="20">
        <f t="shared" si="58"/>
        <v>505.03237738917477</v>
      </c>
      <c r="AM76" s="59">
        <f t="shared" si="59"/>
        <v>798.36571072250808</v>
      </c>
      <c r="AN76" s="59">
        <f ca="1">AVERAGE(OFFSET($AM$3,0,0,'Données projet'!$E$10+1,1))-AVERAGE(OFFSET($H$3,0,0,'Données projet'!$E$10+1,1))</f>
        <v>248.1486444660062</v>
      </c>
      <c r="AO76" s="59">
        <f t="shared" si="90"/>
        <v>293.34458072322127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3.6348916438595613</v>
      </c>
      <c r="AV76" s="21">
        <f>EXP(-LN(2)/25)*AV75+(1-EXP(-LN(2)/25))/(LN(2)/25)*Calculateur!AQ76*Calculateur!AS76*VLOOKUP('Données projet'!$B$10,Paramètres!$A$1:$I$89,3,0)*0.475*44/12</f>
        <v>10.332112364628546</v>
      </c>
      <c r="AW76" s="21">
        <f>EXP(-LN(2)/2)*AW75+(1-EXP(-LN(2)/2))/(LN(2)/2)*AQ76*AT76*VLOOKUP('Données projet'!$B$10,Paramètres!$A$1:$I$89,3,0)*0.475*44/12</f>
        <v>8.4908791888003976E-6</v>
      </c>
      <c r="AX76" s="21">
        <f t="shared" si="60"/>
        <v>13.967012499367296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12.9</v>
      </c>
      <c r="N77" s="13">
        <f>IF('Données projet'!$A$36&gt;35,N76+M77-V76,IF(A77&lt;'Données projet'!$A$36,$K$205^A77,IF(A77='Données projet'!$A$36,'Données projet'!$B$36,N76+M77-V76)))</f>
        <v>712.59999999999889</v>
      </c>
      <c r="O77" s="13">
        <f>N77*VLOOKUP('Données projet'!$B$9,Paramètres!$A$1:$I$89,3,0)*VLOOKUP('Données projet'!$B$9,Paramètres!$A$1:$I$89,5,0)</f>
        <v>398.34339999999935</v>
      </c>
      <c r="P77" s="13">
        <f t="shared" si="87"/>
        <v>91.440733917504517</v>
      </c>
      <c r="Q77" s="20">
        <f t="shared" si="54"/>
        <v>853.04069990631922</v>
      </c>
      <c r="R77" s="59">
        <f t="shared" si="55"/>
        <v>1146.3740332396526</v>
      </c>
      <c r="S77" s="59">
        <f ca="1">AVERAGE(OFFSET($R$3,0,0,'Données projet'!$E$9+1,1))-AVERAGE(OFFSET($H$3,0,0,'Données projet'!$E$9+1,1))</f>
        <v>415.91544298418842</v>
      </c>
      <c r="T77" s="59">
        <f t="shared" si="88"/>
        <v>422.79312683312583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4.777747306485101</v>
      </c>
      <c r="AA77" s="21">
        <f>EXP(-LN(2)/25)*AA76+(1-EXP(-LN(2)/25))/(LN(2)/25)*Calculateur!V77*Calculateur!X77*VLOOKUP('Données projet'!$B$9,Paramètres!$A$1:$I$89,3,0)*0.475*44/12</f>
        <v>11.443644723859792</v>
      </c>
      <c r="AB77" s="21">
        <f>EXP(-LN(2)/2)*AB76+(1-EXP(-LN(2)/2))/(LN(2)/2)*V77*Y77*VLOOKUP('Données projet'!$B$9,Paramètres!$A$1:$I$89,3,0)*0.475*44/12</f>
        <v>8.6955765140137901E-6</v>
      </c>
      <c r="AC77" s="22">
        <f t="shared" si="57"/>
        <v>16.221400725921409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8.6</v>
      </c>
      <c r="AI77" s="13">
        <f>IF('Données projet'!$A$62&gt;35,AI76+AH77-AQ76,IF(A77&lt;'Données projet'!$A$62,$AF$205^A77,IF(A77='Données projet'!$A$62,'Données projet'!$B$62,AI76+AH77-AQ76)))</f>
        <v>435.40000000000043</v>
      </c>
      <c r="AJ77" s="13">
        <f>AI77*VLOOKUP('Données projet'!$B$10,Paramètres!$A$1:$I$89,3,0)*VLOOKUP('Données projet'!$B$10,Paramètres!$A$1:$I$89,5,0)</f>
        <v>237.72840000000022</v>
      </c>
      <c r="AK77" s="13">
        <f t="shared" si="89"/>
        <v>57.950514491302194</v>
      </c>
      <c r="AL77" s="20">
        <f t="shared" si="58"/>
        <v>514.974109405685</v>
      </c>
      <c r="AM77" s="59">
        <f t="shared" si="59"/>
        <v>808.30744273901837</v>
      </c>
      <c r="AN77" s="59">
        <f ca="1">AVERAGE(OFFSET($AM$3,0,0,'Données projet'!$E$10+1,1))-AVERAGE(OFFSET($H$3,0,0,'Données projet'!$E$10+1,1))</f>
        <v>248.1486444660062</v>
      </c>
      <c r="AO77" s="59">
        <f t="shared" si="90"/>
        <v>293.34458072322127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3.5636136357884611</v>
      </c>
      <c r="AV77" s="21">
        <f>EXP(-LN(2)/25)*AV76+(1-EXP(-LN(2)/25))/(LN(2)/25)*Calculateur!AQ77*Calculateur!AS77*VLOOKUP('Données projet'!$B$10,Paramètres!$A$1:$I$89,3,0)*0.475*44/12</f>
        <v>10.049580208675604</v>
      </c>
      <c r="AW77" s="21">
        <f>EXP(-LN(2)/2)*AW76+(1-EXP(-LN(2)/2))/(LN(2)/2)*AQ77*AT77*VLOOKUP('Données projet'!$B$10,Paramètres!$A$1:$I$89,3,0)*0.475*44/12</f>
        <v>6.003958252636493E-6</v>
      </c>
      <c r="AX77" s="21">
        <f t="shared" si="60"/>
        <v>13.613199848422317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12.9</v>
      </c>
      <c r="N78" s="13">
        <f>IF('Données projet'!$A$36&gt;35,N77+M78-V77,IF(A78&lt;'Données projet'!$A$36,$K$205^A78,IF(A78='Données projet'!$A$36,'Données projet'!$B$36,N77+M78-V77)))</f>
        <v>725.49999999999886</v>
      </c>
      <c r="O78" s="13">
        <f>N78*VLOOKUP('Données projet'!$B$9,Paramètres!$A$1:$I$89,3,0)*VLOOKUP('Données projet'!$B$9,Paramètres!$A$1:$I$89,5,0)</f>
        <v>405.55449999999939</v>
      </c>
      <c r="P78" s="13">
        <f t="shared" si="87"/>
        <v>92.901849439756845</v>
      </c>
      <c r="Q78" s="20">
        <f t="shared" si="54"/>
        <v>868.14480860757533</v>
      </c>
      <c r="R78" s="59">
        <f t="shared" si="55"/>
        <v>1161.4781419409087</v>
      </c>
      <c r="S78" s="59">
        <f ca="1">AVERAGE(OFFSET($R$3,0,0,'Données projet'!$E$9+1,1))-AVERAGE(OFFSET($H$3,0,0,'Données projet'!$E$9+1,1))</f>
        <v>415.91544298418842</v>
      </c>
      <c r="T78" s="59">
        <f t="shared" si="88"/>
        <v>422.79312683312583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4.6840585959430383</v>
      </c>
      <c r="AA78" s="21">
        <f>EXP(-LN(2)/25)*AA77+(1-EXP(-LN(2)/25))/(LN(2)/25)*Calculateur!V78*Calculateur!X78*VLOOKUP('Données projet'!$B$9,Paramètres!$A$1:$I$89,3,0)*0.475*44/12</f>
        <v>11.130717657090726</v>
      </c>
      <c r="AB78" s="21">
        <f>EXP(-LN(2)/2)*AB77+(1-EXP(-LN(2)/2))/(LN(2)/2)*V78*Y78*VLOOKUP('Données projet'!$B$9,Paramètres!$A$1:$I$89,3,0)*0.475*44/12</f>
        <v>6.1487011193856308E-6</v>
      </c>
      <c r="AC78" s="22">
        <f t="shared" si="57"/>
        <v>15.814782401734883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8.6</v>
      </c>
      <c r="AI78" s="13">
        <f>IF('Données projet'!$A$62&gt;35,AI77+AH78-AQ77,IF(A78&lt;'Données projet'!$A$62,$AF$205^A78,IF(A78='Données projet'!$A$62,'Données projet'!$B$62,AI77+AH78-AQ77)))</f>
        <v>444.00000000000045</v>
      </c>
      <c r="AJ78" s="13">
        <f>AI78*VLOOKUP('Données projet'!$B$10,Paramètres!$A$1:$I$89,3,0)*VLOOKUP('Données projet'!$B$10,Paramètres!$A$1:$I$89,5,0)</f>
        <v>242.42400000000026</v>
      </c>
      <c r="AK78" s="13">
        <f t="shared" si="89"/>
        <v>58.960760467659817</v>
      </c>
      <c r="AL78" s="20">
        <f t="shared" si="58"/>
        <v>524.91179114784131</v>
      </c>
      <c r="AM78" s="59">
        <f t="shared" si="59"/>
        <v>818.24512448117457</v>
      </c>
      <c r="AN78" s="59">
        <f ca="1">AVERAGE(OFFSET($AM$3,0,0,'Données projet'!$E$10+1,1))-AVERAGE(OFFSET($H$3,0,0,'Données projet'!$E$10+1,1))</f>
        <v>248.1486444660062</v>
      </c>
      <c r="AO78" s="59">
        <f t="shared" si="90"/>
        <v>293.34458072322127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3.4937333459803432</v>
      </c>
      <c r="AV78" s="21">
        <f>EXP(-LN(2)/25)*AV77+(1-EXP(-LN(2)/25))/(LN(2)/25)*Calculateur!AQ78*Calculateur!AS78*VLOOKUP('Données projet'!$B$10,Paramètres!$A$1:$I$89,3,0)*0.475*44/12</f>
        <v>9.7747739093849155</v>
      </c>
      <c r="AW78" s="21">
        <f>EXP(-LN(2)/2)*AW77+(1-EXP(-LN(2)/2))/(LN(2)/2)*AQ78*AT78*VLOOKUP('Données projet'!$B$10,Paramètres!$A$1:$I$89,3,0)*0.475*44/12</f>
        <v>4.2454395944001988E-6</v>
      </c>
      <c r="AX78" s="21">
        <f t="shared" si="60"/>
        <v>13.268511500804854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12.9</v>
      </c>
      <c r="N79" s="13">
        <f>IF('Données projet'!$A$36&gt;35,N78+M79-V78,IF(A79&lt;'Données projet'!$A$36,$K$205^A79,IF(A79='Données projet'!$A$36,'Données projet'!$B$36,N78+M79-V78)))</f>
        <v>738.39999999999884</v>
      </c>
      <c r="O79" s="13">
        <f>N79*VLOOKUP('Données projet'!$B$9,Paramètres!$A$1:$I$89,3,0)*VLOOKUP('Données projet'!$B$9,Paramètres!$A$1:$I$89,5,0)</f>
        <v>412.76559999999932</v>
      </c>
      <c r="P79" s="13">
        <f t="shared" si="87"/>
        <v>94.359943864992076</v>
      </c>
      <c r="Q79" s="20">
        <f t="shared" si="54"/>
        <v>883.24365556486009</v>
      </c>
      <c r="R79" s="59">
        <f t="shared" si="55"/>
        <v>1176.5769888981933</v>
      </c>
      <c r="S79" s="59">
        <f ca="1">AVERAGE(OFFSET($R$3,0,0,'Données projet'!$E$9+1,1))-AVERAGE(OFFSET($H$3,0,0,'Données projet'!$E$9+1,1))</f>
        <v>415.91544298418842</v>
      </c>
      <c r="T79" s="59">
        <f t="shared" si="88"/>
        <v>422.79312683312583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4.5922070638702346</v>
      </c>
      <c r="AA79" s="21">
        <f>EXP(-LN(2)/25)*AA78+(1-EXP(-LN(2)/25))/(LN(2)/25)*Calculateur!V79*Calculateur!X79*VLOOKUP('Données projet'!$B$9,Paramètres!$A$1:$I$89,3,0)*0.475*44/12</f>
        <v>10.826347597418577</v>
      </c>
      <c r="AB79" s="21">
        <f>EXP(-LN(2)/2)*AB78+(1-EXP(-LN(2)/2))/(LN(2)/2)*V79*Y79*VLOOKUP('Données projet'!$B$9,Paramètres!$A$1:$I$89,3,0)*0.475*44/12</f>
        <v>4.347788257006895E-6</v>
      </c>
      <c r="AC79" s="22">
        <f t="shared" si="57"/>
        <v>15.41855900907707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8.6</v>
      </c>
      <c r="AI79" s="13">
        <f>IF('Données projet'!$A$62&gt;35,AI78+AH79-AQ78,IF(A79&lt;'Données projet'!$A$62,$AF$205^A79,IF(A79='Données projet'!$A$62,'Données projet'!$B$62,AI78+AH79-AQ78)))</f>
        <v>452.60000000000048</v>
      </c>
      <c r="AJ79" s="13">
        <f>AI79*VLOOKUP('Données projet'!$B$10,Paramètres!$A$1:$I$89,3,0)*VLOOKUP('Données projet'!$B$10,Paramètres!$A$1:$I$89,5,0)</f>
        <v>247.11960000000025</v>
      </c>
      <c r="AK79" s="13">
        <f t="shared" si="89"/>
        <v>59.968731164216315</v>
      </c>
      <c r="AL79" s="20">
        <f t="shared" si="58"/>
        <v>534.84551011101053</v>
      </c>
      <c r="AM79" s="59">
        <f t="shared" si="59"/>
        <v>828.17884344434378</v>
      </c>
      <c r="AN79" s="59">
        <f ca="1">AVERAGE(OFFSET($AM$3,0,0,'Données projet'!$E$10+1,1))-AVERAGE(OFFSET($H$3,0,0,'Données projet'!$E$10+1,1))</f>
        <v>248.1486444660062</v>
      </c>
      <c r="AO79" s="59">
        <f t="shared" si="90"/>
        <v>293.34458072322127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3.4252233660325944</v>
      </c>
      <c r="AV79" s="21">
        <f>EXP(-LN(2)/25)*AV78+(1-EXP(-LN(2)/25))/(LN(2)/25)*Calculateur!AQ79*Calculateur!AS79*VLOOKUP('Données projet'!$B$10,Paramètres!$A$1:$I$89,3,0)*0.475*44/12</f>
        <v>9.5074822027997659</v>
      </c>
      <c r="AW79" s="21">
        <f>EXP(-LN(2)/2)*AW78+(1-EXP(-LN(2)/2))/(LN(2)/2)*AQ79*AT79*VLOOKUP('Données projet'!$B$10,Paramètres!$A$1:$I$89,3,0)*0.475*44/12</f>
        <v>3.0019791263182465E-6</v>
      </c>
      <c r="AX79" s="21">
        <f t="shared" si="60"/>
        <v>12.932708570811487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12.9</v>
      </c>
      <c r="N80" s="13">
        <f>IF('Données projet'!$A$36&gt;35,N79+M80-V79,IF(A80&lt;'Données projet'!$A$36,$K$205^A80,IF(A80='Données projet'!$A$36,'Données projet'!$B$36,N79+M80-V79)))</f>
        <v>751.29999999999882</v>
      </c>
      <c r="O80" s="13">
        <f>N80*VLOOKUP('Données projet'!$B$9,Paramètres!$A$1:$I$89,3,0)*VLOOKUP('Données projet'!$B$9,Paramètres!$A$1:$I$89,5,0)</f>
        <v>419.97669999999937</v>
      </c>
      <c r="P80" s="13">
        <f t="shared" si="87"/>
        <v>95.815076062060939</v>
      </c>
      <c r="Q80" s="20">
        <f t="shared" si="54"/>
        <v>898.33734330808841</v>
      </c>
      <c r="R80" s="59">
        <f t="shared" si="55"/>
        <v>1191.6706766414218</v>
      </c>
      <c r="S80" s="59">
        <f ca="1">AVERAGE(OFFSET($R$3,0,0,'Données projet'!$E$9+1,1))-AVERAGE(OFFSET($H$3,0,0,'Données projet'!$E$9+1,1))</f>
        <v>415.91544298418842</v>
      </c>
      <c r="T80" s="59">
        <f t="shared" si="88"/>
        <v>422.79312683312583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4.5021566843174758</v>
      </c>
      <c r="AA80" s="21">
        <f>EXP(-LN(2)/25)*AA79+(1-EXP(-LN(2)/25))/(LN(2)/25)*Calculateur!V80*Calculateur!X80*VLOOKUP('Données projet'!$B$9,Paramètres!$A$1:$I$89,3,0)*0.475*44/12</f>
        <v>10.530300553034289</v>
      </c>
      <c r="AB80" s="21">
        <f>EXP(-LN(2)/2)*AB79+(1-EXP(-LN(2)/2))/(LN(2)/2)*V80*Y80*VLOOKUP('Données projet'!$B$9,Paramètres!$A$1:$I$89,3,0)*0.475*44/12</f>
        <v>3.0743505596928154E-6</v>
      </c>
      <c r="AC80" s="22">
        <f t="shared" si="57"/>
        <v>15.032460311702323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8.6</v>
      </c>
      <c r="AI80" s="13">
        <f>IF('Données projet'!$A$62&gt;35,AI79+AH80-AQ79,IF(A80&lt;'Données projet'!$A$62,$AF$205^A80,IF(A80='Données projet'!$A$62,'Données projet'!$B$62,AI79+AH80-AQ79)))</f>
        <v>461.2000000000005</v>
      </c>
      <c r="AJ80" s="13">
        <f>AI80*VLOOKUP('Données projet'!$B$10,Paramètres!$A$1:$I$89,3,0)*VLOOKUP('Données projet'!$B$10,Paramètres!$A$1:$I$89,5,0)</f>
        <v>251.81520000000029</v>
      </c>
      <c r="AK80" s="13">
        <f t="shared" si="89"/>
        <v>60.974474799180804</v>
      </c>
      <c r="AL80" s="20">
        <f t="shared" si="58"/>
        <v>544.77535027524038</v>
      </c>
      <c r="AM80" s="59">
        <f t="shared" si="59"/>
        <v>838.10868360857376</v>
      </c>
      <c r="AN80" s="59">
        <f ca="1">AVERAGE(OFFSET($AM$3,0,0,'Données projet'!$E$10+1,1))-AVERAGE(OFFSET($H$3,0,0,'Données projet'!$E$10+1,1))</f>
        <v>248.1486444660062</v>
      </c>
      <c r="AO80" s="59">
        <f t="shared" si="90"/>
        <v>293.34458072322127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3.3580568250046592</v>
      </c>
      <c r="AV80" s="21">
        <f>EXP(-LN(2)/25)*AV79+(1-EXP(-LN(2)/25))/(LN(2)/25)*Calculateur!AQ80*Calculateur!AS80*VLOOKUP('Données projet'!$B$10,Paramètres!$A$1:$I$89,3,0)*0.475*44/12</f>
        <v>9.247499601987446</v>
      </c>
      <c r="AW80" s="21">
        <f>EXP(-LN(2)/2)*AW79+(1-EXP(-LN(2)/2))/(LN(2)/2)*AQ80*AT80*VLOOKUP('Données projet'!$B$10,Paramètres!$A$1:$I$89,3,0)*0.475*44/12</f>
        <v>2.1227197972000994E-6</v>
      </c>
      <c r="AX80" s="21">
        <f t="shared" si="60"/>
        <v>12.605558549711903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12.9</v>
      </c>
      <c r="N81" s="13">
        <f>IF('Données projet'!$A$36&gt;35,N80+M81-V80,IF(A81&lt;'Données projet'!$A$36,$K$205^A81,IF(A81='Données projet'!$A$36,'Données projet'!$B$36,N80+M81-V80)))</f>
        <v>764.19999999999879</v>
      </c>
      <c r="O81" s="13">
        <f>N81*VLOOKUP('Données projet'!$B$9,Paramètres!$A$1:$I$89,3,0)*VLOOKUP('Données projet'!$B$9,Paramètres!$A$1:$I$89,5,0)</f>
        <v>427.18779999999936</v>
      </c>
      <c r="P81" s="13">
        <f t="shared" si="87"/>
        <v>97.267302762395772</v>
      </c>
      <c r="Q81" s="20">
        <f t="shared" si="54"/>
        <v>913.42597064450467</v>
      </c>
      <c r="R81" s="59">
        <f t="shared" si="55"/>
        <v>1206.759303977838</v>
      </c>
      <c r="S81" s="59">
        <f ca="1">AVERAGE(OFFSET($R$3,0,0,'Données projet'!$E$9+1,1))-AVERAGE(OFFSET($H$3,0,0,'Données projet'!$E$9+1,1))</f>
        <v>415.91544298418842</v>
      </c>
      <c r="T81" s="59">
        <f t="shared" si="88"/>
        <v>422.79312683312583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4.4138721377824384</v>
      </c>
      <c r="AA81" s="21">
        <f>EXP(-LN(2)/25)*AA80+(1-EXP(-LN(2)/25))/(LN(2)/25)*Calculateur!V81*Calculateur!X81*VLOOKUP('Données projet'!$B$9,Paramètres!$A$1:$I$89,3,0)*0.475*44/12</f>
        <v>10.242348930647127</v>
      </c>
      <c r="AB81" s="21">
        <f>EXP(-LN(2)/2)*AB80+(1-EXP(-LN(2)/2))/(LN(2)/2)*V81*Y81*VLOOKUP('Données projet'!$B$9,Paramètres!$A$1:$I$89,3,0)*0.475*44/12</f>
        <v>2.1738941285034475E-6</v>
      </c>
      <c r="AC81" s="22">
        <f t="shared" si="57"/>
        <v>14.656223242323694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8.6</v>
      </c>
      <c r="AI81" s="13">
        <f>IF('Données projet'!$A$62&gt;35,AI80+AH81-AQ80,IF(A81&lt;'Données projet'!$A$62,$AF$205^A81,IF(A81='Données projet'!$A$62,'Données projet'!$B$62,AI80+AH81-AQ80)))</f>
        <v>469.80000000000052</v>
      </c>
      <c r="AJ81" s="13">
        <f>AI81*VLOOKUP('Données projet'!$B$10,Paramètres!$A$1:$I$89,3,0)*VLOOKUP('Données projet'!$B$10,Paramètres!$A$1:$I$89,5,0)</f>
        <v>256.51080000000024</v>
      </c>
      <c r="AK81" s="13">
        <f t="shared" si="89"/>
        <v>61.978037689587218</v>
      </c>
      <c r="AL81" s="20">
        <f t="shared" si="58"/>
        <v>554.70139230936479</v>
      </c>
      <c r="AM81" s="59">
        <f t="shared" si="59"/>
        <v>848.03472564269805</v>
      </c>
      <c r="AN81" s="59">
        <f ca="1">AVERAGE(OFFSET($AM$3,0,0,'Données projet'!$E$10+1,1))-AVERAGE(OFFSET($H$3,0,0,'Données projet'!$E$10+1,1))</f>
        <v>248.1486444660062</v>
      </c>
      <c r="AO81" s="59">
        <f t="shared" si="90"/>
        <v>293.34458072322127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3.2922073788787367</v>
      </c>
      <c r="AV81" s="21">
        <f>EXP(-LN(2)/25)*AV80+(1-EXP(-LN(2)/25))/(LN(2)/25)*Calculateur!AQ81*Calculateur!AS81*VLOOKUP('Données projet'!$B$10,Paramètres!$A$1:$I$89,3,0)*0.475*44/12</f>
        <v>8.9946262390662302</v>
      </c>
      <c r="AW81" s="21">
        <f>EXP(-LN(2)/2)*AW80+(1-EXP(-LN(2)/2))/(LN(2)/2)*AQ81*AT81*VLOOKUP('Données projet'!$B$10,Paramètres!$A$1:$I$89,3,0)*0.475*44/12</f>
        <v>1.5009895631591232E-6</v>
      </c>
      <c r="AX81" s="21">
        <f t="shared" si="60"/>
        <v>12.286835118934532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12.9</v>
      </c>
      <c r="N82" s="13">
        <f>IF('Données projet'!$A$36&gt;35,N81+M82-V81,IF(A82&lt;'Données projet'!$A$36,$K$205^A82,IF(A82='Données projet'!$A$36,'Données projet'!$B$36,N81+M82-V81)))</f>
        <v>777.09999999999877</v>
      </c>
      <c r="O82" s="13">
        <f>N82*VLOOKUP('Données projet'!$B$9,Paramètres!$A$1:$I$89,3,0)*VLOOKUP('Données projet'!$B$9,Paramètres!$A$1:$I$89,5,0)</f>
        <v>434.39889999999929</v>
      </c>
      <c r="P82" s="13">
        <f t="shared" si="87"/>
        <v>98.716678672362434</v>
      </c>
      <c r="Q82" s="20">
        <f t="shared" si="54"/>
        <v>928.50963285436319</v>
      </c>
      <c r="R82" s="59">
        <f t="shared" si="55"/>
        <v>1221.8429661876964</v>
      </c>
      <c r="S82" s="59">
        <f ca="1">AVERAGE(OFFSET($R$3,0,0,'Données projet'!$E$9+1,1))-AVERAGE(OFFSET($H$3,0,0,'Données projet'!$E$9+1,1))</f>
        <v>415.91544298418842</v>
      </c>
      <c r="T82" s="59">
        <f t="shared" si="88"/>
        <v>422.79312683312583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4.3273187973566962</v>
      </c>
      <c r="AA82" s="21">
        <f>EXP(-LN(2)/25)*AA81+(1-EXP(-LN(2)/25))/(LN(2)/25)*Calculateur!V82*Calculateur!X82*VLOOKUP('Données projet'!$B$9,Paramètres!$A$1:$I$89,3,0)*0.475*44/12</f>
        <v>9.9622713605168602</v>
      </c>
      <c r="AB82" s="21">
        <f>EXP(-LN(2)/2)*AB81+(1-EXP(-LN(2)/2))/(LN(2)/2)*V82*Y82*VLOOKUP('Données projet'!$B$9,Paramètres!$A$1:$I$89,3,0)*0.475*44/12</f>
        <v>1.5371752798464077E-6</v>
      </c>
      <c r="AC82" s="22">
        <f t="shared" si="57"/>
        <v>14.289591695048836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8.6</v>
      </c>
      <c r="AI82" s="13">
        <f>IF('Données projet'!$A$62&gt;35,AI81+AH82-AQ81,IF(A82&lt;'Données projet'!$A$62,$AF$205^A82,IF(A82='Données projet'!$A$62,'Données projet'!$B$62,AI81+AH82-AQ81)))</f>
        <v>478.40000000000055</v>
      </c>
      <c r="AJ82" s="13">
        <f>AI82*VLOOKUP('Données projet'!$B$10,Paramètres!$A$1:$I$89,3,0)*VLOOKUP('Données projet'!$B$10,Paramètres!$A$1:$I$89,5,0)</f>
        <v>261.20640000000031</v>
      </c>
      <c r="AK82" s="13">
        <f t="shared" si="89"/>
        <v>62.979464359660597</v>
      </c>
      <c r="AL82" s="20">
        <f t="shared" si="58"/>
        <v>564.62371375974271</v>
      </c>
      <c r="AM82" s="59">
        <f t="shared" si="59"/>
        <v>857.95704709307597</v>
      </c>
      <c r="AN82" s="59">
        <f ca="1">AVERAGE(OFFSET($AM$3,0,0,'Données projet'!$E$10+1,1))-AVERAGE(OFFSET($H$3,0,0,'Données projet'!$E$10+1,1))</f>
        <v>248.1486444660062</v>
      </c>
      <c r="AO82" s="59">
        <f t="shared" si="90"/>
        <v>293.34458072322127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3.2276492002271473</v>
      </c>
      <c r="AV82" s="21">
        <f>EXP(-LN(2)/25)*AV81+(1-EXP(-LN(2)/25))/(LN(2)/25)*Calculateur!AQ82*Calculateur!AS82*VLOOKUP('Données projet'!$B$10,Paramètres!$A$1:$I$89,3,0)*0.475*44/12</f>
        <v>8.7486677115521285</v>
      </c>
      <c r="AW82" s="21">
        <f>EXP(-LN(2)/2)*AW81+(1-EXP(-LN(2)/2))/(LN(2)/2)*AQ82*AT82*VLOOKUP('Données projet'!$B$10,Paramètres!$A$1:$I$89,3,0)*0.475*44/12</f>
        <v>1.0613598986000497E-6</v>
      </c>
      <c r="AX82" s="21">
        <f t="shared" si="60"/>
        <v>11.976317973139173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790</v>
      </c>
      <c r="L83" s="12">
        <f>VLOOKUP(A83,'Données projet'!$A$35:$I$55,9,0)</f>
        <v>12.9</v>
      </c>
      <c r="M83" s="12">
        <f t="array" ref="M83">INDEX(L:L,MIN(IF(ISNUMBER(L83:L279),ROW(L83:L279),"")))</f>
        <v>12.9</v>
      </c>
      <c r="N83" s="13">
        <f>IF('Données projet'!$A$36&gt;35,N82+M83-V82,IF(A83&lt;'Données projet'!$A$36,$K$205^A83,IF(A83='Données projet'!$A$36,'Données projet'!$B$36,N82+M83-V82)))</f>
        <v>789.99999999999875</v>
      </c>
      <c r="O83" s="13">
        <f>N83*VLOOKUP('Données projet'!$B$9,Paramètres!$A$1:$I$89,3,0)*VLOOKUP('Données projet'!$B$9,Paramètres!$A$1:$I$89,5,0)</f>
        <v>441.60999999999933</v>
      </c>
      <c r="P83" s="13">
        <f t="shared" si="87"/>
        <v>100.16325657794113</v>
      </c>
      <c r="Q83" s="20">
        <f t="shared" si="54"/>
        <v>943.58842187324615</v>
      </c>
      <c r="R83" s="59">
        <f t="shared" si="55"/>
        <v>1236.9217552065795</v>
      </c>
      <c r="S83" s="59">
        <f ca="1">AVERAGE(OFFSET($R$3,0,0,'Données projet'!$E$9+1,1))-AVERAGE(OFFSET($H$3,0,0,'Données projet'!$E$9+1,1))</f>
        <v>415.91544298418842</v>
      </c>
      <c r="T83" s="59">
        <f t="shared" si="88"/>
        <v>422.79312683312583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790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4.2424627151443781</v>
      </c>
      <c r="AA83" s="21">
        <f>EXP(-LN(2)/25)*AA82+(1-EXP(-LN(2)/25))/(LN(2)/25)*Calculateur!V83*Calculateur!X83*VLOOKUP('Données projet'!$B$9,Paramètres!$A$1:$I$89,3,0)*0.475*44/12</f>
        <v>9.6898525262704442</v>
      </c>
      <c r="AB83" s="21">
        <f>EXP(-LN(2)/2)*AB82+(1-EXP(-LN(2)/2))/(LN(2)/2)*V83*Y83*VLOOKUP('Données projet'!$B$9,Paramètres!$A$1:$I$89,3,0)*0.475*44/12</f>
        <v>1.0869470642517238E-6</v>
      </c>
      <c r="AC83" s="22">
        <f t="shared" si="57"/>
        <v>13.932316328361887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487</v>
      </c>
      <c r="AG83" s="12">
        <f>VLOOKUP(A83,'Données projet'!$A$61:$I$81,9,0)</f>
        <v>8.6</v>
      </c>
      <c r="AH83" s="12">
        <f t="array" ref="AH83">INDEX(AG:AG,MIN(IF(ISNUMBER(AG83:AG279),ROW(AG83:AG279),"")))</f>
        <v>8.6</v>
      </c>
      <c r="AI83" s="13">
        <f>IF('Données projet'!$A$62&gt;35,AI82+AH83-AQ82,IF(A83&lt;'Données projet'!$A$62,$AF$205^A83,IF(A83='Données projet'!$A$62,'Données projet'!$B$62,AI82+AH83-AQ82)))</f>
        <v>487.00000000000057</v>
      </c>
      <c r="AJ83" s="13">
        <f>AI83*VLOOKUP('Données projet'!$B$10,Paramètres!$A$1:$I$89,3,0)*VLOOKUP('Données projet'!$B$10,Paramètres!$A$1:$I$89,5,0)</f>
        <v>265.90200000000027</v>
      </c>
      <c r="AK83" s="13">
        <f t="shared" si="89"/>
        <v>63.978797641171262</v>
      </c>
      <c r="AL83" s="20">
        <f t="shared" si="58"/>
        <v>574.54238922504044</v>
      </c>
      <c r="AM83" s="59">
        <f t="shared" si="59"/>
        <v>867.87572255837381</v>
      </c>
      <c r="AN83" s="59">
        <f ca="1">AVERAGE(OFFSET($AM$3,0,0,'Données projet'!$E$10+1,1))-AVERAGE(OFFSET($H$3,0,0,'Données projet'!$E$10+1,1))</f>
        <v>248.1486444660062</v>
      </c>
      <c r="AO83" s="59">
        <f t="shared" si="90"/>
        <v>293.34458072322127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487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3.1643569680823149</v>
      </c>
      <c r="AV83" s="21">
        <f>EXP(-LN(2)/25)*AV82+(1-EXP(-LN(2)/25))/(LN(2)/25)*Calculateur!AQ83*Calculateur!AS83*VLOOKUP('Données projet'!$B$10,Paramètres!$A$1:$I$89,3,0)*0.475*44/12</f>
        <v>8.5094349329072951</v>
      </c>
      <c r="AW83" s="21">
        <f>EXP(-LN(2)/2)*AW82+(1-EXP(-LN(2)/2))/(LN(2)/2)*AQ83*AT83*VLOOKUP('Données projet'!$B$10,Paramètres!$A$1:$I$89,3,0)*0.475*44/12</f>
        <v>7.5049478157956162E-7</v>
      </c>
      <c r="AX83" s="21">
        <f t="shared" si="60"/>
        <v>11.673792651484391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-1.2505552149377763E-12</v>
      </c>
      <c r="O84" s="13">
        <f>N84*VLOOKUP('Données projet'!$B$9,Paramètres!$A$1:$I$89,3,0)*VLOOKUP('Données projet'!$B$9,Paramètres!$A$1:$I$89,5,0)</f>
        <v>-6.9906036515021697E-13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415.91544298418842</v>
      </c>
      <c r="T84" s="59">
        <f t="shared" si="88"/>
        <v>422.79312683312583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4.1592706089471445</v>
      </c>
      <c r="AA84" s="21">
        <f>EXP(-LN(2)/25)*AA83+(1-EXP(-LN(2)/25))/(LN(2)/25)*Calculateur!V84*Calculateur!X84*VLOOKUP('Données projet'!$B$9,Paramètres!$A$1:$I$89,3,0)*0.475*44/12</f>
        <v>9.4248829993723806</v>
      </c>
      <c r="AB84" s="21">
        <f>EXP(-LN(2)/2)*AB83+(1-EXP(-LN(2)/2))/(LN(2)/2)*V84*Y84*VLOOKUP('Données projet'!$B$9,Paramètres!$A$1:$I$89,3,0)*0.475*44/12</f>
        <v>7.6858763992320385E-7</v>
      </c>
      <c r="AC84" s="22">
        <f t="shared" si="57"/>
        <v>13.584154376907165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5.6843418860808015E-13</v>
      </c>
      <c r="AJ84" s="13">
        <f>AI84*VLOOKUP('Données projet'!$B$10,Paramètres!$A$1:$I$89,3,0)*VLOOKUP('Données projet'!$B$10,Paramètres!$A$1:$I$89,5,0)</f>
        <v>3.1036506698001181E-13</v>
      </c>
      <c r="AK84" s="13">
        <f t="shared" si="89"/>
        <v>4.086682523110923E-12</v>
      </c>
      <c r="AL84" s="20">
        <f t="shared" si="58"/>
        <v>7.6581912194083782E-12</v>
      </c>
      <c r="AM84" s="59">
        <f t="shared" si="59"/>
        <v>293.33333333334099</v>
      </c>
      <c r="AN84" s="59">
        <f ca="1">AVERAGE(OFFSET($AM$3,0,0,'Données projet'!$E$10+1,1))-AVERAGE(OFFSET($H$3,0,0,'Données projet'!$E$10+1,1))</f>
        <v>248.1486444660062</v>
      </c>
      <c r="AO84" s="59">
        <f t="shared" si="90"/>
        <v>293.34458072322127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3.1023058580053928</v>
      </c>
      <c r="AV84" s="21">
        <f>EXP(-LN(2)/25)*AV83+(1-EXP(-LN(2)/25))/(LN(2)/25)*Calculateur!AQ84*Calculateur!AS84*VLOOKUP('Données projet'!$B$10,Paramètres!$A$1:$I$89,3,0)*0.475*44/12</f>
        <v>8.2767439871752106</v>
      </c>
      <c r="AW84" s="21">
        <f>EXP(-LN(2)/2)*AW83+(1-EXP(-LN(2)/2))/(LN(2)/2)*AQ84*AT84*VLOOKUP('Données projet'!$B$10,Paramètres!$A$1:$I$89,3,0)*0.475*44/12</f>
        <v>5.3067994930002485E-7</v>
      </c>
      <c r="AX84" s="21">
        <f t="shared" si="60"/>
        <v>11.379050375860553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-1.2505552149377763E-12</v>
      </c>
      <c r="O85" s="13">
        <f>N85*VLOOKUP('Données projet'!$B$9,Paramètres!$A$1:$I$89,3,0)*VLOOKUP('Données projet'!$B$9,Paramètres!$A$1:$I$89,5,0)</f>
        <v>-6.9906036515021697E-13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415.91544298418842</v>
      </c>
      <c r="T85" s="59">
        <f t="shared" si="88"/>
        <v>422.79312683312583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4.0777098492102644</v>
      </c>
      <c r="AA85" s="21">
        <f>EXP(-LN(2)/25)*AA84+(1-EXP(-LN(2)/25))/(LN(2)/25)*Calculateur!V85*Calculateur!X85*VLOOKUP('Données projet'!$B$9,Paramètres!$A$1:$I$89,3,0)*0.475*44/12</f>
        <v>9.167159078121486</v>
      </c>
      <c r="AB85" s="21">
        <f>EXP(-LN(2)/2)*AB84+(1-EXP(-LN(2)/2))/(LN(2)/2)*V85*Y85*VLOOKUP('Données projet'!$B$9,Paramètres!$A$1:$I$89,3,0)*0.475*44/12</f>
        <v>5.4347353212586188E-7</v>
      </c>
      <c r="AC85" s="22">
        <f t="shared" si="57"/>
        <v>13.244869470805284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5.6843418860808015E-13</v>
      </c>
      <c r="AJ85" s="13">
        <f>AI85*VLOOKUP('Données projet'!$B$10,Paramètres!$A$1:$I$89,3,0)*VLOOKUP('Données projet'!$B$10,Paramètres!$A$1:$I$89,5,0)</f>
        <v>3.1036506698001181E-13</v>
      </c>
      <c r="AK85" s="13">
        <f t="shared" si="89"/>
        <v>4.086682523110923E-12</v>
      </c>
      <c r="AL85" s="20">
        <f t="shared" si="58"/>
        <v>7.6581912194083782E-12</v>
      </c>
      <c r="AM85" s="59">
        <f t="shared" si="59"/>
        <v>293.33333333334099</v>
      </c>
      <c r="AN85" s="59">
        <f ca="1">AVERAGE(OFFSET($AM$3,0,0,'Données projet'!$E$10+1,1))-AVERAGE(OFFSET($H$3,0,0,'Données projet'!$E$10+1,1))</f>
        <v>248.1486444660062</v>
      </c>
      <c r="AO85" s="59">
        <f t="shared" si="90"/>
        <v>293.34458072322127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3.0414715323496391</v>
      </c>
      <c r="AV85" s="21">
        <f>EXP(-LN(2)/25)*AV84+(1-EXP(-LN(2)/25))/(LN(2)/25)*Calculateur!AQ85*Calculateur!AS85*VLOOKUP('Données projet'!$B$10,Paramètres!$A$1:$I$89,3,0)*0.475*44/12</f>
        <v>8.0504159875908545</v>
      </c>
      <c r="AW85" s="21">
        <f>EXP(-LN(2)/2)*AW84+(1-EXP(-LN(2)/2))/(LN(2)/2)*AQ85*AT85*VLOOKUP('Données projet'!$B$10,Paramètres!$A$1:$I$89,3,0)*0.475*44/12</f>
        <v>3.7524739078978081E-7</v>
      </c>
      <c r="AX85" s="21">
        <f t="shared" si="60"/>
        <v>11.091887895187885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-1.2505552149377763E-12</v>
      </c>
      <c r="O86" s="13">
        <f>N86*VLOOKUP('Données projet'!$B$9,Paramètres!$A$1:$I$89,3,0)*VLOOKUP('Données projet'!$B$9,Paramètres!$A$1:$I$89,5,0)</f>
        <v>-6.9906036515021697E-13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415.91544298418842</v>
      </c>
      <c r="T86" s="59">
        <f t="shared" si="88"/>
        <v>422.79312683312583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3.9977484462246728</v>
      </c>
      <c r="AA86" s="21">
        <f>EXP(-LN(2)/25)*AA85+(1-EXP(-LN(2)/25))/(LN(2)/25)*Calculateur!V86*Calculateur!X86*VLOOKUP('Données projet'!$B$9,Paramètres!$A$1:$I$89,3,0)*0.475*44/12</f>
        <v>8.9164826310503091</v>
      </c>
      <c r="AB86" s="21">
        <f>EXP(-LN(2)/2)*AB85+(1-EXP(-LN(2)/2))/(LN(2)/2)*V86*Y86*VLOOKUP('Données projet'!$B$9,Paramètres!$A$1:$I$89,3,0)*0.475*44/12</f>
        <v>3.8429381996160193E-7</v>
      </c>
      <c r="AC86" s="22">
        <f t="shared" si="57"/>
        <v>12.914231461568802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5.6843418860808015E-13</v>
      </c>
      <c r="AJ86" s="13">
        <f>AI86*VLOOKUP('Données projet'!$B$10,Paramètres!$A$1:$I$89,3,0)*VLOOKUP('Données projet'!$B$10,Paramètres!$A$1:$I$89,5,0)</f>
        <v>3.1036506698001181E-13</v>
      </c>
      <c r="AK86" s="13">
        <f t="shared" si="89"/>
        <v>4.086682523110923E-12</v>
      </c>
      <c r="AL86" s="20">
        <f t="shared" si="58"/>
        <v>7.6581912194083782E-12</v>
      </c>
      <c r="AM86" s="59">
        <f t="shared" si="59"/>
        <v>293.33333333334099</v>
      </c>
      <c r="AN86" s="59">
        <f ca="1">AVERAGE(OFFSET($AM$3,0,0,'Données projet'!$E$10+1,1))-AVERAGE(OFFSET($H$3,0,0,'Données projet'!$E$10+1,1))</f>
        <v>248.1486444660062</v>
      </c>
      <c r="AO86" s="59">
        <f t="shared" si="90"/>
        <v>293.34458072322127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2.9818301307147199</v>
      </c>
      <c r="AV86" s="21">
        <f>EXP(-LN(2)/25)*AV85+(1-EXP(-LN(2)/25))/(LN(2)/25)*Calculateur!AQ86*Calculateur!AS86*VLOOKUP('Données projet'!$B$10,Paramètres!$A$1:$I$89,3,0)*0.475*44/12</f>
        <v>7.8302769390572049</v>
      </c>
      <c r="AW86" s="21">
        <f>EXP(-LN(2)/2)*AW85+(1-EXP(-LN(2)/2))/(LN(2)/2)*AQ86*AT86*VLOOKUP('Données projet'!$B$10,Paramètres!$A$1:$I$89,3,0)*0.475*44/12</f>
        <v>2.6533997465001243E-7</v>
      </c>
      <c r="AX86" s="21">
        <f t="shared" si="60"/>
        <v>10.812107335111898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-1.2505552149377763E-12</v>
      </c>
      <c r="O87" s="13">
        <f>N87*VLOOKUP('Données projet'!$B$9,Paramètres!$A$1:$I$89,3,0)*VLOOKUP('Données projet'!$B$9,Paramètres!$A$1:$I$89,5,0)</f>
        <v>-6.9906036515021697E-13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415.91544298418842</v>
      </c>
      <c r="T87" s="59">
        <f t="shared" si="88"/>
        <v>422.79312683312583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3.9193550375799888</v>
      </c>
      <c r="AA87" s="21">
        <f>EXP(-LN(2)/25)*AA86+(1-EXP(-LN(2)/25))/(LN(2)/25)*Calculateur!V87*Calculateur!X87*VLOOKUP('Données projet'!$B$9,Paramètres!$A$1:$I$89,3,0)*0.475*44/12</f>
        <v>8.672660944606795</v>
      </c>
      <c r="AB87" s="21">
        <f>EXP(-LN(2)/2)*AB86+(1-EXP(-LN(2)/2))/(LN(2)/2)*V87*Y87*VLOOKUP('Données projet'!$B$9,Paramètres!$A$1:$I$89,3,0)*0.475*44/12</f>
        <v>2.7173676606293094E-7</v>
      </c>
      <c r="AC87" s="22">
        <f t="shared" si="57"/>
        <v>12.59201625392355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5.6843418860808015E-13</v>
      </c>
      <c r="AJ87" s="13">
        <f>AI87*VLOOKUP('Données projet'!$B$10,Paramètres!$A$1:$I$89,3,0)*VLOOKUP('Données projet'!$B$10,Paramètres!$A$1:$I$89,5,0)</f>
        <v>3.1036506698001181E-13</v>
      </c>
      <c r="AK87" s="13">
        <f t="shared" si="89"/>
        <v>4.086682523110923E-12</v>
      </c>
      <c r="AL87" s="20">
        <f t="shared" si="58"/>
        <v>7.6581912194083782E-12</v>
      </c>
      <c r="AM87" s="59">
        <f t="shared" si="59"/>
        <v>293.33333333334099</v>
      </c>
      <c r="AN87" s="59">
        <f ca="1">AVERAGE(OFFSET($AM$3,0,0,'Données projet'!$E$10+1,1))-AVERAGE(OFFSET($H$3,0,0,'Données projet'!$E$10+1,1))</f>
        <v>248.1486444660062</v>
      </c>
      <c r="AO87" s="59">
        <f t="shared" si="90"/>
        <v>293.34458072322127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2.9233582605881985</v>
      </c>
      <c r="AV87" s="21">
        <f>EXP(-LN(2)/25)*AV86+(1-EXP(-LN(2)/25))/(LN(2)/25)*Calculateur!AQ87*Calculateur!AS87*VLOOKUP('Données projet'!$B$10,Paramètres!$A$1:$I$89,3,0)*0.475*44/12</f>
        <v>7.6161576043823178</v>
      </c>
      <c r="AW87" s="21">
        <f>EXP(-LN(2)/2)*AW86+(1-EXP(-LN(2)/2))/(LN(2)/2)*AQ87*AT87*VLOOKUP('Données projet'!$B$10,Paramètres!$A$1:$I$89,3,0)*0.475*44/12</f>
        <v>1.876236953948904E-7</v>
      </c>
      <c r="AX87" s="21">
        <f t="shared" si="60"/>
        <v>10.539516052594212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-1.2505552149377763E-12</v>
      </c>
      <c r="O88" s="13">
        <f>N88*VLOOKUP('Données projet'!$B$9,Paramètres!$A$1:$I$89,3,0)*VLOOKUP('Données projet'!$B$9,Paramètres!$A$1:$I$89,5,0)</f>
        <v>-6.9906036515021697E-13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415.91544298418842</v>
      </c>
      <c r="T88" s="59">
        <f t="shared" si="88"/>
        <v>422.79312683312583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3.8424988758635688</v>
      </c>
      <c r="AA88" s="21">
        <f>EXP(-LN(2)/25)*AA87+(1-EXP(-LN(2)/25))/(LN(2)/25)*Calculateur!V88*Calculateur!X88*VLOOKUP('Données projet'!$B$9,Paramètres!$A$1:$I$89,3,0)*0.475*44/12</f>
        <v>8.4355065750011047</v>
      </c>
      <c r="AB88" s="21">
        <f>EXP(-LN(2)/2)*AB87+(1-EXP(-LN(2)/2))/(LN(2)/2)*V88*Y88*VLOOKUP('Données projet'!$B$9,Paramètres!$A$1:$I$89,3,0)*0.475*44/12</f>
        <v>1.9214690998080096E-7</v>
      </c>
      <c r="AC88" s="22">
        <f t="shared" si="57"/>
        <v>12.278005643011584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5.6843418860808015E-13</v>
      </c>
      <c r="AJ88" s="13">
        <f>AI88*VLOOKUP('Données projet'!$B$10,Paramètres!$A$1:$I$89,3,0)*VLOOKUP('Données projet'!$B$10,Paramètres!$A$1:$I$89,5,0)</f>
        <v>3.1036506698001181E-13</v>
      </c>
      <c r="AK88" s="13">
        <f t="shared" si="89"/>
        <v>4.086682523110923E-12</v>
      </c>
      <c r="AL88" s="20">
        <f t="shared" si="58"/>
        <v>7.6581912194083782E-12</v>
      </c>
      <c r="AM88" s="59">
        <f t="shared" si="59"/>
        <v>293.33333333334099</v>
      </c>
      <c r="AN88" s="59">
        <f ca="1">AVERAGE(OFFSET($AM$3,0,0,'Données projet'!$E$10+1,1))-AVERAGE(OFFSET($H$3,0,0,'Données projet'!$E$10+1,1))</f>
        <v>248.1486444660062</v>
      </c>
      <c r="AO88" s="59">
        <f t="shared" si="90"/>
        <v>293.34458072322127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2.8660329881705389</v>
      </c>
      <c r="AV88" s="21">
        <f>EXP(-LN(2)/25)*AV87+(1-EXP(-LN(2)/25))/(LN(2)/25)*Calculateur!AQ88*Calculateur!AS88*VLOOKUP('Données projet'!$B$10,Paramètres!$A$1:$I$89,3,0)*0.475*44/12</f>
        <v>7.4078933741741615</v>
      </c>
      <c r="AW88" s="21">
        <f>EXP(-LN(2)/2)*AW87+(1-EXP(-LN(2)/2))/(LN(2)/2)*AQ88*AT88*VLOOKUP('Données projet'!$B$10,Paramètres!$A$1:$I$89,3,0)*0.475*44/12</f>
        <v>1.3266998732500621E-7</v>
      </c>
      <c r="AX88" s="21">
        <f t="shared" si="60"/>
        <v>10.273926495014686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-1.2505552149377763E-12</v>
      </c>
      <c r="O89" s="13">
        <f>N89*VLOOKUP('Données projet'!$B$9,Paramètres!$A$1:$I$89,3,0)*VLOOKUP('Données projet'!$B$9,Paramètres!$A$1:$I$89,5,0)</f>
        <v>-6.9906036515021697E-13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415.91544298418842</v>
      </c>
      <c r="T89" s="59">
        <f t="shared" si="88"/>
        <v>422.79312683312583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3.767149816600778</v>
      </c>
      <c r="AA89" s="21">
        <f>EXP(-LN(2)/25)*AA88+(1-EXP(-LN(2)/25))/(LN(2)/25)*Calculateur!V89*Calculateur!X89*VLOOKUP('Données projet'!$B$9,Paramètres!$A$1:$I$89,3,0)*0.475*44/12</f>
        <v>8.2048372041036881</v>
      </c>
      <c r="AB89" s="21">
        <f>EXP(-LN(2)/2)*AB88+(1-EXP(-LN(2)/2))/(LN(2)/2)*V89*Y89*VLOOKUP('Données projet'!$B$9,Paramètres!$A$1:$I$89,3,0)*0.475*44/12</f>
        <v>1.3586838303146547E-7</v>
      </c>
      <c r="AC89" s="22">
        <f t="shared" si="57"/>
        <v>11.971987156572849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5.6843418860808015E-13</v>
      </c>
      <c r="AJ89" s="13">
        <f>AI89*VLOOKUP('Données projet'!$B$10,Paramètres!$A$1:$I$89,3,0)*VLOOKUP('Données projet'!$B$10,Paramètres!$A$1:$I$89,5,0)</f>
        <v>3.1036506698001181E-13</v>
      </c>
      <c r="AK89" s="13">
        <f t="shared" si="89"/>
        <v>4.086682523110923E-12</v>
      </c>
      <c r="AL89" s="20">
        <f t="shared" si="58"/>
        <v>7.6581912194083782E-12</v>
      </c>
      <c r="AM89" s="59">
        <f t="shared" si="59"/>
        <v>293.33333333334099</v>
      </c>
      <c r="AN89" s="59">
        <f ca="1">AVERAGE(OFFSET($AM$3,0,0,'Données projet'!$E$10+1,1))-AVERAGE(OFFSET($H$3,0,0,'Données projet'!$E$10+1,1))</f>
        <v>248.1486444660062</v>
      </c>
      <c r="AO89" s="59">
        <f t="shared" si="90"/>
        <v>293.34458072322127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2.809831829380026</v>
      </c>
      <c r="AV89" s="21">
        <f>EXP(-LN(2)/25)*AV88+(1-EXP(-LN(2)/25))/(LN(2)/25)*Calculateur!AQ89*Calculateur!AS89*VLOOKUP('Données projet'!$B$10,Paramètres!$A$1:$I$89,3,0)*0.475*44/12</f>
        <v>7.2053241402931878</v>
      </c>
      <c r="AW89" s="21">
        <f>EXP(-LN(2)/2)*AW88+(1-EXP(-LN(2)/2))/(LN(2)/2)*AQ89*AT89*VLOOKUP('Données projet'!$B$10,Paramètres!$A$1:$I$89,3,0)*0.475*44/12</f>
        <v>9.3811847697445202E-8</v>
      </c>
      <c r="AX89" s="21">
        <f t="shared" si="60"/>
        <v>10.01515606348506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-1.2505552149377763E-12</v>
      </c>
      <c r="O90" s="13">
        <f>N90*VLOOKUP('Données projet'!$B$9,Paramètres!$A$1:$I$89,3,0)*VLOOKUP('Données projet'!$B$9,Paramètres!$A$1:$I$89,5,0)</f>
        <v>-6.9906036515021697E-13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415.91544298418842</v>
      </c>
      <c r="T90" s="59">
        <f t="shared" si="88"/>
        <v>422.79312683312583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3.6932783064317425</v>
      </c>
      <c r="AA90" s="21">
        <f>EXP(-LN(2)/25)*AA89+(1-EXP(-LN(2)/25))/(LN(2)/25)*Calculateur!V90*Calculateur!X90*VLOOKUP('Données projet'!$B$9,Paramètres!$A$1:$I$89,3,0)*0.475*44/12</f>
        <v>7.9804754992838367</v>
      </c>
      <c r="AB90" s="21">
        <f>EXP(-LN(2)/2)*AB89+(1-EXP(-LN(2)/2))/(LN(2)/2)*V90*Y90*VLOOKUP('Données projet'!$B$9,Paramètres!$A$1:$I$89,3,0)*0.475*44/12</f>
        <v>9.6073454990400482E-8</v>
      </c>
      <c r="AC90" s="22">
        <f t="shared" si="57"/>
        <v>11.673753901789034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5.6843418860808015E-13</v>
      </c>
      <c r="AJ90" s="13">
        <f>AI90*VLOOKUP('Données projet'!$B$10,Paramètres!$A$1:$I$89,3,0)*VLOOKUP('Données projet'!$B$10,Paramètres!$A$1:$I$89,5,0)</f>
        <v>3.1036506698001181E-13</v>
      </c>
      <c r="AK90" s="13">
        <f t="shared" si="89"/>
        <v>4.086682523110923E-12</v>
      </c>
      <c r="AL90" s="20">
        <f t="shared" si="58"/>
        <v>7.6581912194083782E-12</v>
      </c>
      <c r="AM90" s="59">
        <f t="shared" si="59"/>
        <v>293.33333333334099</v>
      </c>
      <c r="AN90" s="59">
        <f ca="1">AVERAGE(OFFSET($AM$3,0,0,'Données projet'!$E$10+1,1))-AVERAGE(OFFSET($H$3,0,0,'Données projet'!$E$10+1,1))</f>
        <v>248.1486444660062</v>
      </c>
      <c r="AO90" s="59">
        <f t="shared" si="90"/>
        <v>293.34458072322127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2.754732741034073</v>
      </c>
      <c r="AV90" s="21">
        <f>EXP(-LN(2)/25)*AV89+(1-EXP(-LN(2)/25))/(LN(2)/25)*Calculateur!AQ90*Calculateur!AS90*VLOOKUP('Données projet'!$B$10,Paramètres!$A$1:$I$89,3,0)*0.475*44/12</f>
        <v>7.0082941727653418</v>
      </c>
      <c r="AW90" s="21">
        <f>EXP(-LN(2)/2)*AW89+(1-EXP(-LN(2)/2))/(LN(2)/2)*AQ90*AT90*VLOOKUP('Données projet'!$B$10,Paramètres!$A$1:$I$89,3,0)*0.475*44/12</f>
        <v>6.6334993662503106E-8</v>
      </c>
      <c r="AX90" s="21">
        <f t="shared" si="60"/>
        <v>9.7630269801344092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-1.2505552149377763E-12</v>
      </c>
      <c r="O91" s="13">
        <f>N91*VLOOKUP('Données projet'!$B$9,Paramètres!$A$1:$I$89,3,0)*VLOOKUP('Données projet'!$B$9,Paramètres!$A$1:$I$89,5,0)</f>
        <v>-6.9906036515021697E-13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415.91544298418842</v>
      </c>
      <c r="T91" s="59">
        <f t="shared" si="88"/>
        <v>422.79312683312583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3.6208553715199496</v>
      </c>
      <c r="AA91" s="21">
        <f>EXP(-LN(2)/25)*AA90+(1-EXP(-LN(2)/25))/(LN(2)/25)*Calculateur!V91*Calculateur!X91*VLOOKUP('Données projet'!$B$9,Paramètres!$A$1:$I$89,3,0)*0.475*44/12</f>
        <v>7.7622489770809535</v>
      </c>
      <c r="AB91" s="21">
        <f>EXP(-LN(2)/2)*AB90+(1-EXP(-LN(2)/2))/(LN(2)/2)*V91*Y91*VLOOKUP('Données projet'!$B$9,Paramètres!$A$1:$I$89,3,0)*0.475*44/12</f>
        <v>6.7934191515732735E-8</v>
      </c>
      <c r="AC91" s="22">
        <f t="shared" si="57"/>
        <v>11.383104416535094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5.6843418860808015E-13</v>
      </c>
      <c r="AJ91" s="13">
        <f>AI91*VLOOKUP('Données projet'!$B$10,Paramètres!$A$1:$I$89,3,0)*VLOOKUP('Données projet'!$B$10,Paramètres!$A$1:$I$89,5,0)</f>
        <v>3.1036506698001181E-13</v>
      </c>
      <c r="AK91" s="13">
        <f t="shared" si="89"/>
        <v>4.086682523110923E-12</v>
      </c>
      <c r="AL91" s="20">
        <f t="shared" si="58"/>
        <v>7.6581912194083782E-12</v>
      </c>
      <c r="AM91" s="59">
        <f t="shared" si="59"/>
        <v>293.33333333334099</v>
      </c>
      <c r="AN91" s="59">
        <f ca="1">AVERAGE(OFFSET($AM$3,0,0,'Données projet'!$E$10+1,1))-AVERAGE(OFFSET($H$3,0,0,'Données projet'!$E$10+1,1))</f>
        <v>248.1486444660062</v>
      </c>
      <c r="AO91" s="59">
        <f t="shared" si="90"/>
        <v>293.34458072322127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2.7007141122034586</v>
      </c>
      <c r="AV91" s="21">
        <f>EXP(-LN(2)/25)*AV90+(1-EXP(-LN(2)/25))/(LN(2)/25)*Calculateur!AQ91*Calculateur!AS91*VLOOKUP('Données projet'!$B$10,Paramètres!$A$1:$I$89,3,0)*0.475*44/12</f>
        <v>6.816652000060901</v>
      </c>
      <c r="AW91" s="21">
        <f>EXP(-LN(2)/2)*AW90+(1-EXP(-LN(2)/2))/(LN(2)/2)*AQ91*AT91*VLOOKUP('Données projet'!$B$10,Paramètres!$A$1:$I$89,3,0)*0.475*44/12</f>
        <v>4.6905923848722601E-8</v>
      </c>
      <c r="AX91" s="21">
        <f t="shared" si="60"/>
        <v>9.5173661591702832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-1.2505552149377763E-12</v>
      </c>
      <c r="O92" s="13">
        <f>N92*VLOOKUP('Données projet'!$B$9,Paramètres!$A$1:$I$89,3,0)*VLOOKUP('Données projet'!$B$9,Paramètres!$A$1:$I$89,5,0)</f>
        <v>-6.9906036515021697E-13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415.91544298418842</v>
      </c>
      <c r="T92" s="59">
        <f t="shared" si="88"/>
        <v>422.79312683312583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3.5498526061881486</v>
      </c>
      <c r="AA92" s="21">
        <f>EXP(-LN(2)/25)*AA91+(1-EXP(-LN(2)/25))/(LN(2)/25)*Calculateur!V92*Calculateur!X92*VLOOKUP('Données projet'!$B$9,Paramètres!$A$1:$I$89,3,0)*0.475*44/12</f>
        <v>7.549989870603742</v>
      </c>
      <c r="AB92" s="21">
        <f>EXP(-LN(2)/2)*AB91+(1-EXP(-LN(2)/2))/(LN(2)/2)*V92*Y92*VLOOKUP('Données projet'!$B$9,Paramètres!$A$1:$I$89,3,0)*0.475*44/12</f>
        <v>4.8036727495200241E-8</v>
      </c>
      <c r="AC92" s="22">
        <f t="shared" si="57"/>
        <v>11.099842524828619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5.6843418860808015E-13</v>
      </c>
      <c r="AJ92" s="13">
        <f>AI92*VLOOKUP('Données projet'!$B$10,Paramètres!$A$1:$I$89,3,0)*VLOOKUP('Données projet'!$B$10,Paramètres!$A$1:$I$89,5,0)</f>
        <v>3.1036506698001181E-13</v>
      </c>
      <c r="AK92" s="13">
        <f t="shared" si="89"/>
        <v>4.086682523110923E-12</v>
      </c>
      <c r="AL92" s="20">
        <f t="shared" si="58"/>
        <v>7.6581912194083782E-12</v>
      </c>
      <c r="AM92" s="59">
        <f t="shared" si="59"/>
        <v>293.33333333334099</v>
      </c>
      <c r="AN92" s="59">
        <f ca="1">AVERAGE(OFFSET($AM$3,0,0,'Données projet'!$E$10+1,1))-AVERAGE(OFFSET($H$3,0,0,'Données projet'!$E$10+1,1))</f>
        <v>248.1486444660062</v>
      </c>
      <c r="AO92" s="59">
        <f t="shared" si="90"/>
        <v>293.34458072322127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2.6477547557361025</v>
      </c>
      <c r="AV92" s="21">
        <f>EXP(-LN(2)/25)*AV91+(1-EXP(-LN(2)/25))/(LN(2)/25)*Calculateur!AQ92*Calculateur!AS92*VLOOKUP('Données projet'!$B$10,Paramètres!$A$1:$I$89,3,0)*0.475*44/12</f>
        <v>6.6302502926470863</v>
      </c>
      <c r="AW92" s="21">
        <f>EXP(-LN(2)/2)*AW91+(1-EXP(-LN(2)/2))/(LN(2)/2)*AQ92*AT92*VLOOKUP('Données projet'!$B$10,Paramètres!$A$1:$I$89,3,0)*0.475*44/12</f>
        <v>3.3167496831251553E-8</v>
      </c>
      <c r="AX92" s="21">
        <f t="shared" si="60"/>
        <v>9.2780050815506865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-1.2505552149377763E-12</v>
      </c>
      <c r="O93" s="13">
        <f>N93*VLOOKUP('Données projet'!$B$9,Paramètres!$A$1:$I$89,3,0)*VLOOKUP('Données projet'!$B$9,Paramètres!$A$1:$I$89,5,0)</f>
        <v>-6.9906036515021697E-13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415.91544298418842</v>
      </c>
      <c r="T93" s="59">
        <f t="shared" si="88"/>
        <v>422.79312683312583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3.4802421617770936</v>
      </c>
      <c r="AA93" s="21">
        <f>EXP(-LN(2)/25)*AA92+(1-EXP(-LN(2)/25))/(LN(2)/25)*Calculateur!V93*Calculateur!X93*VLOOKUP('Données projet'!$B$9,Paramètres!$A$1:$I$89,3,0)*0.475*44/12</f>
        <v>7.343535000555371</v>
      </c>
      <c r="AB93" s="21">
        <f>EXP(-LN(2)/2)*AB92+(1-EXP(-LN(2)/2))/(LN(2)/2)*V93*Y93*VLOOKUP('Données projet'!$B$9,Paramètres!$A$1:$I$89,3,0)*0.475*44/12</f>
        <v>3.3967095757866367E-8</v>
      </c>
      <c r="AC93" s="22">
        <f t="shared" si="57"/>
        <v>10.823777196299561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5.6843418860808015E-13</v>
      </c>
      <c r="AJ93" s="13">
        <f>AI93*VLOOKUP('Données projet'!$B$10,Paramètres!$A$1:$I$89,3,0)*VLOOKUP('Données projet'!$B$10,Paramètres!$A$1:$I$89,5,0)</f>
        <v>3.1036506698001181E-13</v>
      </c>
      <c r="AK93" s="13">
        <f t="shared" si="89"/>
        <v>4.086682523110923E-12</v>
      </c>
      <c r="AL93" s="20">
        <f t="shared" si="58"/>
        <v>7.6581912194083782E-12</v>
      </c>
      <c r="AM93" s="59">
        <f t="shared" si="59"/>
        <v>293.33333333334099</v>
      </c>
      <c r="AN93" s="59">
        <f ca="1">AVERAGE(OFFSET($AM$3,0,0,'Données projet'!$E$10+1,1))-AVERAGE(OFFSET($H$3,0,0,'Données projet'!$E$10+1,1))</f>
        <v>248.1486444660062</v>
      </c>
      <c r="AO93" s="59">
        <f t="shared" si="90"/>
        <v>293.34458072322127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2.5958338999470536</v>
      </c>
      <c r="AV93" s="21">
        <f>EXP(-LN(2)/25)*AV92+(1-EXP(-LN(2)/25))/(LN(2)/25)*Calculateur!AQ93*Calculateur!AS93*VLOOKUP('Données projet'!$B$10,Paramètres!$A$1:$I$89,3,0)*0.475*44/12</f>
        <v>6.4489457497249427</v>
      </c>
      <c r="AW93" s="21">
        <f>EXP(-LN(2)/2)*AW92+(1-EXP(-LN(2)/2))/(LN(2)/2)*AQ93*AT93*VLOOKUP('Données projet'!$B$10,Paramètres!$A$1:$I$89,3,0)*0.475*44/12</f>
        <v>2.3452961924361301E-8</v>
      </c>
      <c r="AX93" s="21">
        <f t="shared" si="60"/>
        <v>9.0447796731249586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-1.2505552149377763E-12</v>
      </c>
      <c r="O94" s="13">
        <f>N94*VLOOKUP('Données projet'!$B$9,Paramètres!$A$1:$I$89,3,0)*VLOOKUP('Données projet'!$B$9,Paramètres!$A$1:$I$89,5,0)</f>
        <v>-6.9906036515021697E-13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415.91544298418842</v>
      </c>
      <c r="T94" s="59">
        <f t="shared" si="88"/>
        <v>422.79312683312583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3.4119967357227603</v>
      </c>
      <c r="AA94" s="21">
        <f>EXP(-LN(2)/25)*AA93+(1-EXP(-LN(2)/25))/(LN(2)/25)*Calculateur!V94*Calculateur!X94*VLOOKUP('Données projet'!$B$9,Paramètres!$A$1:$I$89,3,0)*0.475*44/12</f>
        <v>7.1427256497854623</v>
      </c>
      <c r="AB94" s="21">
        <f>EXP(-LN(2)/2)*AB93+(1-EXP(-LN(2)/2))/(LN(2)/2)*V94*Y94*VLOOKUP('Données projet'!$B$9,Paramètres!$A$1:$I$89,3,0)*0.475*44/12</f>
        <v>2.401836374760012E-8</v>
      </c>
      <c r="AC94" s="22">
        <f t="shared" si="57"/>
        <v>10.554722409526587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5.6843418860808015E-13</v>
      </c>
      <c r="AJ94" s="13">
        <f>AI94*VLOOKUP('Données projet'!$B$10,Paramètres!$A$1:$I$89,3,0)*VLOOKUP('Données projet'!$B$10,Paramètres!$A$1:$I$89,5,0)</f>
        <v>3.1036506698001181E-13</v>
      </c>
      <c r="AK94" s="13">
        <f t="shared" si="89"/>
        <v>4.086682523110923E-12</v>
      </c>
      <c r="AL94" s="20">
        <f t="shared" si="58"/>
        <v>7.6581912194083782E-12</v>
      </c>
      <c r="AM94" s="59">
        <f t="shared" si="59"/>
        <v>293.33333333334099</v>
      </c>
      <c r="AN94" s="59">
        <f ca="1">AVERAGE(OFFSET($AM$3,0,0,'Données projet'!$E$10+1,1))-AVERAGE(OFFSET($H$3,0,0,'Données projet'!$E$10+1,1))</f>
        <v>248.1486444660062</v>
      </c>
      <c r="AO94" s="59">
        <f t="shared" si="90"/>
        <v>293.34458072322127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2.5449311804714325</v>
      </c>
      <c r="AV94" s="21">
        <f>EXP(-LN(2)/25)*AV93+(1-EXP(-LN(2)/25))/(LN(2)/25)*Calculateur!AQ94*Calculateur!AS94*VLOOKUP('Données projet'!$B$10,Paramètres!$A$1:$I$89,3,0)*0.475*44/12</f>
        <v>6.2725989890633969</v>
      </c>
      <c r="AW94" s="21">
        <f>EXP(-LN(2)/2)*AW93+(1-EXP(-LN(2)/2))/(LN(2)/2)*AQ94*AT94*VLOOKUP('Données projet'!$B$10,Paramètres!$A$1:$I$89,3,0)*0.475*44/12</f>
        <v>1.6583748415625777E-8</v>
      </c>
      <c r="AX94" s="21">
        <f t="shared" si="60"/>
        <v>8.817530186118578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-1.2505552149377763E-12</v>
      </c>
      <c r="O95" s="13">
        <f>N95*VLOOKUP('Données projet'!$B$9,Paramètres!$A$1:$I$89,3,0)*VLOOKUP('Données projet'!$B$9,Paramètres!$A$1:$I$89,5,0)</f>
        <v>-6.9906036515021697E-13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415.91544298418842</v>
      </c>
      <c r="T95" s="59">
        <f t="shared" si="88"/>
        <v>422.79312683312583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3.3450895608477529</v>
      </c>
      <c r="AA95" s="21">
        <f>EXP(-LN(2)/25)*AA94+(1-EXP(-LN(2)/25))/(LN(2)/25)*Calculateur!V95*Calculateur!X95*VLOOKUP('Données projet'!$B$9,Paramètres!$A$1:$I$89,3,0)*0.475*44/12</f>
        <v>6.9474074412724622</v>
      </c>
      <c r="AB95" s="21">
        <f>EXP(-LN(2)/2)*AB94+(1-EXP(-LN(2)/2))/(LN(2)/2)*V95*Y95*VLOOKUP('Données projet'!$B$9,Paramètres!$A$1:$I$89,3,0)*0.475*44/12</f>
        <v>1.6983547878933184E-8</v>
      </c>
      <c r="AC95" s="22">
        <f t="shared" si="57"/>
        <v>10.292497019103761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5.6843418860808015E-13</v>
      </c>
      <c r="AJ95" s="13">
        <f>AI95*VLOOKUP('Données projet'!$B$10,Paramètres!$A$1:$I$89,3,0)*VLOOKUP('Données projet'!$B$10,Paramètres!$A$1:$I$89,5,0)</f>
        <v>3.1036506698001181E-13</v>
      </c>
      <c r="AK95" s="13">
        <f t="shared" si="89"/>
        <v>4.086682523110923E-12</v>
      </c>
      <c r="AL95" s="20">
        <f t="shared" si="58"/>
        <v>7.6581912194083782E-12</v>
      </c>
      <c r="AM95" s="59">
        <f t="shared" si="59"/>
        <v>293.33333333334099</v>
      </c>
      <c r="AN95" s="59">
        <f ca="1">AVERAGE(OFFSET($AM$3,0,0,'Données projet'!$E$10+1,1))-AVERAGE(OFFSET($H$3,0,0,'Données projet'!$E$10+1,1))</f>
        <v>248.1486444660062</v>
      </c>
      <c r="AO95" s="59">
        <f t="shared" si="90"/>
        <v>293.34458072322127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2.4950266322771353</v>
      </c>
      <c r="AV95" s="21">
        <f>EXP(-LN(2)/25)*AV94+(1-EXP(-LN(2)/25))/(LN(2)/25)*Calculateur!AQ95*Calculateur!AS95*VLOOKUP('Données projet'!$B$10,Paramètres!$A$1:$I$89,3,0)*0.475*44/12</f>
        <v>6.1010744398458137</v>
      </c>
      <c r="AW95" s="21">
        <f>EXP(-LN(2)/2)*AW94+(1-EXP(-LN(2)/2))/(LN(2)/2)*AQ95*AT95*VLOOKUP('Données projet'!$B$10,Paramètres!$A$1:$I$89,3,0)*0.475*44/12</f>
        <v>1.172648096218065E-8</v>
      </c>
      <c r="AX95" s="21">
        <f t="shared" si="60"/>
        <v>8.5961010838494296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-1.2505552149377763E-12</v>
      </c>
      <c r="O96" s="13">
        <f>N96*VLOOKUP('Données projet'!$B$9,Paramètres!$A$1:$I$89,3,0)*VLOOKUP('Données projet'!$B$9,Paramètres!$A$1:$I$89,5,0)</f>
        <v>-6.9906036515021697E-13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415.91544298418842</v>
      </c>
      <c r="T96" s="59">
        <f t="shared" si="88"/>
        <v>422.79312683312583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3.2794943948626973</v>
      </c>
      <c r="AA96" s="21">
        <f>EXP(-LN(2)/25)*AA95+(1-EXP(-LN(2)/25))/(LN(2)/25)*Calculateur!V96*Calculateur!X96*VLOOKUP('Données projet'!$B$9,Paramètres!$A$1:$I$89,3,0)*0.475*44/12</f>
        <v>6.7574302194425879</v>
      </c>
      <c r="AB96" s="21">
        <f>EXP(-LN(2)/2)*AB95+(1-EXP(-LN(2)/2))/(LN(2)/2)*V96*Y96*VLOOKUP('Données projet'!$B$9,Paramètres!$A$1:$I$89,3,0)*0.475*44/12</f>
        <v>1.200918187380006E-8</v>
      </c>
      <c r="AC96" s="22">
        <f t="shared" si="57"/>
        <v>10.036924626314466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5.6843418860808015E-13</v>
      </c>
      <c r="AJ96" s="13">
        <f>AI96*VLOOKUP('Données projet'!$B$10,Paramètres!$A$1:$I$89,3,0)*VLOOKUP('Données projet'!$B$10,Paramètres!$A$1:$I$89,5,0)</f>
        <v>3.1036506698001181E-13</v>
      </c>
      <c r="AK96" s="13">
        <f t="shared" si="89"/>
        <v>4.086682523110923E-12</v>
      </c>
      <c r="AL96" s="20">
        <f t="shared" si="58"/>
        <v>7.6581912194083782E-12</v>
      </c>
      <c r="AM96" s="59">
        <f t="shared" si="59"/>
        <v>293.33333333334099</v>
      </c>
      <c r="AN96" s="59">
        <f ca="1">AVERAGE(OFFSET($AM$3,0,0,'Données projet'!$E$10+1,1))-AVERAGE(OFFSET($H$3,0,0,'Données projet'!$E$10+1,1))</f>
        <v>248.1486444660062</v>
      </c>
      <c r="AO96" s="59">
        <f t="shared" si="90"/>
        <v>293.34458072322127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2.4461006818341593</v>
      </c>
      <c r="AV96" s="21">
        <f>EXP(-LN(2)/25)*AV95+(1-EXP(-LN(2)/25))/(LN(2)/25)*Calculateur!AQ96*Calculateur!AS96*VLOOKUP('Données projet'!$B$10,Paramètres!$A$1:$I$89,3,0)*0.475*44/12</f>
        <v>5.9342402384466695</v>
      </c>
      <c r="AW96" s="21">
        <f>EXP(-LN(2)/2)*AW95+(1-EXP(-LN(2)/2))/(LN(2)/2)*AQ96*AT96*VLOOKUP('Données projet'!$B$10,Paramètres!$A$1:$I$89,3,0)*0.475*44/12</f>
        <v>8.2918742078128883E-9</v>
      </c>
      <c r="AX96" s="21">
        <f t="shared" si="60"/>
        <v>8.3803409285727035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-1.2505552149377763E-12</v>
      </c>
      <c r="O97" s="13">
        <f>N97*VLOOKUP('Données projet'!$B$9,Paramètres!$A$1:$I$89,3,0)*VLOOKUP('Données projet'!$B$9,Paramètres!$A$1:$I$89,5,0)</f>
        <v>-6.9906036515021697E-13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415.91544298418842</v>
      </c>
      <c r="T97" s="59">
        <f t="shared" si="88"/>
        <v>422.79312683312583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3.2151855100735083</v>
      </c>
      <c r="AA97" s="21">
        <f>EXP(-LN(2)/25)*AA96+(1-EXP(-LN(2)/25))/(LN(2)/25)*Calculateur!V97*Calculateur!X97*VLOOKUP('Données projet'!$B$9,Paramètres!$A$1:$I$89,3,0)*0.475*44/12</f>
        <v>6.5726479347341193</v>
      </c>
      <c r="AB97" s="21">
        <f>EXP(-LN(2)/2)*AB96+(1-EXP(-LN(2)/2))/(LN(2)/2)*V97*Y97*VLOOKUP('Données projet'!$B$9,Paramètres!$A$1:$I$89,3,0)*0.475*44/12</f>
        <v>8.4917739394665919E-9</v>
      </c>
      <c r="AC97" s="22">
        <f t="shared" si="57"/>
        <v>9.7878334532994025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5.6843418860808015E-13</v>
      </c>
      <c r="AJ97" s="13">
        <f>AI97*VLOOKUP('Données projet'!$B$10,Paramètres!$A$1:$I$89,3,0)*VLOOKUP('Données projet'!$B$10,Paramètres!$A$1:$I$89,5,0)</f>
        <v>3.1036506698001181E-13</v>
      </c>
      <c r="AK97" s="13">
        <f t="shared" si="89"/>
        <v>4.086682523110923E-12</v>
      </c>
      <c r="AL97" s="20">
        <f t="shared" si="58"/>
        <v>7.6581912194083782E-12</v>
      </c>
      <c r="AM97" s="59">
        <f t="shared" si="59"/>
        <v>293.33333333334099</v>
      </c>
      <c r="AN97" s="59">
        <f ca="1">AVERAGE(OFFSET($AM$3,0,0,'Données projet'!$E$10+1,1))-AVERAGE(OFFSET($H$3,0,0,'Données projet'!$E$10+1,1))</f>
        <v>248.1486444660062</v>
      </c>
      <c r="AO97" s="59">
        <f t="shared" si="90"/>
        <v>293.34458072322127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2.3981341394374871</v>
      </c>
      <c r="AV97" s="21">
        <f>EXP(-LN(2)/25)*AV96+(1-EXP(-LN(2)/25))/(LN(2)/25)*Calculateur!AQ97*Calculateur!AS97*VLOOKUP('Données projet'!$B$10,Paramètres!$A$1:$I$89,3,0)*0.475*44/12</f>
        <v>5.7719681270582139</v>
      </c>
      <c r="AW97" s="21">
        <f>EXP(-LN(2)/2)*AW96+(1-EXP(-LN(2)/2))/(LN(2)/2)*AQ97*AT97*VLOOKUP('Données projet'!$B$10,Paramètres!$A$1:$I$89,3,0)*0.475*44/12</f>
        <v>5.8632404810903251E-9</v>
      </c>
      <c r="AX97" s="21">
        <f t="shared" si="60"/>
        <v>8.1701022723589407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-1.2505552149377763E-12</v>
      </c>
      <c r="O98" s="13">
        <f>N98*VLOOKUP('Données projet'!$B$9,Paramètres!$A$1:$I$89,3,0)*VLOOKUP('Données projet'!$B$9,Paramètres!$A$1:$I$89,5,0)</f>
        <v>-6.9906036515021697E-13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415.91544298418842</v>
      </c>
      <c r="T98" s="59">
        <f t="shared" si="88"/>
        <v>422.79312683312583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3.1521376832904884</v>
      </c>
      <c r="AA98" s="21">
        <f>EXP(-LN(2)/25)*AA97+(1-EXP(-LN(2)/25))/(LN(2)/25)*Calculateur!V98*Calculateur!X98*VLOOKUP('Données projet'!$B$9,Paramètres!$A$1:$I$89,3,0)*0.475*44/12</f>
        <v>6.3929185313182817</v>
      </c>
      <c r="AB98" s="21">
        <f>EXP(-LN(2)/2)*AB97+(1-EXP(-LN(2)/2))/(LN(2)/2)*V98*Y98*VLOOKUP('Données projet'!$B$9,Paramètres!$A$1:$I$89,3,0)*0.475*44/12</f>
        <v>6.0045909369000301E-9</v>
      </c>
      <c r="AC98" s="22">
        <f t="shared" si="57"/>
        <v>9.5450562206133611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5.6843418860808015E-13</v>
      </c>
      <c r="AJ98" s="13">
        <f>AI98*VLOOKUP('Données projet'!$B$10,Paramètres!$A$1:$I$89,3,0)*VLOOKUP('Données projet'!$B$10,Paramètres!$A$1:$I$89,5,0)</f>
        <v>3.1036506698001181E-13</v>
      </c>
      <c r="AK98" s="13">
        <f t="shared" si="89"/>
        <v>4.086682523110923E-12</v>
      </c>
      <c r="AL98" s="20">
        <f t="shared" si="58"/>
        <v>7.6581912194083782E-12</v>
      </c>
      <c r="AM98" s="59">
        <f t="shared" si="59"/>
        <v>293.33333333334099</v>
      </c>
      <c r="AN98" s="59">
        <f ca="1">AVERAGE(OFFSET($AM$3,0,0,'Données projet'!$E$10+1,1))-AVERAGE(OFFSET($H$3,0,0,'Données projet'!$E$10+1,1))</f>
        <v>248.1486444660062</v>
      </c>
      <c r="AO98" s="59">
        <f t="shared" si="90"/>
        <v>293.34458072322127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2.3511081916805119</v>
      </c>
      <c r="AV98" s="21">
        <f>EXP(-LN(2)/25)*AV97+(1-EXP(-LN(2)/25))/(LN(2)/25)*Calculateur!AQ98*Calculateur!AS98*VLOOKUP('Données projet'!$B$10,Paramètres!$A$1:$I$89,3,0)*0.475*44/12</f>
        <v>5.6141333550891952</v>
      </c>
      <c r="AW98" s="21">
        <f>EXP(-LN(2)/2)*AW97+(1-EXP(-LN(2)/2))/(LN(2)/2)*AQ98*AT98*VLOOKUP('Données projet'!$B$10,Paramètres!$A$1:$I$89,3,0)*0.475*44/12</f>
        <v>4.1459371039064442E-9</v>
      </c>
      <c r="AX98" s="21">
        <f t="shared" si="60"/>
        <v>7.9652415509156445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-1.2505552149377763E-12</v>
      </c>
      <c r="O99" s="13">
        <f>N99*VLOOKUP('Données projet'!$B$9,Paramètres!$A$1:$I$89,3,0)*VLOOKUP('Données projet'!$B$9,Paramètres!$A$1:$I$89,5,0)</f>
        <v>-6.9906036515021697E-13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415.91544298418842</v>
      </c>
      <c r="T99" s="59">
        <f t="shared" si="88"/>
        <v>422.79312683312583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3.0903261859353064</v>
      </c>
      <c r="AA99" s="21">
        <f>EXP(-LN(2)/25)*AA98+(1-EXP(-LN(2)/25))/(LN(2)/25)*Calculateur!V99*Calculateur!X99*VLOOKUP('Données projet'!$B$9,Paramètres!$A$1:$I$89,3,0)*0.475*44/12</f>
        <v>6.2181038378904088</v>
      </c>
      <c r="AB99" s="21">
        <f>EXP(-LN(2)/2)*AB98+(1-EXP(-LN(2)/2))/(LN(2)/2)*V99*Y99*VLOOKUP('Données projet'!$B$9,Paramètres!$A$1:$I$89,3,0)*0.475*44/12</f>
        <v>4.2458869697332959E-9</v>
      </c>
      <c r="AC99" s="22">
        <f t="shared" si="57"/>
        <v>9.3084300280716015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5.6843418860808015E-13</v>
      </c>
      <c r="AJ99" s="13">
        <f>AI99*VLOOKUP('Données projet'!$B$10,Paramètres!$A$1:$I$89,3,0)*VLOOKUP('Données projet'!$B$10,Paramètres!$A$1:$I$89,5,0)</f>
        <v>3.1036506698001181E-13</v>
      </c>
      <c r="AK99" s="13">
        <f t="shared" si="89"/>
        <v>4.086682523110923E-12</v>
      </c>
      <c r="AL99" s="20">
        <f t="shared" si="58"/>
        <v>7.6581912194083782E-12</v>
      </c>
      <c r="AM99" s="59">
        <f t="shared" si="59"/>
        <v>293.33333333334099</v>
      </c>
      <c r="AN99" s="59">
        <f ca="1">AVERAGE(OFFSET($AM$3,0,0,'Données projet'!$E$10+1,1))-AVERAGE(OFFSET($H$3,0,0,'Données projet'!$E$10+1,1))</f>
        <v>248.1486444660062</v>
      </c>
      <c r="AO99" s="59">
        <f t="shared" si="90"/>
        <v>293.34458072322127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2.3050043940760547</v>
      </c>
      <c r="AV99" s="21">
        <f>EXP(-LN(2)/25)*AV98+(1-EXP(-LN(2)/25))/(LN(2)/25)*Calculateur!AQ99*Calculateur!AS99*VLOOKUP('Données projet'!$B$10,Paramètres!$A$1:$I$89,3,0)*0.475*44/12</f>
        <v>5.4606145832598392</v>
      </c>
      <c r="AW99" s="21">
        <f>EXP(-LN(2)/2)*AW98+(1-EXP(-LN(2)/2))/(LN(2)/2)*AQ99*AT99*VLOOKUP('Données projet'!$B$10,Paramètres!$A$1:$I$89,3,0)*0.475*44/12</f>
        <v>2.9316202405451626E-9</v>
      </c>
      <c r="AX99" s="21">
        <f t="shared" si="60"/>
        <v>7.7656189802675142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-1.2505552149377763E-12</v>
      </c>
      <c r="O100" s="13">
        <f>N100*VLOOKUP('Données projet'!$B$9,Paramètres!$A$1:$I$89,3,0)*VLOOKUP('Données projet'!$B$9,Paramètres!$A$1:$I$89,5,0)</f>
        <v>-6.9906036515021697E-13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415.91544298418842</v>
      </c>
      <c r="T100" s="59">
        <f t="shared" si="88"/>
        <v>422.79312683312583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3.0297267743419689</v>
      </c>
      <c r="AA100" s="21">
        <f>EXP(-LN(2)/25)*AA99+(1-EXP(-LN(2)/25))/(LN(2)/25)*Calculateur!V100*Calculateur!X100*VLOOKUP('Données projet'!$B$9,Paramètres!$A$1:$I$89,3,0)*0.475*44/12</f>
        <v>6.048069461447426</v>
      </c>
      <c r="AB100" s="21">
        <f>EXP(-LN(2)/2)*AB99+(1-EXP(-LN(2)/2))/(LN(2)/2)*V100*Y100*VLOOKUP('Données projet'!$B$9,Paramètres!$A$1:$I$89,3,0)*0.475*44/12</f>
        <v>3.0022954684500151E-9</v>
      </c>
      <c r="AC100" s="22">
        <f t="shared" si="57"/>
        <v>9.0777962387916897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5.6843418860808015E-13</v>
      </c>
      <c r="AJ100" s="13">
        <f>AI100*VLOOKUP('Données projet'!$B$10,Paramètres!$A$1:$I$89,3,0)*VLOOKUP('Données projet'!$B$10,Paramètres!$A$1:$I$89,5,0)</f>
        <v>3.1036506698001181E-13</v>
      </c>
      <c r="AK100" s="13">
        <f t="shared" si="89"/>
        <v>4.086682523110923E-12</v>
      </c>
      <c r="AL100" s="20">
        <f t="shared" si="58"/>
        <v>7.6581912194083782E-12</v>
      </c>
      <c r="AM100" s="59">
        <f t="shared" si="59"/>
        <v>293.33333333334099</v>
      </c>
      <c r="AN100" s="59">
        <f ca="1">AVERAGE(OFFSET($AM$3,0,0,'Données projet'!$E$10+1,1))-AVERAGE(OFFSET($H$3,0,0,'Données projet'!$E$10+1,1))</f>
        <v>248.1486444660062</v>
      </c>
      <c r="AO100" s="59">
        <f t="shared" si="90"/>
        <v>293.34458072322127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2.2598046638220812</v>
      </c>
      <c r="AV100" s="21">
        <f>EXP(-LN(2)/25)*AV99+(1-EXP(-LN(2)/25))/(LN(2)/25)*Calculateur!AQ100*Calculateur!AS100*VLOOKUP('Données projet'!$B$10,Paramètres!$A$1:$I$89,3,0)*0.475*44/12</f>
        <v>5.3112937903193584</v>
      </c>
      <c r="AW100" s="21">
        <f>EXP(-LN(2)/2)*AW99+(1-EXP(-LN(2)/2))/(LN(2)/2)*AQ100*AT100*VLOOKUP('Données projet'!$B$10,Paramètres!$A$1:$I$89,3,0)*0.475*44/12</f>
        <v>2.0729685519532221E-9</v>
      </c>
      <c r="AX100" s="21">
        <f t="shared" si="60"/>
        <v>7.5710984562144086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-1.2505552149377763E-12</v>
      </c>
      <c r="O101" s="13">
        <f>N101*VLOOKUP('Données projet'!$B$9,Paramètres!$A$1:$I$89,3,0)*VLOOKUP('Données projet'!$B$9,Paramètres!$A$1:$I$89,5,0)</f>
        <v>-6.9906036515021697E-13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415.91544298418842</v>
      </c>
      <c r="T101" s="59">
        <f t="shared" si="88"/>
        <v>422.79312683312583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2.9703156802479853</v>
      </c>
      <c r="AA101" s="21">
        <f>EXP(-LN(2)/25)*AA100+(1-EXP(-LN(2)/25))/(LN(2)/25)*Calculateur!V101*Calculateur!X101*VLOOKUP('Données projet'!$B$9,Paramètres!$A$1:$I$89,3,0)*0.475*44/12</f>
        <v>5.8826846839699964</v>
      </c>
      <c r="AB101" s="21">
        <f>EXP(-LN(2)/2)*AB100+(1-EXP(-LN(2)/2))/(LN(2)/2)*V101*Y101*VLOOKUP('Données projet'!$B$9,Paramètres!$A$1:$I$89,3,0)*0.475*44/12</f>
        <v>2.122943484866648E-9</v>
      </c>
      <c r="AC101" s="22">
        <f t="shared" si="57"/>
        <v>8.8530003663409254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5.6843418860808015E-13</v>
      </c>
      <c r="AJ101" s="13">
        <f>AI101*VLOOKUP('Données projet'!$B$10,Paramètres!$A$1:$I$89,3,0)*VLOOKUP('Données projet'!$B$10,Paramètres!$A$1:$I$89,5,0)</f>
        <v>3.1036506698001181E-13</v>
      </c>
      <c r="AK101" s="13">
        <f t="shared" si="89"/>
        <v>4.086682523110923E-12</v>
      </c>
      <c r="AL101" s="20">
        <f t="shared" si="58"/>
        <v>7.6581912194083782E-12</v>
      </c>
      <c r="AM101" s="59">
        <f t="shared" si="59"/>
        <v>293.33333333334099</v>
      </c>
      <c r="AN101" s="59">
        <f ca="1">AVERAGE(OFFSET($AM$3,0,0,'Données projet'!$E$10+1,1))-AVERAGE(OFFSET($H$3,0,0,'Données projet'!$E$10+1,1))</f>
        <v>248.1486444660062</v>
      </c>
      <c r="AO101" s="59">
        <f t="shared" si="90"/>
        <v>293.34458072322127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2.2154912727092748</v>
      </c>
      <c r="AV101" s="21">
        <f>EXP(-LN(2)/25)*AV100+(1-EXP(-LN(2)/25))/(LN(2)/25)*Calculateur!AQ101*Calculateur!AS101*VLOOKUP('Données projet'!$B$10,Paramètres!$A$1:$I$89,3,0)*0.475*44/12</f>
        <v>5.1660561823142741</v>
      </c>
      <c r="AW101" s="21">
        <f>EXP(-LN(2)/2)*AW100+(1-EXP(-LN(2)/2))/(LN(2)/2)*AQ101*AT101*VLOOKUP('Données projet'!$B$10,Paramètres!$A$1:$I$89,3,0)*0.475*44/12</f>
        <v>1.4658101202725813E-9</v>
      </c>
      <c r="AX101" s="21">
        <f t="shared" si="60"/>
        <v>7.3815474564893586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-1.2505552149377763E-12</v>
      </c>
      <c r="O102" s="13">
        <f>N102*VLOOKUP('Données projet'!$B$9,Paramètres!$A$1:$I$89,3,0)*VLOOKUP('Données projet'!$B$9,Paramètres!$A$1:$I$89,5,0)</f>
        <v>-6.9906036515021697E-13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415.91544298418842</v>
      </c>
      <c r="T102" s="59">
        <f t="shared" si="88"/>
        <v>422.79312683312583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2.9120696014719956</v>
      </c>
      <c r="AA102" s="21">
        <f>EXP(-LN(2)/25)*AA101+(1-EXP(-LN(2)/25))/(LN(2)/25)*Calculateur!V102*Calculateur!X102*VLOOKUP('Données projet'!$B$9,Paramètres!$A$1:$I$89,3,0)*0.475*44/12</f>
        <v>5.7218223619298945</v>
      </c>
      <c r="AB102" s="21">
        <f>EXP(-LN(2)/2)*AB101+(1-EXP(-LN(2)/2))/(LN(2)/2)*V102*Y102*VLOOKUP('Données projet'!$B$9,Paramètres!$A$1:$I$89,3,0)*0.475*44/12</f>
        <v>1.5011477342250075E-9</v>
      </c>
      <c r="AC102" s="22">
        <f t="shared" si="57"/>
        <v>8.6338919649030377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5.6843418860808015E-13</v>
      </c>
      <c r="AJ102" s="13">
        <f>AI102*VLOOKUP('Données projet'!$B$10,Paramètres!$A$1:$I$89,3,0)*VLOOKUP('Données projet'!$B$10,Paramètres!$A$1:$I$89,5,0)</f>
        <v>3.1036506698001181E-13</v>
      </c>
      <c r="AK102" s="13">
        <f t="shared" si="89"/>
        <v>4.086682523110923E-12</v>
      </c>
      <c r="AL102" s="20">
        <f t="shared" si="58"/>
        <v>7.6581912194083782E-12</v>
      </c>
      <c r="AM102" s="59">
        <f t="shared" si="59"/>
        <v>293.33333333334099</v>
      </c>
      <c r="AN102" s="59">
        <f ca="1">AVERAGE(OFFSET($AM$3,0,0,'Données projet'!$E$10+1,1))-AVERAGE(OFFSET($H$3,0,0,'Données projet'!$E$10+1,1))</f>
        <v>248.1486444660062</v>
      </c>
      <c r="AO102" s="59">
        <f t="shared" si="90"/>
        <v>293.34458072322127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2.1720468401676909</v>
      </c>
      <c r="AV102" s="21">
        <f>EXP(-LN(2)/25)*AV101+(1-EXP(-LN(2)/25))/(LN(2)/25)*Calculateur!AQ102*Calculateur!AS102*VLOOKUP('Données projet'!$B$10,Paramètres!$A$1:$I$89,3,0)*0.475*44/12</f>
        <v>5.0247901043378027</v>
      </c>
      <c r="AW102" s="21">
        <f>EXP(-LN(2)/2)*AW101+(1-EXP(-LN(2)/2))/(LN(2)/2)*AQ102*AT102*VLOOKUP('Données projet'!$B$10,Paramètres!$A$1:$I$89,3,0)*0.475*44/12</f>
        <v>1.036484275976611E-9</v>
      </c>
      <c r="AX102" s="21">
        <f t="shared" si="60"/>
        <v>7.1968369455419783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-1.2505552149377763E-12</v>
      </c>
      <c r="O103" s="13">
        <f>N103*VLOOKUP('Données projet'!$B$9,Paramètres!$A$1:$I$89,3,0)*VLOOKUP('Données projet'!$B$9,Paramètres!$A$1:$I$89,5,0)</f>
        <v>-6.9906036515021697E-13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415.91544298418842</v>
      </c>
      <c r="T103" s="59">
        <f t="shared" si="88"/>
        <v>422.79312683312583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2.8549656927742029</v>
      </c>
      <c r="AA103" s="21">
        <f>EXP(-LN(2)/25)*AA102+(1-EXP(-LN(2)/25))/(LN(2)/25)*Calculateur!V103*Calculateur!X103*VLOOKUP('Données projet'!$B$9,Paramètres!$A$1:$I$89,3,0)*0.475*44/12</f>
        <v>5.565358828545361</v>
      </c>
      <c r="AB103" s="21">
        <f>EXP(-LN(2)/2)*AB102+(1-EXP(-LN(2)/2))/(LN(2)/2)*V103*Y103*VLOOKUP('Données projet'!$B$9,Paramètres!$A$1:$I$89,3,0)*0.475*44/12</f>
        <v>1.061471742433324E-9</v>
      </c>
      <c r="AC103" s="22">
        <f t="shared" si="57"/>
        <v>8.4203245223810352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5.6843418860808015E-13</v>
      </c>
      <c r="AJ103" s="13">
        <f>AI103*VLOOKUP('Données projet'!$B$10,Paramètres!$A$1:$I$89,3,0)*VLOOKUP('Données projet'!$B$10,Paramètres!$A$1:$I$89,5,0)</f>
        <v>3.1036506698001181E-13</v>
      </c>
      <c r="AK103" s="13">
        <f t="shared" si="89"/>
        <v>4.086682523110923E-12</v>
      </c>
      <c r="AL103" s="20">
        <f t="shared" si="58"/>
        <v>7.6581912194083782E-12</v>
      </c>
      <c r="AM103" s="59">
        <f t="shared" si="59"/>
        <v>293.33333333334099</v>
      </c>
      <c r="AN103" s="59">
        <f ca="1">AVERAGE(OFFSET($AM$3,0,0,'Données projet'!$E$10+1,1))-AVERAGE(OFFSET($H$3,0,0,'Données projet'!$E$10+1,1))</f>
        <v>248.1486444660062</v>
      </c>
      <c r="AO103" s="59">
        <f t="shared" si="90"/>
        <v>293.34458072322127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2.1294543264497601</v>
      </c>
      <c r="AV103" s="21">
        <f>EXP(-LN(2)/25)*AV102+(1-EXP(-LN(2)/25))/(LN(2)/25)*Calculateur!AQ103*Calculateur!AS103*VLOOKUP('Données projet'!$B$10,Paramètres!$A$1:$I$89,3,0)*0.475*44/12</f>
        <v>4.8873869546924587</v>
      </c>
      <c r="AW103" s="21">
        <f>EXP(-LN(2)/2)*AW102+(1-EXP(-LN(2)/2))/(LN(2)/2)*AQ103*AT103*VLOOKUP('Données projet'!$B$10,Paramètres!$A$1:$I$89,3,0)*0.475*44/12</f>
        <v>7.3290506013629064E-10</v>
      </c>
      <c r="AX103" s="21">
        <f t="shared" si="60"/>
        <v>7.0168412818751236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-1.2505552149377763E-12</v>
      </c>
      <c r="O104" s="13">
        <f>N104*VLOOKUP('Données projet'!$B$9,Paramètres!$A$1:$I$89,3,0)*VLOOKUP('Données projet'!$B$9,Paramètres!$A$1:$I$89,5,0)</f>
        <v>-6.9906036515021697E-13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415.91544298418842</v>
      </c>
      <c r="T104" s="59">
        <f t="shared" si="88"/>
        <v>422.79312683312583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2.7989815568960288</v>
      </c>
      <c r="AA104" s="21">
        <f>EXP(-LN(2)/25)*AA103+(1-EXP(-LN(2)/25))/(LN(2)/25)*Calculateur!V104*Calculateur!X104*VLOOKUP('Données projet'!$B$9,Paramètres!$A$1:$I$89,3,0)*0.475*44/12</f>
        <v>5.4131737987092867</v>
      </c>
      <c r="AB104" s="21">
        <f>EXP(-LN(2)/2)*AB103+(1-EXP(-LN(2)/2))/(LN(2)/2)*V104*Y104*VLOOKUP('Données projet'!$B$9,Paramètres!$A$1:$I$89,3,0)*0.475*44/12</f>
        <v>7.5057386711250376E-10</v>
      </c>
      <c r="AC104" s="22">
        <f t="shared" si="57"/>
        <v>8.2121553563558898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5.6843418860808015E-13</v>
      </c>
      <c r="AJ104" s="13">
        <f>AI104*VLOOKUP('Données projet'!$B$10,Paramètres!$A$1:$I$89,3,0)*VLOOKUP('Données projet'!$B$10,Paramètres!$A$1:$I$89,5,0)</f>
        <v>3.1036506698001181E-13</v>
      </c>
      <c r="AK104" s="13">
        <f t="shared" si="89"/>
        <v>4.086682523110923E-12</v>
      </c>
      <c r="AL104" s="20">
        <f t="shared" si="58"/>
        <v>7.6581912194083782E-12</v>
      </c>
      <c r="AM104" s="59">
        <f t="shared" si="59"/>
        <v>293.33333333334099</v>
      </c>
      <c r="AN104" s="59">
        <f ca="1">AVERAGE(OFFSET($AM$3,0,0,'Données projet'!$E$10+1,1))-AVERAGE(OFFSET($H$3,0,0,'Données projet'!$E$10+1,1))</f>
        <v>248.1486444660062</v>
      </c>
      <c r="AO104" s="59">
        <f t="shared" si="90"/>
        <v>293.34458072322127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2.0876970259469698</v>
      </c>
      <c r="AV104" s="21">
        <f>EXP(-LN(2)/25)*AV103+(1-EXP(-LN(2)/25))/(LN(2)/25)*Calculateur!AQ104*Calculateur!AS104*VLOOKUP('Données projet'!$B$10,Paramètres!$A$1:$I$89,3,0)*0.475*44/12</f>
        <v>4.7537411013998838</v>
      </c>
      <c r="AW104" s="21">
        <f>EXP(-LN(2)/2)*AW103+(1-EXP(-LN(2)/2))/(LN(2)/2)*AQ104*AT104*VLOOKUP('Données projet'!$B$10,Paramètres!$A$1:$I$89,3,0)*0.475*44/12</f>
        <v>5.1824213798830552E-10</v>
      </c>
      <c r="AX104" s="21">
        <f t="shared" si="60"/>
        <v>6.8414381278650955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-1.2505552149377763E-12</v>
      </c>
      <c r="O105" s="13">
        <f>N105*VLOOKUP('Données projet'!$B$9,Paramètres!$A$1:$I$89,3,0)*VLOOKUP('Données projet'!$B$9,Paramètres!$A$1:$I$89,5,0)</f>
        <v>-6.9906036515021697E-13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415.91544298418842</v>
      </c>
      <c r="T105" s="59">
        <f t="shared" si="88"/>
        <v>422.79312683312583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2.7440952357754744</v>
      </c>
      <c r="AA105" s="21">
        <f>EXP(-LN(2)/25)*AA104+(1-EXP(-LN(2)/25))/(LN(2)/25)*Calculateur!V105*Calculateur!X105*VLOOKUP('Données projet'!$B$9,Paramètres!$A$1:$I$89,3,0)*0.475*44/12</f>
        <v>5.2651502765171427</v>
      </c>
      <c r="AB105" s="21">
        <f>EXP(-LN(2)/2)*AB104+(1-EXP(-LN(2)/2))/(LN(2)/2)*V105*Y105*VLOOKUP('Données projet'!$B$9,Paramètres!$A$1:$I$89,3,0)*0.475*44/12</f>
        <v>5.3073587121666199E-10</v>
      </c>
      <c r="AC105" s="22">
        <f t="shared" si="57"/>
        <v>8.0092455128233535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5.6843418860808015E-13</v>
      </c>
      <c r="AJ105" s="13">
        <f>AI105*VLOOKUP('Données projet'!$B$10,Paramètres!$A$1:$I$89,3,0)*VLOOKUP('Données projet'!$B$10,Paramètres!$A$1:$I$89,5,0)</f>
        <v>3.1036506698001181E-13</v>
      </c>
      <c r="AK105" s="13">
        <f t="shared" si="89"/>
        <v>4.086682523110923E-12</v>
      </c>
      <c r="AL105" s="20">
        <f t="shared" si="58"/>
        <v>7.6581912194083782E-12</v>
      </c>
      <c r="AM105" s="59">
        <f t="shared" si="59"/>
        <v>293.33333333334099</v>
      </c>
      <c r="AN105" s="59">
        <f ca="1">AVERAGE(OFFSET($AM$3,0,0,'Données projet'!$E$10+1,1))-AVERAGE(OFFSET($H$3,0,0,'Données projet'!$E$10+1,1))</f>
        <v>248.1486444660062</v>
      </c>
      <c r="AO105" s="59">
        <f t="shared" si="90"/>
        <v>293.34458072322127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2.0467585606376009</v>
      </c>
      <c r="AV105" s="21">
        <f>EXP(-LN(2)/25)*AV104+(1-EXP(-LN(2)/25))/(LN(2)/25)*Calculateur!AQ105*Calculateur!AS105*VLOOKUP('Données projet'!$B$10,Paramètres!$A$1:$I$89,3,0)*0.475*44/12</f>
        <v>4.6237498009937239</v>
      </c>
      <c r="AW105" s="21">
        <f>EXP(-LN(2)/2)*AW104+(1-EXP(-LN(2)/2))/(LN(2)/2)*AQ105*AT105*VLOOKUP('Données projet'!$B$10,Paramètres!$A$1:$I$89,3,0)*0.475*44/12</f>
        <v>3.6645253006814532E-10</v>
      </c>
      <c r="AX105" s="21">
        <f t="shared" si="60"/>
        <v>6.6705083619977774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-1.2505552149377763E-12</v>
      </c>
      <c r="O106" s="13">
        <f>N106*VLOOKUP('Données projet'!$B$9,Paramètres!$A$1:$I$89,3,0)*VLOOKUP('Données projet'!$B$9,Paramètres!$A$1:$I$89,5,0)</f>
        <v>-6.9906036515021697E-13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415.91544298418842</v>
      </c>
      <c r="T106" s="59">
        <f t="shared" si="88"/>
        <v>422.79312683312583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2.6902852019347439</v>
      </c>
      <c r="AA106" s="21">
        <f>EXP(-LN(2)/25)*AA105+(1-EXP(-LN(2)/25))/(LN(2)/25)*Calculateur!V106*Calculateur!X106*VLOOKUP('Données projet'!$B$9,Paramètres!$A$1:$I$89,3,0)*0.475*44/12</f>
        <v>5.1211744653235618</v>
      </c>
      <c r="AB106" s="21">
        <f>EXP(-LN(2)/2)*AB105+(1-EXP(-LN(2)/2))/(LN(2)/2)*V106*Y106*VLOOKUP('Données projet'!$B$9,Paramètres!$A$1:$I$89,3,0)*0.475*44/12</f>
        <v>3.7528693355625188E-10</v>
      </c>
      <c r="AC106" s="22">
        <f t="shared" si="57"/>
        <v>7.811459667633593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5.6843418860808015E-13</v>
      </c>
      <c r="AJ106" s="13">
        <f>AI106*VLOOKUP('Données projet'!$B$10,Paramètres!$A$1:$I$89,3,0)*VLOOKUP('Données projet'!$B$10,Paramètres!$A$1:$I$89,5,0)</f>
        <v>3.1036506698001181E-13</v>
      </c>
      <c r="AK106" s="13">
        <f t="shared" si="89"/>
        <v>4.086682523110923E-12</v>
      </c>
      <c r="AL106" s="20">
        <f t="shared" si="58"/>
        <v>7.6581912194083782E-12</v>
      </c>
      <c r="AM106" s="59">
        <f t="shared" si="59"/>
        <v>293.33333333334099</v>
      </c>
      <c r="AN106" s="59">
        <f ca="1">AVERAGE(OFFSET($AM$3,0,0,'Données projet'!$E$10+1,1))-AVERAGE(OFFSET($H$3,0,0,'Données projet'!$E$10+1,1))</f>
        <v>248.1486444660062</v>
      </c>
      <c r="AO106" s="59">
        <f t="shared" si="90"/>
        <v>293.34458072322127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2.0066228736629501</v>
      </c>
      <c r="AV106" s="21">
        <f>EXP(-LN(2)/25)*AV105+(1-EXP(-LN(2)/25))/(LN(2)/25)*Calculateur!AQ106*Calculateur!AS106*VLOOKUP('Données projet'!$B$10,Paramètres!$A$1:$I$89,3,0)*0.475*44/12</f>
        <v>4.497313119533116</v>
      </c>
      <c r="AW106" s="21">
        <f>EXP(-LN(2)/2)*AW105+(1-EXP(-LN(2)/2))/(LN(2)/2)*AQ106*AT106*VLOOKUP('Données projet'!$B$10,Paramètres!$A$1:$I$89,3,0)*0.475*44/12</f>
        <v>2.5912106899415276E-10</v>
      </c>
      <c r="AX106" s="21">
        <f t="shared" si="60"/>
        <v>6.5039359934551868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-1.2505552149377763E-12</v>
      </c>
      <c r="O107" s="13">
        <f>N107*VLOOKUP('Données projet'!$B$9,Paramètres!$A$1:$I$89,3,0)*VLOOKUP('Données projet'!$B$9,Paramètres!$A$1:$I$89,5,0)</f>
        <v>-6.9906036515021697E-13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415.91544298418842</v>
      </c>
      <c r="T107" s="59">
        <f t="shared" si="88"/>
        <v>422.79312683312583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2.6375303500367502</v>
      </c>
      <c r="AA107" s="21">
        <f>EXP(-LN(2)/25)*AA106+(1-EXP(-LN(2)/25))/(LN(2)/25)*Calculateur!V107*Calculateur!X107*VLOOKUP('Données projet'!$B$9,Paramètres!$A$1:$I$89,3,0)*0.475*44/12</f>
        <v>4.9811356802584283</v>
      </c>
      <c r="AB107" s="21">
        <f>EXP(-LN(2)/2)*AB106+(1-EXP(-LN(2)/2))/(LN(2)/2)*V107*Y107*VLOOKUP('Données projet'!$B$9,Paramètres!$A$1:$I$89,3,0)*0.475*44/12</f>
        <v>2.65367935608331E-10</v>
      </c>
      <c r="AC107" s="22">
        <f t="shared" si="57"/>
        <v>7.6186660305605471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5.6843418860808015E-13</v>
      </c>
      <c r="AJ107" s="13">
        <f>AI107*VLOOKUP('Données projet'!$B$10,Paramètres!$A$1:$I$89,3,0)*VLOOKUP('Données projet'!$B$10,Paramètres!$A$1:$I$89,5,0)</f>
        <v>3.1036506698001181E-13</v>
      </c>
      <c r="AK107" s="13">
        <f t="shared" si="89"/>
        <v>4.086682523110923E-12</v>
      </c>
      <c r="AL107" s="20">
        <f t="shared" si="58"/>
        <v>7.6581912194083782E-12</v>
      </c>
      <c r="AM107" s="59">
        <f t="shared" si="59"/>
        <v>293.33333333334099</v>
      </c>
      <c r="AN107" s="59">
        <f ca="1">AVERAGE(OFFSET($AM$3,0,0,'Données projet'!$E$10+1,1))-AVERAGE(OFFSET($H$3,0,0,'Données projet'!$E$10+1,1))</f>
        <v>248.1486444660062</v>
      </c>
      <c r="AO107" s="59">
        <f t="shared" si="90"/>
        <v>293.34458072322127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1.9672742230295206</v>
      </c>
      <c r="AV107" s="21">
        <f>EXP(-LN(2)/25)*AV106+(1-EXP(-LN(2)/25))/(LN(2)/25)*Calculateur!AQ107*Calculateur!AS107*VLOOKUP('Données projet'!$B$10,Paramètres!$A$1:$I$89,3,0)*0.475*44/12</f>
        <v>4.3743338557760643</v>
      </c>
      <c r="AW107" s="21">
        <f>EXP(-LN(2)/2)*AW106+(1-EXP(-LN(2)/2))/(LN(2)/2)*AQ107*AT107*VLOOKUP('Données projet'!$B$10,Paramètres!$A$1:$I$89,3,0)*0.475*44/12</f>
        <v>1.8322626503407266E-10</v>
      </c>
      <c r="AX107" s="21">
        <f t="shared" si="60"/>
        <v>6.341608078988811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-1.2505552149377763E-12</v>
      </c>
      <c r="O108" s="13">
        <f>N108*VLOOKUP('Données projet'!$B$9,Paramètres!$A$1:$I$89,3,0)*VLOOKUP('Données projet'!$B$9,Paramètres!$A$1:$I$89,5,0)</f>
        <v>-6.9906036515021697E-13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415.91544298418842</v>
      </c>
      <c r="T108" s="59">
        <f t="shared" si="88"/>
        <v>422.79312683312583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2.5858099886071937</v>
      </c>
      <c r="AA108" s="21">
        <f>EXP(-LN(2)/25)*AA107+(1-EXP(-LN(2)/25))/(LN(2)/25)*Calculateur!V108*Calculateur!X108*VLOOKUP('Données projet'!$B$9,Paramètres!$A$1:$I$89,3,0)*0.475*44/12</f>
        <v>4.8449262631352203</v>
      </c>
      <c r="AB108" s="21">
        <f>EXP(-LN(2)/2)*AB107+(1-EXP(-LN(2)/2))/(LN(2)/2)*V108*Y108*VLOOKUP('Données projet'!$B$9,Paramètres!$A$1:$I$89,3,0)*0.475*44/12</f>
        <v>1.8764346677812594E-10</v>
      </c>
      <c r="AC108" s="22">
        <f t="shared" si="57"/>
        <v>7.4307362519300577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5.6843418860808015E-13</v>
      </c>
      <c r="AJ108" s="13">
        <f>AI108*VLOOKUP('Données projet'!$B$10,Paramètres!$A$1:$I$89,3,0)*VLOOKUP('Données projet'!$B$10,Paramètres!$A$1:$I$89,5,0)</f>
        <v>3.1036506698001181E-13</v>
      </c>
      <c r="AK108" s="13">
        <f t="shared" si="89"/>
        <v>4.086682523110923E-12</v>
      </c>
      <c r="AL108" s="20">
        <f t="shared" si="58"/>
        <v>7.6581912194083782E-12</v>
      </c>
      <c r="AM108" s="59">
        <f t="shared" si="59"/>
        <v>293.33333333334099</v>
      </c>
      <c r="AN108" s="59">
        <f ca="1">AVERAGE(OFFSET($AM$3,0,0,'Données projet'!$E$10+1,1))-AVERAGE(OFFSET($H$3,0,0,'Données projet'!$E$10+1,1))</f>
        <v>248.1486444660062</v>
      </c>
      <c r="AO108" s="59">
        <f t="shared" si="90"/>
        <v>293.34458072322127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1.9286971754347055</v>
      </c>
      <c r="AV108" s="21">
        <f>EXP(-LN(2)/25)*AV107+(1-EXP(-LN(2)/25))/(LN(2)/25)*Calculateur!AQ108*Calculateur!AS108*VLOOKUP('Données projet'!$B$10,Paramètres!$A$1:$I$89,3,0)*0.475*44/12</f>
        <v>4.2547174664536476</v>
      </c>
      <c r="AW108" s="21">
        <f>EXP(-LN(2)/2)*AW107+(1-EXP(-LN(2)/2))/(LN(2)/2)*AQ108*AT108*VLOOKUP('Données projet'!$B$10,Paramètres!$A$1:$I$89,3,0)*0.475*44/12</f>
        <v>1.2956053449707638E-10</v>
      </c>
      <c r="AX108" s="21">
        <f t="shared" si="60"/>
        <v>6.1834146420179135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-1.2505552149377763E-12</v>
      </c>
      <c r="O109" s="13">
        <f>N109*VLOOKUP('Données projet'!$B$9,Paramètres!$A$1:$I$89,3,0)*VLOOKUP('Données projet'!$B$9,Paramètres!$A$1:$I$89,5,0)</f>
        <v>-6.9906036515021697E-13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415.91544298418842</v>
      </c>
      <c r="T109" s="59">
        <f t="shared" si="88"/>
        <v>422.79312683312583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2.5351038319189652</v>
      </c>
      <c r="AA109" s="21">
        <f>EXP(-LN(2)/25)*AA108+(1-EXP(-LN(2)/25))/(LN(2)/25)*Calculateur!V109*Calculateur!X109*VLOOKUP('Données projet'!$B$9,Paramètres!$A$1:$I$89,3,0)*0.475*44/12</f>
        <v>4.7124414996861885</v>
      </c>
      <c r="AB109" s="21">
        <f>EXP(-LN(2)/2)*AB108+(1-EXP(-LN(2)/2))/(LN(2)/2)*V109*Y109*VLOOKUP('Données projet'!$B$9,Paramètres!$A$1:$I$89,3,0)*0.475*44/12</f>
        <v>1.326839678041655E-10</v>
      </c>
      <c r="AC109" s="22">
        <f t="shared" si="57"/>
        <v>7.2475453317378378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5.6843418860808015E-13</v>
      </c>
      <c r="AJ109" s="13">
        <f>AI109*VLOOKUP('Données projet'!$B$10,Paramètres!$A$1:$I$89,3,0)*VLOOKUP('Données projet'!$B$10,Paramètres!$A$1:$I$89,5,0)</f>
        <v>3.1036506698001181E-13</v>
      </c>
      <c r="AK109" s="13">
        <f t="shared" si="89"/>
        <v>4.086682523110923E-12</v>
      </c>
      <c r="AL109" s="20">
        <f t="shared" si="58"/>
        <v>7.6581912194083782E-12</v>
      </c>
      <c r="AM109" s="59">
        <f t="shared" si="59"/>
        <v>293.33333333334099</v>
      </c>
      <c r="AN109" s="59">
        <f ca="1">AVERAGE(OFFSET($AM$3,0,0,'Données projet'!$E$10+1,1))-AVERAGE(OFFSET($H$3,0,0,'Données projet'!$E$10+1,1))</f>
        <v>248.1486444660062</v>
      </c>
      <c r="AO109" s="59">
        <f t="shared" si="90"/>
        <v>293.34458072322127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1.8908766002135493</v>
      </c>
      <c r="AV109" s="21">
        <f>EXP(-LN(2)/25)*AV108+(1-EXP(-LN(2)/25))/(LN(2)/25)*Calculateur!AQ109*Calculateur!AS109*VLOOKUP('Données projet'!$B$10,Paramètres!$A$1:$I$89,3,0)*0.475*44/12</f>
        <v>4.1383719935876053</v>
      </c>
      <c r="AW109" s="21">
        <f>EXP(-LN(2)/2)*AW108+(1-EXP(-LN(2)/2))/(LN(2)/2)*AQ109*AT109*VLOOKUP('Données projet'!$B$10,Paramètres!$A$1:$I$89,3,0)*0.475*44/12</f>
        <v>9.161313251703633E-11</v>
      </c>
      <c r="AX109" s="21">
        <f t="shared" si="60"/>
        <v>6.0292485938927678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-1.2505552149377763E-12</v>
      </c>
      <c r="O110" s="13">
        <f>N110*VLOOKUP('Données projet'!$B$9,Paramètres!$A$1:$I$89,3,0)*VLOOKUP('Données projet'!$B$9,Paramètres!$A$1:$I$89,5,0)</f>
        <v>-6.9906036515021697E-13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415.91544298418842</v>
      </c>
      <c r="T110" s="59">
        <f t="shared" si="88"/>
        <v>422.79312683312583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2.4853919920356913</v>
      </c>
      <c r="AA110" s="21">
        <f>EXP(-LN(2)/25)*AA109+(1-EXP(-LN(2)/25))/(LN(2)/25)*Calculateur!V110*Calculateur!X110*VLOOKUP('Données projet'!$B$9,Paramètres!$A$1:$I$89,3,0)*0.475*44/12</f>
        <v>4.5835795390607412</v>
      </c>
      <c r="AB110" s="21">
        <f>EXP(-LN(2)/2)*AB109+(1-EXP(-LN(2)/2))/(LN(2)/2)*V110*Y110*VLOOKUP('Données projet'!$B$9,Paramètres!$A$1:$I$89,3,0)*0.475*44/12</f>
        <v>9.3821733389062971E-11</v>
      </c>
      <c r="AC110" s="22">
        <f t="shared" si="57"/>
        <v>7.0689715311902539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5.6843418860808015E-13</v>
      </c>
      <c r="AJ110" s="13">
        <f>AI110*VLOOKUP('Données projet'!$B$10,Paramètres!$A$1:$I$89,3,0)*VLOOKUP('Données projet'!$B$10,Paramètres!$A$1:$I$89,5,0)</f>
        <v>3.1036506698001181E-13</v>
      </c>
      <c r="AK110" s="13">
        <f t="shared" si="89"/>
        <v>4.086682523110923E-12</v>
      </c>
      <c r="AL110" s="20">
        <f t="shared" si="58"/>
        <v>7.6581912194083782E-12</v>
      </c>
      <c r="AM110" s="59">
        <f t="shared" si="59"/>
        <v>293.33333333334099</v>
      </c>
      <c r="AN110" s="59">
        <f ca="1">AVERAGE(OFFSET($AM$3,0,0,'Données projet'!$E$10+1,1))-AVERAGE(OFFSET($H$3,0,0,'Données projet'!$E$10+1,1))</f>
        <v>248.1486444660062</v>
      </c>
      <c r="AO110" s="59">
        <f t="shared" si="90"/>
        <v>293.34458072322127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1.8537976634042068</v>
      </c>
      <c r="AV110" s="21">
        <f>EXP(-LN(2)/25)*AV109+(1-EXP(-LN(2)/25))/(LN(2)/25)*Calculateur!AQ110*Calculateur!AS110*VLOOKUP('Données projet'!$B$10,Paramètres!$A$1:$I$89,3,0)*0.475*44/12</f>
        <v>4.0252079937954273</v>
      </c>
      <c r="AW110" s="21">
        <f>EXP(-LN(2)/2)*AW109+(1-EXP(-LN(2)/2))/(LN(2)/2)*AQ110*AT110*VLOOKUP('Données projet'!$B$10,Paramètres!$A$1:$I$89,3,0)*0.475*44/12</f>
        <v>6.478026724853819E-11</v>
      </c>
      <c r="AX110" s="21">
        <f t="shared" si="60"/>
        <v>5.8790056572644147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-1.2505552149377763E-12</v>
      </c>
      <c r="O111" s="13">
        <f>N111*VLOOKUP('Données projet'!$B$9,Paramètres!$A$1:$I$89,3,0)*VLOOKUP('Données projet'!$B$9,Paramètres!$A$1:$I$89,5,0)</f>
        <v>-6.9906036515021697E-13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415.91544298418842</v>
      </c>
      <c r="T111" s="59">
        <f t="shared" si="88"/>
        <v>422.79312683312583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2.4366549710113001</v>
      </c>
      <c r="AA111" s="21">
        <f>EXP(-LN(2)/25)*AA110+(1-EXP(-LN(2)/25))/(LN(2)/25)*Calculateur!V111*Calculateur!X111*VLOOKUP('Données projet'!$B$9,Paramètres!$A$1:$I$89,3,0)*0.475*44/12</f>
        <v>4.4582413155251528</v>
      </c>
      <c r="AB111" s="21">
        <f>EXP(-LN(2)/2)*AB110+(1-EXP(-LN(2)/2))/(LN(2)/2)*V111*Y111*VLOOKUP('Données projet'!$B$9,Paramètres!$A$1:$I$89,3,0)*0.475*44/12</f>
        <v>6.6341983902082749E-11</v>
      </c>
      <c r="AC111" s="22">
        <f t="shared" si="57"/>
        <v>6.8948962866027941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5.6843418860808015E-13</v>
      </c>
      <c r="AJ111" s="13">
        <f>AI111*VLOOKUP('Données projet'!$B$10,Paramètres!$A$1:$I$89,3,0)*VLOOKUP('Données projet'!$B$10,Paramètres!$A$1:$I$89,5,0)</f>
        <v>3.1036506698001181E-13</v>
      </c>
      <c r="AK111" s="13">
        <f t="shared" si="89"/>
        <v>4.086682523110923E-12</v>
      </c>
      <c r="AL111" s="20">
        <f t="shared" si="58"/>
        <v>7.6581912194083782E-12</v>
      </c>
      <c r="AM111" s="59">
        <f t="shared" si="59"/>
        <v>293.33333333334099</v>
      </c>
      <c r="AN111" s="59">
        <f ca="1">AVERAGE(OFFSET($AM$3,0,0,'Données projet'!$E$10+1,1))-AVERAGE(OFFSET($H$3,0,0,'Données projet'!$E$10+1,1))</f>
        <v>248.1486444660062</v>
      </c>
      <c r="AO111" s="59">
        <f t="shared" si="90"/>
        <v>293.34458072322127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1.8174458219297771</v>
      </c>
      <c r="AV111" s="21">
        <f>EXP(-LN(2)/25)*AV110+(1-EXP(-LN(2)/25))/(LN(2)/25)*Calculateur!AQ111*Calculateur!AS111*VLOOKUP('Données projet'!$B$10,Paramètres!$A$1:$I$89,3,0)*0.475*44/12</f>
        <v>3.9151384695286024</v>
      </c>
      <c r="AW111" s="21">
        <f>EXP(-LN(2)/2)*AW110+(1-EXP(-LN(2)/2))/(LN(2)/2)*AQ111*AT111*VLOOKUP('Données projet'!$B$10,Paramètres!$A$1:$I$89,3,0)*0.475*44/12</f>
        <v>4.5806566258518165E-11</v>
      </c>
      <c r="AX111" s="21">
        <f t="shared" si="60"/>
        <v>5.7325842915041862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-1.2505552149377763E-12</v>
      </c>
      <c r="O112" s="13">
        <f>N112*VLOOKUP('Données projet'!$B$9,Paramètres!$A$1:$I$89,3,0)*VLOOKUP('Données projet'!$B$9,Paramètres!$A$1:$I$89,5,0)</f>
        <v>-6.9906036515021697E-13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415.91544298418842</v>
      </c>
      <c r="T112" s="59">
        <f t="shared" si="88"/>
        <v>422.79312683312583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2.3888736532425496</v>
      </c>
      <c r="AA112" s="21">
        <f>EXP(-LN(2)/25)*AA111+(1-EXP(-LN(2)/25))/(LN(2)/25)*Calculateur!V112*Calculateur!X112*VLOOKUP('Données projet'!$B$9,Paramètres!$A$1:$I$89,3,0)*0.475*44/12</f>
        <v>4.3363304723033957</v>
      </c>
      <c r="AB112" s="21">
        <f>EXP(-LN(2)/2)*AB111+(1-EXP(-LN(2)/2))/(LN(2)/2)*V112*Y112*VLOOKUP('Données projet'!$B$9,Paramètres!$A$1:$I$89,3,0)*0.475*44/12</f>
        <v>4.6910866694531485E-11</v>
      </c>
      <c r="AC112" s="22">
        <f t="shared" si="57"/>
        <v>6.7252041255928559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5.6843418860808015E-13</v>
      </c>
      <c r="AJ112" s="13">
        <f>AI112*VLOOKUP('Données projet'!$B$10,Paramètres!$A$1:$I$89,3,0)*VLOOKUP('Données projet'!$B$10,Paramètres!$A$1:$I$89,5,0)</f>
        <v>3.1036506698001181E-13</v>
      </c>
      <c r="AK112" s="13">
        <f t="shared" si="89"/>
        <v>4.086682523110923E-12</v>
      </c>
      <c r="AL112" s="20">
        <f t="shared" si="58"/>
        <v>7.6581912194083782E-12</v>
      </c>
      <c r="AM112" s="59">
        <f t="shared" si="59"/>
        <v>293.33333333334099</v>
      </c>
      <c r="AN112" s="59">
        <f ca="1">AVERAGE(OFFSET($AM$3,0,0,'Données projet'!$E$10+1,1))-AVERAGE(OFFSET($H$3,0,0,'Données projet'!$E$10+1,1))</f>
        <v>248.1486444660062</v>
      </c>
      <c r="AO112" s="59">
        <f t="shared" si="90"/>
        <v>293.34458072322127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1.781806817894227</v>
      </c>
      <c r="AV112" s="21">
        <f>EXP(-LN(2)/25)*AV111+(1-EXP(-LN(2)/25))/(LN(2)/25)*Calculateur!AQ112*Calculateur!AS112*VLOOKUP('Données projet'!$B$10,Paramètres!$A$1:$I$89,3,0)*0.475*44/12</f>
        <v>3.8080788021911589</v>
      </c>
      <c r="AW112" s="21">
        <f>EXP(-LN(2)/2)*AW111+(1-EXP(-LN(2)/2))/(LN(2)/2)*AQ112*AT112*VLOOKUP('Données projet'!$B$10,Paramètres!$A$1:$I$89,3,0)*0.475*44/12</f>
        <v>3.2390133624269095E-11</v>
      </c>
      <c r="AX112" s="21">
        <f t="shared" si="60"/>
        <v>5.5898856201177765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-1.2505552149377763E-12</v>
      </c>
      <c r="O113" s="13">
        <f>N113*VLOOKUP('Données projet'!$B$9,Paramètres!$A$1:$I$89,3,0)*VLOOKUP('Données projet'!$B$9,Paramètres!$A$1:$I$89,5,0)</f>
        <v>-6.9906036515021697E-13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415.91544298418842</v>
      </c>
      <c r="T113" s="59">
        <f t="shared" si="88"/>
        <v>422.79312683312583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2.3420292979715183</v>
      </c>
      <c r="AA113" s="21">
        <f>EXP(-LN(2)/25)*AA112+(1-EXP(-LN(2)/25))/(LN(2)/25)*Calculateur!V113*Calculateur!X113*VLOOKUP('Données projet'!$B$9,Paramètres!$A$1:$I$89,3,0)*0.475*44/12</f>
        <v>4.2177532875005506</v>
      </c>
      <c r="AB113" s="21">
        <f>EXP(-LN(2)/2)*AB112+(1-EXP(-LN(2)/2))/(LN(2)/2)*V113*Y113*VLOOKUP('Données projet'!$B$9,Paramètres!$A$1:$I$89,3,0)*0.475*44/12</f>
        <v>3.3170991951041374E-11</v>
      </c>
      <c r="AC113" s="22">
        <f t="shared" si="57"/>
        <v>6.5597825855052401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5.6843418860808015E-13</v>
      </c>
      <c r="AJ113" s="13">
        <f>AI113*VLOOKUP('Données projet'!$B$10,Paramètres!$A$1:$I$89,3,0)*VLOOKUP('Données projet'!$B$10,Paramètres!$A$1:$I$89,5,0)</f>
        <v>3.1036506698001181E-13</v>
      </c>
      <c r="AK113" s="13">
        <f t="shared" si="89"/>
        <v>4.086682523110923E-12</v>
      </c>
      <c r="AL113" s="20">
        <f t="shared" si="58"/>
        <v>7.6581912194083782E-12</v>
      </c>
      <c r="AM113" s="59">
        <f t="shared" si="59"/>
        <v>293.33333333334099</v>
      </c>
      <c r="AN113" s="59">
        <f ca="1">AVERAGE(OFFSET($AM$3,0,0,'Données projet'!$E$10+1,1))-AVERAGE(OFFSET($H$3,0,0,'Données projet'!$E$10+1,1))</f>
        <v>248.1486444660062</v>
      </c>
      <c r="AO113" s="59">
        <f t="shared" si="90"/>
        <v>293.34458072322127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1.7468666729901681</v>
      </c>
      <c r="AV113" s="21">
        <f>EXP(-LN(2)/25)*AV112+(1-EXP(-LN(2)/25))/(LN(2)/25)*Calculateur!AQ113*Calculateur!AS113*VLOOKUP('Données projet'!$B$10,Paramètres!$A$1:$I$89,3,0)*0.475*44/12</f>
        <v>3.7039466870870807</v>
      </c>
      <c r="AW113" s="21">
        <f>EXP(-LN(2)/2)*AW112+(1-EXP(-LN(2)/2))/(LN(2)/2)*AQ113*AT113*VLOOKUP('Données projet'!$B$10,Paramètres!$A$1:$I$89,3,0)*0.475*44/12</f>
        <v>2.2903283129259083E-11</v>
      </c>
      <c r="AX113" s="21">
        <f t="shared" si="60"/>
        <v>5.4508133601001525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-1.2505552149377763E-12</v>
      </c>
      <c r="O114" s="13">
        <f>N114*VLOOKUP('Données projet'!$B$9,Paramètres!$A$1:$I$89,3,0)*VLOOKUP('Données projet'!$B$9,Paramètres!$A$1:$I$89,5,0)</f>
        <v>-6.9906036515021697E-13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415.91544298418842</v>
      </c>
      <c r="T114" s="59">
        <f t="shared" si="88"/>
        <v>422.79312683312583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2.2961035319351164</v>
      </c>
      <c r="AA114" s="21">
        <f>EXP(-LN(2)/25)*AA113+(1-EXP(-LN(2)/25))/(LN(2)/25)*Calculateur!V114*Calculateur!X114*VLOOKUP('Données projet'!$B$9,Paramètres!$A$1:$I$89,3,0)*0.475*44/12</f>
        <v>4.1024186020518423</v>
      </c>
      <c r="AB114" s="21">
        <f>EXP(-LN(2)/2)*AB113+(1-EXP(-LN(2)/2))/(LN(2)/2)*V114*Y114*VLOOKUP('Données projet'!$B$9,Paramètres!$A$1:$I$89,3,0)*0.475*44/12</f>
        <v>2.3455433347265743E-11</v>
      </c>
      <c r="AC114" s="22">
        <f t="shared" si="57"/>
        <v>6.3985221340104133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5.6843418860808015E-13</v>
      </c>
      <c r="AJ114" s="13">
        <f>AI114*VLOOKUP('Données projet'!$B$10,Paramètres!$A$1:$I$89,3,0)*VLOOKUP('Données projet'!$B$10,Paramètres!$A$1:$I$89,5,0)</f>
        <v>3.1036506698001181E-13</v>
      </c>
      <c r="AK114" s="13">
        <f t="shared" si="89"/>
        <v>4.086682523110923E-12</v>
      </c>
      <c r="AL114" s="20">
        <f t="shared" si="58"/>
        <v>7.6581912194083782E-12</v>
      </c>
      <c r="AM114" s="59">
        <f t="shared" si="59"/>
        <v>293.33333333334099</v>
      </c>
      <c r="AN114" s="59">
        <f ca="1">AVERAGE(OFFSET($AM$3,0,0,'Données projet'!$E$10+1,1))-AVERAGE(OFFSET($H$3,0,0,'Données projet'!$E$10+1,1))</f>
        <v>248.1486444660062</v>
      </c>
      <c r="AO114" s="59">
        <f t="shared" si="90"/>
        <v>293.34458072322127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1.7126116830162936</v>
      </c>
      <c r="AV114" s="21">
        <f>EXP(-LN(2)/25)*AV113+(1-EXP(-LN(2)/25))/(LN(2)/25)*Calculateur!AQ114*Calculateur!AS114*VLOOKUP('Données projet'!$B$10,Paramètres!$A$1:$I$89,3,0)*0.475*44/12</f>
        <v>3.6026620701465939</v>
      </c>
      <c r="AW114" s="21">
        <f>EXP(-LN(2)/2)*AW113+(1-EXP(-LN(2)/2))/(LN(2)/2)*AQ114*AT114*VLOOKUP('Données projet'!$B$10,Paramètres!$A$1:$I$89,3,0)*0.475*44/12</f>
        <v>1.6195066812134547E-11</v>
      </c>
      <c r="AX114" s="21">
        <f t="shared" si="60"/>
        <v>5.315273753179083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-1.2505552149377763E-12</v>
      </c>
      <c r="O115" s="13">
        <f>N115*VLOOKUP('Données projet'!$B$9,Paramètres!$A$1:$I$89,3,0)*VLOOKUP('Données projet'!$B$9,Paramètres!$A$1:$I$89,5,0)</f>
        <v>-6.9906036515021697E-13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415.91544298418842</v>
      </c>
      <c r="T115" s="59">
        <f t="shared" si="88"/>
        <v>422.79312683312583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2.251078342158737</v>
      </c>
      <c r="AA115" s="21">
        <f>EXP(-LN(2)/25)*AA114+(1-EXP(-LN(2)/25))/(LN(2)/25)*Calculateur!V115*Calculateur!X115*VLOOKUP('Données projet'!$B$9,Paramètres!$A$1:$I$89,3,0)*0.475*44/12</f>
        <v>3.9902377496419166</v>
      </c>
      <c r="AB115" s="21">
        <f>EXP(-LN(2)/2)*AB114+(1-EXP(-LN(2)/2))/(LN(2)/2)*V115*Y115*VLOOKUP('Données projet'!$B$9,Paramètres!$A$1:$I$89,3,0)*0.475*44/12</f>
        <v>1.6585495975520687E-11</v>
      </c>
      <c r="AC115" s="22">
        <f t="shared" si="57"/>
        <v>6.2413160918172395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5.6843418860808015E-13</v>
      </c>
      <c r="AJ115" s="13">
        <f>AI115*VLOOKUP('Données projet'!$B$10,Paramètres!$A$1:$I$89,3,0)*VLOOKUP('Données projet'!$B$10,Paramètres!$A$1:$I$89,5,0)</f>
        <v>3.1036506698001181E-13</v>
      </c>
      <c r="AK115" s="13">
        <f t="shared" si="89"/>
        <v>4.086682523110923E-12</v>
      </c>
      <c r="AL115" s="20">
        <f t="shared" si="58"/>
        <v>7.6581912194083782E-12</v>
      </c>
      <c r="AM115" s="59">
        <f t="shared" si="59"/>
        <v>293.33333333334099</v>
      </c>
      <c r="AN115" s="59">
        <f ca="1">AVERAGE(OFFSET($AM$3,0,0,'Données projet'!$E$10+1,1))-AVERAGE(OFFSET($H$3,0,0,'Données projet'!$E$10+1,1))</f>
        <v>248.1486444660062</v>
      </c>
      <c r="AO115" s="59">
        <f t="shared" si="90"/>
        <v>293.34458072322127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1.679028412502326</v>
      </c>
      <c r="AV115" s="21">
        <f>EXP(-LN(2)/25)*AV114+(1-EXP(-LN(2)/25))/(LN(2)/25)*Calculateur!AQ115*Calculateur!AS115*VLOOKUP('Données projet'!$B$10,Paramètres!$A$1:$I$89,3,0)*0.475*44/12</f>
        <v>3.5041470863826709</v>
      </c>
      <c r="AW115" s="21">
        <f>EXP(-LN(2)/2)*AW114+(1-EXP(-LN(2)/2))/(LN(2)/2)*AQ115*AT115*VLOOKUP('Données projet'!$B$10,Paramètres!$A$1:$I$89,3,0)*0.475*44/12</f>
        <v>1.1451641564629541E-11</v>
      </c>
      <c r="AX115" s="21">
        <f t="shared" si="60"/>
        <v>5.183175498896448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-1.2505552149377763E-12</v>
      </c>
      <c r="O116" s="13">
        <f>N116*VLOOKUP('Données projet'!$B$9,Paramètres!$A$1:$I$89,3,0)*VLOOKUP('Données projet'!$B$9,Paramètres!$A$1:$I$89,5,0)</f>
        <v>-6.9906036515021697E-13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415.91544298418842</v>
      </c>
      <c r="T116" s="59">
        <f t="shared" si="88"/>
        <v>422.79312683312583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2.2069360688912183</v>
      </c>
      <c r="AA116" s="21">
        <f>EXP(-LN(2)/25)*AA115+(1-EXP(-LN(2)/25))/(LN(2)/25)*Calculateur!V116*Calculateur!X116*VLOOKUP('Données projet'!$B$9,Paramètres!$A$1:$I$89,3,0)*0.475*44/12</f>
        <v>3.881124488540475</v>
      </c>
      <c r="AB116" s="21">
        <f>EXP(-LN(2)/2)*AB115+(1-EXP(-LN(2)/2))/(LN(2)/2)*V116*Y116*VLOOKUP('Données projet'!$B$9,Paramètres!$A$1:$I$89,3,0)*0.475*44/12</f>
        <v>1.1727716673632871E-11</v>
      </c>
      <c r="AC116" s="22">
        <f t="shared" si="57"/>
        <v>6.0880605574434208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5.6843418860808015E-13</v>
      </c>
      <c r="AJ116" s="13">
        <f>AI116*VLOOKUP('Données projet'!$B$10,Paramètres!$A$1:$I$89,3,0)*VLOOKUP('Données projet'!$B$10,Paramètres!$A$1:$I$89,5,0)</f>
        <v>3.1036506698001181E-13</v>
      </c>
      <c r="AK116" s="13">
        <f t="shared" si="89"/>
        <v>4.086682523110923E-12</v>
      </c>
      <c r="AL116" s="20">
        <f t="shared" si="58"/>
        <v>7.6581912194083782E-12</v>
      </c>
      <c r="AM116" s="59">
        <f t="shared" si="59"/>
        <v>293.33333333334099</v>
      </c>
      <c r="AN116" s="59">
        <f ca="1">AVERAGE(OFFSET($AM$3,0,0,'Données projet'!$E$10+1,1))-AVERAGE(OFFSET($H$3,0,0,'Données projet'!$E$10+1,1))</f>
        <v>248.1486444660062</v>
      </c>
      <c r="AO116" s="59">
        <f t="shared" si="90"/>
        <v>293.34458072322127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1.646103689439365</v>
      </c>
      <c r="AV116" s="21">
        <f>EXP(-LN(2)/25)*AV115+(1-EXP(-LN(2)/25))/(LN(2)/25)*Calculateur!AQ116*Calculateur!AS116*VLOOKUP('Données projet'!$B$10,Paramètres!$A$1:$I$89,3,0)*0.475*44/12</f>
        <v>3.4083260000304505</v>
      </c>
      <c r="AW116" s="21">
        <f>EXP(-LN(2)/2)*AW115+(1-EXP(-LN(2)/2))/(LN(2)/2)*AQ116*AT116*VLOOKUP('Données projet'!$B$10,Paramètres!$A$1:$I$89,3,0)*0.475*44/12</f>
        <v>8.0975334060672737E-12</v>
      </c>
      <c r="AX116" s="21">
        <f t="shared" si="60"/>
        <v>5.0544296894779128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-1.2505552149377763E-12</v>
      </c>
      <c r="O117" s="13">
        <f>N117*VLOOKUP('Données projet'!$B$9,Paramètres!$A$1:$I$89,3,0)*VLOOKUP('Données projet'!$B$9,Paramètres!$A$1:$I$89,5,0)</f>
        <v>-6.9906036515021697E-13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415.91544298418842</v>
      </c>
      <c r="T117" s="59">
        <f t="shared" si="88"/>
        <v>422.79312683312583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2.1636593986783472</v>
      </c>
      <c r="AA117" s="21">
        <f>EXP(-LN(2)/25)*AA116+(1-EXP(-LN(2)/25))/(LN(2)/25)*Calculateur!V117*Calculateur!X117*VLOOKUP('Données projet'!$B$9,Paramètres!$A$1:$I$89,3,0)*0.475*44/12</f>
        <v>3.7749949353018692</v>
      </c>
      <c r="AB117" s="21">
        <f>EXP(-LN(2)/2)*AB116+(1-EXP(-LN(2)/2))/(LN(2)/2)*V117*Y117*VLOOKUP('Données projet'!$B$9,Paramètres!$A$1:$I$89,3,0)*0.475*44/12</f>
        <v>8.2927479877603436E-12</v>
      </c>
      <c r="AC117" s="22">
        <f t="shared" si="57"/>
        <v>5.9386543339885094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5.6843418860808015E-13</v>
      </c>
      <c r="AJ117" s="13">
        <f>AI117*VLOOKUP('Données projet'!$B$10,Paramètres!$A$1:$I$89,3,0)*VLOOKUP('Données projet'!$B$10,Paramètres!$A$1:$I$89,5,0)</f>
        <v>3.1036506698001181E-13</v>
      </c>
      <c r="AK117" s="13">
        <f t="shared" si="89"/>
        <v>4.086682523110923E-12</v>
      </c>
      <c r="AL117" s="20">
        <f t="shared" si="58"/>
        <v>7.6581912194083782E-12</v>
      </c>
      <c r="AM117" s="59">
        <f t="shared" si="59"/>
        <v>293.33333333334099</v>
      </c>
      <c r="AN117" s="59">
        <f ca="1">AVERAGE(OFFSET($AM$3,0,0,'Données projet'!$E$10+1,1))-AVERAGE(OFFSET($H$3,0,0,'Données projet'!$E$10+1,1))</f>
        <v>248.1486444660062</v>
      </c>
      <c r="AO117" s="59">
        <f t="shared" si="90"/>
        <v>293.34458072322127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1.6138246001135705</v>
      </c>
      <c r="AV117" s="21">
        <f>EXP(-LN(2)/25)*AV116+(1-EXP(-LN(2)/25))/(LN(2)/25)*Calculateur!AQ117*Calculateur!AS117*VLOOKUP('Données projet'!$B$10,Paramètres!$A$1:$I$89,3,0)*0.475*44/12</f>
        <v>3.3151251463235432</v>
      </c>
      <c r="AW117" s="21">
        <f>EXP(-LN(2)/2)*AW116+(1-EXP(-LN(2)/2))/(LN(2)/2)*AQ117*AT117*VLOOKUP('Données projet'!$B$10,Paramètres!$A$1:$I$89,3,0)*0.475*44/12</f>
        <v>5.7258207823147707E-12</v>
      </c>
      <c r="AX117" s="21">
        <f t="shared" si="60"/>
        <v>4.9289497464428402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-1.2505552149377763E-12</v>
      </c>
      <c r="O118" s="13">
        <f>N118*VLOOKUP('Données projet'!$B$9,Paramètres!$A$1:$I$89,3,0)*VLOOKUP('Données projet'!$B$9,Paramètres!$A$1:$I$89,5,0)</f>
        <v>-6.9906036515021697E-13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415.91544298418842</v>
      </c>
      <c r="T118" s="59">
        <f t="shared" si="88"/>
        <v>422.79312683312583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2.1212313575721882</v>
      </c>
      <c r="AA118" s="21">
        <f>EXP(-LN(2)/25)*AA117+(1-EXP(-LN(2)/25))/(LN(2)/25)*Calculateur!V118*Calculateur!X118*VLOOKUP('Données projet'!$B$9,Paramètres!$A$1:$I$89,3,0)*0.475*44/12</f>
        <v>3.6717675002776837</v>
      </c>
      <c r="AB118" s="21">
        <f>EXP(-LN(2)/2)*AB117+(1-EXP(-LN(2)/2))/(LN(2)/2)*V118*Y118*VLOOKUP('Données projet'!$B$9,Paramètres!$A$1:$I$89,3,0)*0.475*44/12</f>
        <v>5.8638583368164357E-12</v>
      </c>
      <c r="AC118" s="22">
        <f t="shared" si="57"/>
        <v>5.7929988578557357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5.6843418860808015E-13</v>
      </c>
      <c r="AJ118" s="13">
        <f>AI118*VLOOKUP('Données projet'!$B$10,Paramètres!$A$1:$I$89,3,0)*VLOOKUP('Données projet'!$B$10,Paramètres!$A$1:$I$89,5,0)</f>
        <v>3.1036506698001181E-13</v>
      </c>
      <c r="AK118" s="13">
        <f t="shared" si="89"/>
        <v>4.086682523110923E-12</v>
      </c>
      <c r="AL118" s="20">
        <f t="shared" si="58"/>
        <v>7.6581912194083782E-12</v>
      </c>
      <c r="AM118" s="59">
        <f t="shared" si="59"/>
        <v>293.33333333334099</v>
      </c>
      <c r="AN118" s="59">
        <f ca="1">AVERAGE(OFFSET($AM$3,0,0,'Données projet'!$E$10+1,1))-AVERAGE(OFFSET($H$3,0,0,'Données projet'!$E$10+1,1))</f>
        <v>248.1486444660062</v>
      </c>
      <c r="AO118" s="59">
        <f t="shared" si="90"/>
        <v>293.34458072322127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1.5821784840411544</v>
      </c>
      <c r="AV118" s="21">
        <f>EXP(-LN(2)/25)*AV117+(1-EXP(-LN(2)/25))/(LN(2)/25)*Calculateur!AQ118*Calculateur!AS118*VLOOKUP('Données projet'!$B$10,Paramètres!$A$1:$I$89,3,0)*0.475*44/12</f>
        <v>3.2244728748624714</v>
      </c>
      <c r="AW118" s="21">
        <f>EXP(-LN(2)/2)*AW117+(1-EXP(-LN(2)/2))/(LN(2)/2)*AQ118*AT118*VLOOKUP('Données projet'!$B$10,Paramètres!$A$1:$I$89,3,0)*0.475*44/12</f>
        <v>4.0487667030336369E-12</v>
      </c>
      <c r="AX118" s="21">
        <f t="shared" si="60"/>
        <v>4.8066513589076747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-1.2505552149377763E-12</v>
      </c>
      <c r="O119" s="13">
        <f>N119*VLOOKUP('Données projet'!$B$9,Paramètres!$A$1:$I$89,3,0)*VLOOKUP('Données projet'!$B$9,Paramètres!$A$1:$I$89,5,0)</f>
        <v>-6.9906036515021697E-13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415.91544298418842</v>
      </c>
      <c r="T119" s="59">
        <f t="shared" si="88"/>
        <v>422.79312683312583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2.0796353044735714</v>
      </c>
      <c r="AA119" s="21">
        <f>EXP(-LN(2)/25)*AA118+(1-EXP(-LN(2)/25))/(LN(2)/25)*Calculateur!V119*Calculateur!X119*VLOOKUP('Données projet'!$B$9,Paramètres!$A$1:$I$89,3,0)*0.475*44/12</f>
        <v>3.5713628248927294</v>
      </c>
      <c r="AB119" s="21">
        <f>EXP(-LN(2)/2)*AB118+(1-EXP(-LN(2)/2))/(LN(2)/2)*V119*Y119*VLOOKUP('Données projet'!$B$9,Paramètres!$A$1:$I$89,3,0)*0.475*44/12</f>
        <v>4.1463739938801718E-12</v>
      </c>
      <c r="AC119" s="22">
        <f t="shared" si="57"/>
        <v>5.6509981293704463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5.6843418860808015E-13</v>
      </c>
      <c r="AJ119" s="13">
        <f>AI119*VLOOKUP('Données projet'!$B$10,Paramètres!$A$1:$I$89,3,0)*VLOOKUP('Données projet'!$B$10,Paramètres!$A$1:$I$89,5,0)</f>
        <v>3.1036506698001181E-13</v>
      </c>
      <c r="AK119" s="13">
        <f t="shared" si="89"/>
        <v>4.086682523110923E-12</v>
      </c>
      <c r="AL119" s="20">
        <f t="shared" si="58"/>
        <v>7.6581912194083782E-12</v>
      </c>
      <c r="AM119" s="59">
        <f t="shared" si="59"/>
        <v>293.33333333334099</v>
      </c>
      <c r="AN119" s="59">
        <f ca="1">AVERAGE(OFFSET($AM$3,0,0,'Données projet'!$E$10+1,1))-AVERAGE(OFFSET($H$3,0,0,'Données projet'!$E$10+1,1))</f>
        <v>248.1486444660062</v>
      </c>
      <c r="AO119" s="59">
        <f t="shared" si="90"/>
        <v>293.34458072322127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1.5511529290026935</v>
      </c>
      <c r="AV119" s="21">
        <f>EXP(-LN(2)/25)*AV118+(1-EXP(-LN(2)/25))/(LN(2)/25)*Calculateur!AQ119*Calculateur!AS119*VLOOKUP('Données projet'!$B$10,Paramètres!$A$1:$I$89,3,0)*0.475*44/12</f>
        <v>3.1362994945316984</v>
      </c>
      <c r="AW119" s="21">
        <f>EXP(-LN(2)/2)*AW118+(1-EXP(-LN(2)/2))/(LN(2)/2)*AQ119*AT119*VLOOKUP('Données projet'!$B$10,Paramètres!$A$1:$I$89,3,0)*0.475*44/12</f>
        <v>2.8629103911573853E-12</v>
      </c>
      <c r="AX119" s="21">
        <f t="shared" si="60"/>
        <v>4.6874524235372546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-1.2505552149377763E-12</v>
      </c>
      <c r="O120" s="13">
        <f>N120*VLOOKUP('Données projet'!$B$9,Paramètres!$A$1:$I$89,3,0)*VLOOKUP('Données projet'!$B$9,Paramètres!$A$1:$I$89,5,0)</f>
        <v>-6.9906036515021697E-13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415.91544298418842</v>
      </c>
      <c r="T120" s="59">
        <f t="shared" si="88"/>
        <v>422.79312683312583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2.0388549246051313</v>
      </c>
      <c r="AA120" s="21">
        <f>EXP(-LN(2)/25)*AA119+(1-EXP(-LN(2)/25))/(LN(2)/25)*Calculateur!V120*Calculateur!X120*VLOOKUP('Données projet'!$B$9,Paramètres!$A$1:$I$89,3,0)*0.475*44/12</f>
        <v>3.4737037206362293</v>
      </c>
      <c r="AB120" s="21">
        <f>EXP(-LN(2)/2)*AB119+(1-EXP(-LN(2)/2))/(LN(2)/2)*V120*Y120*VLOOKUP('Données projet'!$B$9,Paramètres!$A$1:$I$89,3,0)*0.475*44/12</f>
        <v>2.9319291684082178E-12</v>
      </c>
      <c r="AC120" s="22">
        <f t="shared" si="57"/>
        <v>5.512558645244293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5.6843418860808015E-13</v>
      </c>
      <c r="AJ120" s="13">
        <f>AI120*VLOOKUP('Données projet'!$B$10,Paramètres!$A$1:$I$89,3,0)*VLOOKUP('Données projet'!$B$10,Paramètres!$A$1:$I$89,5,0)</f>
        <v>3.1036506698001181E-13</v>
      </c>
      <c r="AK120" s="13">
        <f t="shared" si="89"/>
        <v>4.086682523110923E-12</v>
      </c>
      <c r="AL120" s="20">
        <f t="shared" si="58"/>
        <v>7.6581912194083782E-12</v>
      </c>
      <c r="AM120" s="59">
        <f t="shared" si="59"/>
        <v>293.33333333334099</v>
      </c>
      <c r="AN120" s="59">
        <f ca="1">AVERAGE(OFFSET($AM$3,0,0,'Données projet'!$E$10+1,1))-AVERAGE(OFFSET($H$3,0,0,'Données projet'!$E$10+1,1))</f>
        <v>248.1486444660062</v>
      </c>
      <c r="AO120" s="59">
        <f t="shared" si="90"/>
        <v>293.34458072322127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1.5207357661748169</v>
      </c>
      <c r="AV120" s="21">
        <f>EXP(-LN(2)/25)*AV119+(1-EXP(-LN(2)/25))/(LN(2)/25)*Calculateur!AQ120*Calculateur!AS120*VLOOKUP('Données projet'!$B$10,Paramètres!$A$1:$I$89,3,0)*0.475*44/12</f>
        <v>3.0505372199229068</v>
      </c>
      <c r="AW120" s="21">
        <f>EXP(-LN(2)/2)*AW119+(1-EXP(-LN(2)/2))/(LN(2)/2)*AQ120*AT120*VLOOKUP('Données projet'!$B$10,Paramètres!$A$1:$I$89,3,0)*0.475*44/12</f>
        <v>2.0243833515168184E-12</v>
      </c>
      <c r="AX120" s="21">
        <f t="shared" si="60"/>
        <v>4.5712729860997481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-1.2505552149377763E-12</v>
      </c>
      <c r="O121" s="13">
        <f>N121*VLOOKUP('Données projet'!$B$9,Paramètres!$A$1:$I$89,3,0)*VLOOKUP('Données projet'!$B$9,Paramètres!$A$1:$I$89,5,0)</f>
        <v>-6.9906036515021697E-13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415.91544298418842</v>
      </c>
      <c r="T121" s="59">
        <f t="shared" si="88"/>
        <v>422.79312683312583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1.9988742231123355</v>
      </c>
      <c r="AA121" s="21">
        <f>EXP(-LN(2)/25)*AA120+(1-EXP(-LN(2)/25))/(LN(2)/25)*Calculateur!V121*Calculateur!X121*VLOOKUP('Données projet'!$B$9,Paramètres!$A$1:$I$89,3,0)*0.475*44/12</f>
        <v>3.3787151097212922</v>
      </c>
      <c r="AB121" s="21">
        <f>EXP(-LN(2)/2)*AB120+(1-EXP(-LN(2)/2))/(LN(2)/2)*V121*Y121*VLOOKUP('Données projet'!$B$9,Paramètres!$A$1:$I$89,3,0)*0.475*44/12</f>
        <v>2.0731869969400859E-12</v>
      </c>
      <c r="AC121" s="22">
        <f t="shared" si="57"/>
        <v>5.3775893328357007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5.6843418860808015E-13</v>
      </c>
      <c r="AJ121" s="13">
        <f>AI121*VLOOKUP('Données projet'!$B$10,Paramètres!$A$1:$I$89,3,0)*VLOOKUP('Données projet'!$B$10,Paramètres!$A$1:$I$89,5,0)</f>
        <v>3.1036506698001181E-13</v>
      </c>
      <c r="AK121" s="13">
        <f t="shared" si="89"/>
        <v>4.086682523110923E-12</v>
      </c>
      <c r="AL121" s="20">
        <f t="shared" si="58"/>
        <v>7.6581912194083782E-12</v>
      </c>
      <c r="AM121" s="59">
        <f t="shared" si="59"/>
        <v>293.33333333334099</v>
      </c>
      <c r="AN121" s="59">
        <f ca="1">AVERAGE(OFFSET($AM$3,0,0,'Données projet'!$E$10+1,1))-AVERAGE(OFFSET($H$3,0,0,'Données projet'!$E$10+1,1))</f>
        <v>248.1486444660062</v>
      </c>
      <c r="AO121" s="59">
        <f t="shared" si="90"/>
        <v>293.34458072322127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1.4909150653573575</v>
      </c>
      <c r="AV121" s="21">
        <f>EXP(-LN(2)/25)*AV120+(1-EXP(-LN(2)/25))/(LN(2)/25)*Calculateur!AQ121*Calculateur!AS121*VLOOKUP('Données projet'!$B$10,Paramètres!$A$1:$I$89,3,0)*0.475*44/12</f>
        <v>2.9671201192233347</v>
      </c>
      <c r="AW121" s="21">
        <f>EXP(-LN(2)/2)*AW120+(1-EXP(-LN(2)/2))/(LN(2)/2)*AQ121*AT121*VLOOKUP('Données projet'!$B$10,Paramètres!$A$1:$I$89,3,0)*0.475*44/12</f>
        <v>1.4314551955786927E-12</v>
      </c>
      <c r="AX121" s="21">
        <f t="shared" si="60"/>
        <v>4.4580351845821244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-1.2505552149377763E-12</v>
      </c>
      <c r="O122" s="13">
        <f>N122*VLOOKUP('Données projet'!$B$9,Paramètres!$A$1:$I$89,3,0)*VLOOKUP('Données projet'!$B$9,Paramètres!$A$1:$I$89,5,0)</f>
        <v>-6.9906036515021697E-13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415.91544298418842</v>
      </c>
      <c r="T122" s="59">
        <f t="shared" si="88"/>
        <v>422.79312683312583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1.9596775187899935</v>
      </c>
      <c r="AA122" s="21">
        <f>EXP(-LN(2)/25)*AA121+(1-EXP(-LN(2)/25))/(LN(2)/25)*Calculateur!V122*Calculateur!X122*VLOOKUP('Données projet'!$B$9,Paramètres!$A$1:$I$89,3,0)*0.475*44/12</f>
        <v>3.2863239673670579</v>
      </c>
      <c r="AB122" s="21">
        <f>EXP(-LN(2)/2)*AB121+(1-EXP(-LN(2)/2))/(LN(2)/2)*V122*Y122*VLOOKUP('Données projet'!$B$9,Paramètres!$A$1:$I$89,3,0)*0.475*44/12</f>
        <v>1.4659645842041089E-12</v>
      </c>
      <c r="AC122" s="22">
        <f t="shared" si="57"/>
        <v>5.2460014861585176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5.6843418860808015E-13</v>
      </c>
      <c r="AJ122" s="13">
        <f>AI122*VLOOKUP('Données projet'!$B$10,Paramètres!$A$1:$I$89,3,0)*VLOOKUP('Données projet'!$B$10,Paramètres!$A$1:$I$89,5,0)</f>
        <v>3.1036506698001181E-13</v>
      </c>
      <c r="AK122" s="13">
        <f t="shared" si="89"/>
        <v>4.086682523110923E-12</v>
      </c>
      <c r="AL122" s="20">
        <f t="shared" si="58"/>
        <v>7.6581912194083782E-12</v>
      </c>
      <c r="AM122" s="59">
        <f t="shared" si="59"/>
        <v>293.33333333334099</v>
      </c>
      <c r="AN122" s="59">
        <f ca="1">AVERAGE(OFFSET($AM$3,0,0,'Données projet'!$E$10+1,1))-AVERAGE(OFFSET($H$3,0,0,'Données projet'!$E$10+1,1))</f>
        <v>248.1486444660062</v>
      </c>
      <c r="AO122" s="59">
        <f t="shared" si="90"/>
        <v>293.34458072322127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1.461679130294097</v>
      </c>
      <c r="AV122" s="21">
        <f>EXP(-LN(2)/25)*AV121+(1-EXP(-LN(2)/25))/(LN(2)/25)*Calculateur!AQ122*Calculateur!AS122*VLOOKUP('Données projet'!$B$10,Paramètres!$A$1:$I$89,3,0)*0.475*44/12</f>
        <v>2.885984063529107</v>
      </c>
      <c r="AW122" s="21">
        <f>EXP(-LN(2)/2)*AW121+(1-EXP(-LN(2)/2))/(LN(2)/2)*AQ122*AT122*VLOOKUP('Données projet'!$B$10,Paramètres!$A$1:$I$89,3,0)*0.475*44/12</f>
        <v>1.0121916757584092E-12</v>
      </c>
      <c r="AX122" s="21">
        <f t="shared" si="60"/>
        <v>4.3476631938242161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-1.2505552149377763E-12</v>
      </c>
      <c r="O123" s="13">
        <f>N123*VLOOKUP('Données projet'!$B$9,Paramètres!$A$1:$I$89,3,0)*VLOOKUP('Données projet'!$B$9,Paramètres!$A$1:$I$89,5,0)</f>
        <v>-6.9906036515021697E-13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415.91544298418842</v>
      </c>
      <c r="T123" s="59">
        <f t="shared" si="88"/>
        <v>422.79312683312583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1.9212494379317835</v>
      </c>
      <c r="AA123" s="21">
        <f>EXP(-LN(2)/25)*AA122+(1-EXP(-LN(2)/25))/(LN(2)/25)*Calculateur!V123*Calculateur!X123*VLOOKUP('Données projet'!$B$9,Paramètres!$A$1:$I$89,3,0)*0.475*44/12</f>
        <v>3.1964592656591391</v>
      </c>
      <c r="AB123" s="21">
        <f>EXP(-LN(2)/2)*AB122+(1-EXP(-LN(2)/2))/(LN(2)/2)*V123*Y123*VLOOKUP('Données projet'!$B$9,Paramètres!$A$1:$I$89,3,0)*0.475*44/12</f>
        <v>1.036593498470043E-12</v>
      </c>
      <c r="AC123" s="22">
        <f t="shared" si="57"/>
        <v>5.1177087035919593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5.6843418860808015E-13</v>
      </c>
      <c r="AJ123" s="13">
        <f>AI123*VLOOKUP('Données projet'!$B$10,Paramètres!$A$1:$I$89,3,0)*VLOOKUP('Données projet'!$B$10,Paramètres!$A$1:$I$89,5,0)</f>
        <v>3.1036506698001181E-13</v>
      </c>
      <c r="AK123" s="13">
        <f t="shared" si="89"/>
        <v>4.086682523110923E-12</v>
      </c>
      <c r="AL123" s="20">
        <f t="shared" si="58"/>
        <v>7.6581912194083782E-12</v>
      </c>
      <c r="AM123" s="59">
        <f t="shared" si="59"/>
        <v>293.33333333334099</v>
      </c>
      <c r="AN123" s="59">
        <f ca="1">AVERAGE(OFFSET($AM$3,0,0,'Données projet'!$E$10+1,1))-AVERAGE(OFFSET($H$3,0,0,'Données projet'!$E$10+1,1))</f>
        <v>248.1486444660062</v>
      </c>
      <c r="AO123" s="59">
        <f t="shared" si="90"/>
        <v>293.34458072322127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1.4330164940852674</v>
      </c>
      <c r="AV123" s="21">
        <f>EXP(-LN(2)/25)*AV122+(1-EXP(-LN(2)/25))/(LN(2)/25)*Calculateur!AQ123*Calculateur!AS123*VLOOKUP('Données projet'!$B$10,Paramètres!$A$1:$I$89,3,0)*0.475*44/12</f>
        <v>2.8070666775445976</v>
      </c>
      <c r="AW123" s="21">
        <f>EXP(-LN(2)/2)*AW122+(1-EXP(-LN(2)/2))/(LN(2)/2)*AQ123*AT123*VLOOKUP('Données projet'!$B$10,Paramètres!$A$1:$I$89,3,0)*0.475*44/12</f>
        <v>7.1572759778934633E-13</v>
      </c>
      <c r="AX123" s="21">
        <f t="shared" si="60"/>
        <v>4.2400831716305811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-1.2505552149377763E-12</v>
      </c>
      <c r="O124" s="13">
        <f>N124*VLOOKUP('Données projet'!$B$9,Paramètres!$A$1:$I$89,3,0)*VLOOKUP('Données projet'!$B$9,Paramètres!$A$1:$I$89,5,0)</f>
        <v>-6.9906036515021697E-13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415.91544298418842</v>
      </c>
      <c r="T124" s="59">
        <f t="shared" si="88"/>
        <v>422.79312683312583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1.8835749083003881</v>
      </c>
      <c r="AA124" s="21">
        <f>EXP(-LN(2)/25)*AA123+(1-EXP(-LN(2)/25))/(LN(2)/25)*Calculateur!V124*Calculateur!X124*VLOOKUP('Données projet'!$B$9,Paramètres!$A$1:$I$89,3,0)*0.475*44/12</f>
        <v>3.1090519189452026</v>
      </c>
      <c r="AB124" s="21">
        <f>EXP(-LN(2)/2)*AB123+(1-EXP(-LN(2)/2))/(LN(2)/2)*V124*Y124*VLOOKUP('Données projet'!$B$9,Paramètres!$A$1:$I$89,3,0)*0.475*44/12</f>
        <v>7.3298229210205446E-13</v>
      </c>
      <c r="AC124" s="22">
        <f t="shared" si="57"/>
        <v>4.9926268272463235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5.6843418860808015E-13</v>
      </c>
      <c r="AJ124" s="13">
        <f>AI124*VLOOKUP('Données projet'!$B$10,Paramètres!$A$1:$I$89,3,0)*VLOOKUP('Données projet'!$B$10,Paramètres!$A$1:$I$89,5,0)</f>
        <v>3.1036506698001181E-13</v>
      </c>
      <c r="AK124" s="13">
        <f t="shared" si="89"/>
        <v>4.086682523110923E-12</v>
      </c>
      <c r="AL124" s="20">
        <f t="shared" si="58"/>
        <v>7.6581912194083782E-12</v>
      </c>
      <c r="AM124" s="59">
        <f t="shared" si="59"/>
        <v>293.33333333334099</v>
      </c>
      <c r="AN124" s="59">
        <f ca="1">AVERAGE(OFFSET($AM$3,0,0,'Données projet'!$E$10+1,1))-AVERAGE(OFFSET($H$3,0,0,'Données projet'!$E$10+1,1))</f>
        <v>248.1486444660062</v>
      </c>
      <c r="AO124" s="59">
        <f t="shared" si="90"/>
        <v>293.34458072322127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1.404915914690011</v>
      </c>
      <c r="AV124" s="21">
        <f>EXP(-LN(2)/25)*AV123+(1-EXP(-LN(2)/25))/(LN(2)/25)*Calculateur!AQ124*Calculateur!AS124*VLOOKUP('Données projet'!$B$10,Paramètres!$A$1:$I$89,3,0)*0.475*44/12</f>
        <v>2.7303072916299196</v>
      </c>
      <c r="AW124" s="21">
        <f>EXP(-LN(2)/2)*AW123+(1-EXP(-LN(2)/2))/(LN(2)/2)*AQ124*AT124*VLOOKUP('Données projet'!$B$10,Paramètres!$A$1:$I$89,3,0)*0.475*44/12</f>
        <v>5.0609583787920461E-13</v>
      </c>
      <c r="AX124" s="21">
        <f t="shared" si="60"/>
        <v>4.1352232063204371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-1.2505552149377763E-12</v>
      </c>
      <c r="O125" s="13">
        <f>N125*VLOOKUP('Données projet'!$B$9,Paramètres!$A$1:$I$89,3,0)*VLOOKUP('Données projet'!$B$9,Paramètres!$A$1:$I$89,5,0)</f>
        <v>-6.9906036515021697E-13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415.91544298418842</v>
      </c>
      <c r="T125" s="59">
        <f t="shared" si="88"/>
        <v>422.79312683312583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1.8466391532158704</v>
      </c>
      <c r="AA125" s="21">
        <f>EXP(-LN(2)/25)*AA124+(1-EXP(-LN(2)/25))/(LN(2)/25)*Calculateur!V125*Calculateur!X125*VLOOKUP('Données projet'!$B$9,Paramètres!$A$1:$I$89,3,0)*0.475*44/12</f>
        <v>3.0240347307237117</v>
      </c>
      <c r="AB125" s="21">
        <f>EXP(-LN(2)/2)*AB124+(1-EXP(-LN(2)/2))/(LN(2)/2)*V125*Y125*VLOOKUP('Données projet'!$B$9,Paramètres!$A$1:$I$89,3,0)*0.475*44/12</f>
        <v>5.1829674923502148E-13</v>
      </c>
      <c r="AC125" s="22">
        <f t="shared" si="57"/>
        <v>4.8706738839401007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5.6843418860808015E-13</v>
      </c>
      <c r="AJ125" s="13">
        <f>AI125*VLOOKUP('Données projet'!$B$10,Paramètres!$A$1:$I$89,3,0)*VLOOKUP('Données projet'!$B$10,Paramètres!$A$1:$I$89,5,0)</f>
        <v>3.1036506698001181E-13</v>
      </c>
      <c r="AK125" s="13">
        <f t="shared" si="89"/>
        <v>4.086682523110923E-12</v>
      </c>
      <c r="AL125" s="20">
        <f t="shared" si="58"/>
        <v>7.6581912194083782E-12</v>
      </c>
      <c r="AM125" s="59">
        <f t="shared" si="59"/>
        <v>293.33333333334099</v>
      </c>
      <c r="AN125" s="59">
        <f ca="1">AVERAGE(OFFSET($AM$3,0,0,'Données projet'!$E$10+1,1))-AVERAGE(OFFSET($H$3,0,0,'Données projet'!$E$10+1,1))</f>
        <v>248.1486444660062</v>
      </c>
      <c r="AO125" s="59">
        <f t="shared" si="90"/>
        <v>293.34458072322127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1.3773663705170345</v>
      </c>
      <c r="AV125" s="21">
        <f>EXP(-LN(2)/25)*AV124+(1-EXP(-LN(2)/25))/(LN(2)/25)*Calculateur!AQ125*Calculateur!AS125*VLOOKUP('Données projet'!$B$10,Paramètres!$A$1:$I$89,3,0)*0.475*44/12</f>
        <v>2.6556468951596792</v>
      </c>
      <c r="AW125" s="21">
        <f>EXP(-LN(2)/2)*AW124+(1-EXP(-LN(2)/2))/(LN(2)/2)*AQ125*AT125*VLOOKUP('Données projet'!$B$10,Paramètres!$A$1:$I$89,3,0)*0.475*44/12</f>
        <v>3.5786379889467317E-13</v>
      </c>
      <c r="AX125" s="21">
        <f t="shared" si="60"/>
        <v>4.0330132656770719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-1.2505552149377763E-12</v>
      </c>
      <c r="O126" s="13">
        <f>N126*VLOOKUP('Données projet'!$B$9,Paramètres!$A$1:$I$89,3,0)*VLOOKUP('Données projet'!$B$9,Paramètres!$A$1:$I$89,5,0)</f>
        <v>-6.9906036515021697E-13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415.91544298418842</v>
      </c>
      <c r="T126" s="59">
        <f t="shared" si="88"/>
        <v>422.79312683312583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1.8104276857599739</v>
      </c>
      <c r="AA126" s="21">
        <f>EXP(-LN(2)/25)*AA125+(1-EXP(-LN(2)/25))/(LN(2)/25)*Calculateur!V126*Calculateur!X126*VLOOKUP('Données projet'!$B$9,Paramètres!$A$1:$I$89,3,0)*0.475*44/12</f>
        <v>2.9413423419849969</v>
      </c>
      <c r="AB126" s="21">
        <f>EXP(-LN(2)/2)*AB125+(1-EXP(-LN(2)/2))/(LN(2)/2)*V126*Y126*VLOOKUP('Données projet'!$B$9,Paramètres!$A$1:$I$89,3,0)*0.475*44/12</f>
        <v>3.6649114605102723E-13</v>
      </c>
      <c r="AC126" s="22">
        <f t="shared" si="57"/>
        <v>4.7517700277453381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5.6843418860808015E-13</v>
      </c>
      <c r="AJ126" s="13">
        <f>AI126*VLOOKUP('Données projet'!$B$10,Paramètres!$A$1:$I$89,3,0)*VLOOKUP('Données projet'!$B$10,Paramètres!$A$1:$I$89,5,0)</f>
        <v>3.1036506698001181E-13</v>
      </c>
      <c r="AK126" s="13">
        <f t="shared" si="89"/>
        <v>4.086682523110923E-12</v>
      </c>
      <c r="AL126" s="20">
        <f t="shared" si="58"/>
        <v>7.6581912194083782E-12</v>
      </c>
      <c r="AM126" s="59">
        <f t="shared" si="59"/>
        <v>293.33333333334099</v>
      </c>
      <c r="AN126" s="59">
        <f ca="1">AVERAGE(OFFSET($AM$3,0,0,'Données projet'!$E$10+1,1))-AVERAGE(OFFSET($H$3,0,0,'Données projet'!$E$10+1,1))</f>
        <v>248.1486444660062</v>
      </c>
      <c r="AO126" s="59">
        <f t="shared" si="90"/>
        <v>293.34458072322127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1.3503570561017275</v>
      </c>
      <c r="AV126" s="21">
        <f>EXP(-LN(2)/25)*AV125+(1-EXP(-LN(2)/25))/(LN(2)/25)*Calculateur!AQ126*Calculateur!AS126*VLOOKUP('Données projet'!$B$10,Paramètres!$A$1:$I$89,3,0)*0.475*44/12</f>
        <v>2.5830280911571371</v>
      </c>
      <c r="AW126" s="21">
        <f>EXP(-LN(2)/2)*AW125+(1-EXP(-LN(2)/2))/(LN(2)/2)*AQ126*AT126*VLOOKUP('Données projet'!$B$10,Paramètres!$A$1:$I$89,3,0)*0.475*44/12</f>
        <v>2.530479189396023E-13</v>
      </c>
      <c r="AX126" s="21">
        <f t="shared" si="60"/>
        <v>3.9333851472591177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-1.2505552149377763E-12</v>
      </c>
      <c r="O127" s="13">
        <f>N127*VLOOKUP('Données projet'!$B$9,Paramètres!$A$1:$I$89,3,0)*VLOOKUP('Données projet'!$B$9,Paramètres!$A$1:$I$89,5,0)</f>
        <v>-6.9906036515021697E-13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415.91544298418842</v>
      </c>
      <c r="T127" s="59">
        <f t="shared" si="88"/>
        <v>422.79312683312583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1.7749263030940734</v>
      </c>
      <c r="AA127" s="21">
        <f>EXP(-LN(2)/25)*AA126+(1-EXP(-LN(2)/25))/(LN(2)/25)*Calculateur!V127*Calculateur!X127*VLOOKUP('Données projet'!$B$9,Paramètres!$A$1:$I$89,3,0)*0.475*44/12</f>
        <v>2.8609111809649459</v>
      </c>
      <c r="AB127" s="21">
        <f>EXP(-LN(2)/2)*AB126+(1-EXP(-LN(2)/2))/(LN(2)/2)*V127*Y127*VLOOKUP('Données projet'!$B$9,Paramètres!$A$1:$I$89,3,0)*0.475*44/12</f>
        <v>2.5914837461751074E-13</v>
      </c>
      <c r="AC127" s="22">
        <f t="shared" si="57"/>
        <v>4.6358374840592784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5.6843418860808015E-13</v>
      </c>
      <c r="AJ127" s="13">
        <f>AI127*VLOOKUP('Données projet'!$B$10,Paramètres!$A$1:$I$89,3,0)*VLOOKUP('Données projet'!$B$10,Paramètres!$A$1:$I$89,5,0)</f>
        <v>3.1036506698001181E-13</v>
      </c>
      <c r="AK127" s="13">
        <f t="shared" si="89"/>
        <v>4.086682523110923E-12</v>
      </c>
      <c r="AL127" s="20">
        <f t="shared" si="58"/>
        <v>7.6581912194083782E-12</v>
      </c>
      <c r="AM127" s="59">
        <f t="shared" si="59"/>
        <v>293.33333333334099</v>
      </c>
      <c r="AN127" s="59">
        <f ca="1">AVERAGE(OFFSET($AM$3,0,0,'Données projet'!$E$10+1,1))-AVERAGE(OFFSET($H$3,0,0,'Données projet'!$E$10+1,1))</f>
        <v>248.1486444660062</v>
      </c>
      <c r="AO127" s="59">
        <f t="shared" si="90"/>
        <v>293.34458072322127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1.3238773778680495</v>
      </c>
      <c r="AV127" s="21">
        <f>EXP(-LN(2)/25)*AV126+(1-EXP(-LN(2)/25))/(LN(2)/25)*Calculateur!AQ127*Calculateur!AS127*VLOOKUP('Données projet'!$B$10,Paramètres!$A$1:$I$89,3,0)*0.475*44/12</f>
        <v>2.5123950521689014</v>
      </c>
      <c r="AW127" s="21">
        <f>EXP(-LN(2)/2)*AW126+(1-EXP(-LN(2)/2))/(LN(2)/2)*AQ127*AT127*VLOOKUP('Données projet'!$B$10,Paramètres!$A$1:$I$89,3,0)*0.475*44/12</f>
        <v>1.7893189944733658E-13</v>
      </c>
      <c r="AX127" s="21">
        <f t="shared" si="60"/>
        <v>3.83627243003713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-1.2505552149377763E-12</v>
      </c>
      <c r="O128" s="13">
        <f>N128*VLOOKUP('Données projet'!$B$9,Paramètres!$A$1:$I$89,3,0)*VLOOKUP('Données projet'!$B$9,Paramètres!$A$1:$I$89,5,0)</f>
        <v>-6.9906036515021697E-13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415.91544298418842</v>
      </c>
      <c r="T128" s="59">
        <f t="shared" si="88"/>
        <v>422.79312683312583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1.7401210808885459</v>
      </c>
      <c r="AA128" s="21">
        <f>EXP(-LN(2)/25)*AA127+(1-EXP(-LN(2)/25))/(LN(2)/25)*Calculateur!V128*Calculateur!X128*VLOOKUP('Données projet'!$B$9,Paramètres!$A$1:$I$89,3,0)*0.475*44/12</f>
        <v>2.7826794142726792</v>
      </c>
      <c r="AB128" s="21">
        <f>EXP(-LN(2)/2)*AB127+(1-EXP(-LN(2)/2))/(LN(2)/2)*V128*Y128*VLOOKUP('Données projet'!$B$9,Paramètres!$A$1:$I$89,3,0)*0.475*44/12</f>
        <v>1.8324557302551361E-13</v>
      </c>
      <c r="AC128" s="22">
        <f t="shared" si="57"/>
        <v>4.522800495161408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5.6843418860808015E-13</v>
      </c>
      <c r="AJ128" s="13">
        <f>AI128*VLOOKUP('Données projet'!$B$10,Paramètres!$A$1:$I$89,3,0)*VLOOKUP('Données projet'!$B$10,Paramètres!$A$1:$I$89,5,0)</f>
        <v>3.1036506698001181E-13</v>
      </c>
      <c r="AK128" s="13">
        <f t="shared" si="89"/>
        <v>4.086682523110923E-12</v>
      </c>
      <c r="AL128" s="20">
        <f t="shared" si="58"/>
        <v>7.6581912194083782E-12</v>
      </c>
      <c r="AM128" s="59">
        <f t="shared" si="59"/>
        <v>293.33333333334099</v>
      </c>
      <c r="AN128" s="59">
        <f ca="1">AVERAGE(OFFSET($AM$3,0,0,'Données projet'!$E$10+1,1))-AVERAGE(OFFSET($H$3,0,0,'Données projet'!$E$10+1,1))</f>
        <v>248.1486444660062</v>
      </c>
      <c r="AO128" s="59">
        <f t="shared" si="90"/>
        <v>293.34458072322127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1.297916949973525</v>
      </c>
      <c r="AV128" s="21">
        <f>EXP(-LN(2)/25)*AV127+(1-EXP(-LN(2)/25))/(LN(2)/25)*Calculateur!AQ128*Calculateur!AS128*VLOOKUP('Données projet'!$B$10,Paramètres!$A$1:$I$89,3,0)*0.475*44/12</f>
        <v>2.4436934773462293</v>
      </c>
      <c r="AW128" s="21">
        <f>EXP(-LN(2)/2)*AW127+(1-EXP(-LN(2)/2))/(LN(2)/2)*AQ128*AT128*VLOOKUP('Données projet'!$B$10,Paramètres!$A$1:$I$89,3,0)*0.475*44/12</f>
        <v>1.2652395946980115E-13</v>
      </c>
      <c r="AX128" s="21">
        <f t="shared" si="60"/>
        <v>3.7416104273198809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-1.2505552149377763E-12</v>
      </c>
      <c r="O129" s="13">
        <f>N129*VLOOKUP('Données projet'!$B$9,Paramètres!$A$1:$I$89,3,0)*VLOOKUP('Données projet'!$B$9,Paramètres!$A$1:$I$89,5,0)</f>
        <v>-6.9906036515021697E-13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415.91544298418842</v>
      </c>
      <c r="T129" s="59">
        <f t="shared" si="88"/>
        <v>422.79312683312583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1.7059983678613793</v>
      </c>
      <c r="AA129" s="21">
        <f>EXP(-LN(2)/25)*AA128+(1-EXP(-LN(2)/25))/(LN(2)/25)*Calculateur!V129*Calculateur!X129*VLOOKUP('Données projet'!$B$9,Paramètres!$A$1:$I$89,3,0)*0.475*44/12</f>
        <v>2.7065868993546425</v>
      </c>
      <c r="AB129" s="21">
        <f>EXP(-LN(2)/2)*AB128+(1-EXP(-LN(2)/2))/(LN(2)/2)*V129*Y129*VLOOKUP('Données projet'!$B$9,Paramètres!$A$1:$I$89,3,0)*0.475*44/12</f>
        <v>1.2957418730875537E-13</v>
      </c>
      <c r="AC129" s="22">
        <f t="shared" si="57"/>
        <v>4.4125852672161514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5.6843418860808015E-13</v>
      </c>
      <c r="AJ129" s="13">
        <f>AI129*VLOOKUP('Données projet'!$B$10,Paramètres!$A$1:$I$89,3,0)*VLOOKUP('Données projet'!$B$10,Paramètres!$A$1:$I$89,5,0)</f>
        <v>3.1036506698001181E-13</v>
      </c>
      <c r="AK129" s="13">
        <f t="shared" si="89"/>
        <v>4.086682523110923E-12</v>
      </c>
      <c r="AL129" s="20">
        <f t="shared" si="58"/>
        <v>7.6581912194083782E-12</v>
      </c>
      <c r="AM129" s="59">
        <f t="shared" si="59"/>
        <v>293.33333333334099</v>
      </c>
      <c r="AN129" s="59">
        <f ca="1">AVERAGE(OFFSET($AM$3,0,0,'Données projet'!$E$10+1,1))-AVERAGE(OFFSET($H$3,0,0,'Données projet'!$E$10+1,1))</f>
        <v>248.1486444660062</v>
      </c>
      <c r="AO129" s="59">
        <f t="shared" si="90"/>
        <v>293.34458072322127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1.2724655902357147</v>
      </c>
      <c r="AV129" s="21">
        <f>EXP(-LN(2)/25)*AV128+(1-EXP(-LN(2)/25))/(LN(2)/25)*Calculateur!AQ129*Calculateur!AS129*VLOOKUP('Données projet'!$B$10,Paramètres!$A$1:$I$89,3,0)*0.475*44/12</f>
        <v>2.3768705506999419</v>
      </c>
      <c r="AW129" s="21">
        <f>EXP(-LN(2)/2)*AW128+(1-EXP(-LN(2)/2))/(LN(2)/2)*AQ129*AT129*VLOOKUP('Données projet'!$B$10,Paramètres!$A$1:$I$89,3,0)*0.475*44/12</f>
        <v>8.9465949723668291E-14</v>
      </c>
      <c r="AX129" s="21">
        <f t="shared" si="60"/>
        <v>3.6493361409357461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-1.2505552149377763E-12</v>
      </c>
      <c r="O130" s="13">
        <f>N130*VLOOKUP('Données projet'!$B$9,Paramètres!$A$1:$I$89,3,0)*VLOOKUP('Données projet'!$B$9,Paramètres!$A$1:$I$89,5,0)</f>
        <v>-6.9906036515021697E-13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415.91544298418842</v>
      </c>
      <c r="T130" s="59">
        <f t="shared" si="88"/>
        <v>422.79312683312583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1.6725447804238756</v>
      </c>
      <c r="AA130" s="21">
        <f>EXP(-LN(2)/25)*AA129+(1-EXP(-LN(2)/25))/(LN(2)/25)*Calculateur!V130*Calculateur!X130*VLOOKUP('Données projet'!$B$9,Paramètres!$A$1:$I$89,3,0)*0.475*44/12</f>
        <v>2.6325751382585709</v>
      </c>
      <c r="AB130" s="21">
        <f>EXP(-LN(2)/2)*AB129+(1-EXP(-LN(2)/2))/(LN(2)/2)*V130*Y130*VLOOKUP('Données projet'!$B$9,Paramètres!$A$1:$I$89,3,0)*0.475*44/12</f>
        <v>9.1622786512756807E-14</v>
      </c>
      <c r="AC130" s="22">
        <f t="shared" si="57"/>
        <v>4.3051199186825384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5.6843418860808015E-13</v>
      </c>
      <c r="AJ130" s="13">
        <f>AI130*VLOOKUP('Données projet'!$B$10,Paramètres!$A$1:$I$89,3,0)*VLOOKUP('Données projet'!$B$10,Paramètres!$A$1:$I$89,5,0)</f>
        <v>3.1036506698001181E-13</v>
      </c>
      <c r="AK130" s="13">
        <f t="shared" si="89"/>
        <v>4.086682523110923E-12</v>
      </c>
      <c r="AL130" s="20">
        <f t="shared" si="58"/>
        <v>7.6581912194083782E-12</v>
      </c>
      <c r="AM130" s="59">
        <f t="shared" si="59"/>
        <v>293.33333333334099</v>
      </c>
      <c r="AN130" s="59">
        <f ca="1">AVERAGE(OFFSET($AM$3,0,0,'Données projet'!$E$10+1,1))-AVERAGE(OFFSET($H$3,0,0,'Données projet'!$E$10+1,1))</f>
        <v>248.1486444660062</v>
      </c>
      <c r="AO130" s="59">
        <f t="shared" si="90"/>
        <v>293.34458072322127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1.2475133161385661</v>
      </c>
      <c r="AV130" s="21">
        <f>EXP(-LN(2)/25)*AV129+(1-EXP(-LN(2)/25))/(LN(2)/25)*Calculateur!AQ130*Calculateur!AS130*VLOOKUP('Données projet'!$B$10,Paramètres!$A$1:$I$89,3,0)*0.475*44/12</f>
        <v>2.311874900496862</v>
      </c>
      <c r="AW130" s="21">
        <f>EXP(-LN(2)/2)*AW129+(1-EXP(-LN(2)/2))/(LN(2)/2)*AQ130*AT130*VLOOKUP('Données projet'!$B$10,Paramètres!$A$1:$I$89,3,0)*0.475*44/12</f>
        <v>6.3261979734900576E-14</v>
      </c>
      <c r="AX130" s="21">
        <f t="shared" si="60"/>
        <v>3.5593882166354911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-1.2505552149377763E-12</v>
      </c>
      <c r="O131" s="13">
        <f>N131*VLOOKUP('Données projet'!$B$9,Paramètres!$A$1:$I$89,3,0)*VLOOKUP('Données projet'!$B$9,Paramètres!$A$1:$I$89,5,0)</f>
        <v>-6.9906036515021697E-13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415.91544298418842</v>
      </c>
      <c r="T131" s="59">
        <f t="shared" si="88"/>
        <v>422.79312683312583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1.6397471974313478</v>
      </c>
      <c r="AA131" s="21">
        <f>EXP(-LN(2)/25)*AA130+(1-EXP(-LN(2)/25))/(LN(2)/25)*Calculateur!V131*Calculateur!X131*VLOOKUP('Données projet'!$B$9,Paramètres!$A$1:$I$89,3,0)*0.475*44/12</f>
        <v>2.5605872326617805</v>
      </c>
      <c r="AB131" s="21">
        <f>EXP(-LN(2)/2)*AB130+(1-EXP(-LN(2)/2))/(LN(2)/2)*V131*Y131*VLOOKUP('Données projet'!$B$9,Paramètres!$A$1:$I$89,3,0)*0.475*44/12</f>
        <v>6.4787093654377685E-14</v>
      </c>
      <c r="AC131" s="22">
        <f t="shared" si="57"/>
        <v>4.2003344300931929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5.6843418860808015E-13</v>
      </c>
      <c r="AJ131" s="13">
        <f>AI131*VLOOKUP('Données projet'!$B$10,Paramètres!$A$1:$I$89,3,0)*VLOOKUP('Données projet'!$B$10,Paramètres!$A$1:$I$89,5,0)</f>
        <v>3.1036506698001181E-13</v>
      </c>
      <c r="AK131" s="13">
        <f t="shared" si="89"/>
        <v>4.086682523110923E-12</v>
      </c>
      <c r="AL131" s="20">
        <f t="shared" si="58"/>
        <v>7.6581912194083782E-12</v>
      </c>
      <c r="AM131" s="59">
        <f t="shared" si="59"/>
        <v>293.33333333334099</v>
      </c>
      <c r="AN131" s="59">
        <f ca="1">AVERAGE(OFFSET($AM$3,0,0,'Données projet'!$E$10+1,1))-AVERAGE(OFFSET($H$3,0,0,'Données projet'!$E$10+1,1))</f>
        <v>248.1486444660062</v>
      </c>
      <c r="AO131" s="59">
        <f t="shared" si="90"/>
        <v>293.34458072322127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1.2230503409170783</v>
      </c>
      <c r="AV131" s="21">
        <f>EXP(-LN(2)/25)*AV130+(1-EXP(-LN(2)/25))/(LN(2)/25)*Calculateur!AQ131*Calculateur!AS131*VLOOKUP('Données projet'!$B$10,Paramètres!$A$1:$I$89,3,0)*0.475*44/12</f>
        <v>2.248656559766558</v>
      </c>
      <c r="AW131" s="21">
        <f>EXP(-LN(2)/2)*AW130+(1-EXP(-LN(2)/2))/(LN(2)/2)*AQ131*AT131*VLOOKUP('Données projet'!$B$10,Paramètres!$A$1:$I$89,3,0)*0.475*44/12</f>
        <v>4.4732974861834146E-14</v>
      </c>
      <c r="AX131" s="21">
        <f t="shared" si="60"/>
        <v>3.4717069006836812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-1.2505552149377763E-12</v>
      </c>
      <c r="O132" s="13">
        <f>N132*VLOOKUP('Données projet'!$B$9,Paramètres!$A$1:$I$89,3,0)*VLOOKUP('Données projet'!$B$9,Paramètres!$A$1:$I$89,5,0)</f>
        <v>-6.9906036515021697E-13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415.91544298418842</v>
      </c>
      <c r="T132" s="59">
        <f t="shared" si="88"/>
        <v>422.79312683312583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1.6075927550367533</v>
      </c>
      <c r="AA132" s="21">
        <f>EXP(-LN(2)/25)*AA131+(1-EXP(-LN(2)/25))/(LN(2)/25)*Calculateur!V132*Calculateur!X132*VLOOKUP('Données projet'!$B$9,Paramètres!$A$1:$I$89,3,0)*0.475*44/12</f>
        <v>2.4905678401292137</v>
      </c>
      <c r="AB132" s="21">
        <f>EXP(-LN(2)/2)*AB131+(1-EXP(-LN(2)/2))/(LN(2)/2)*V132*Y132*VLOOKUP('Données projet'!$B$9,Paramètres!$A$1:$I$89,3,0)*0.475*44/12</f>
        <v>4.5811393256378404E-14</v>
      </c>
      <c r="AC132" s="22">
        <f t="shared" ref="AC132:AC153" si="111">SUM(Z132:AB132)</f>
        <v>4.0981605951660134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5.6843418860808015E-13</v>
      </c>
      <c r="AJ132" s="13">
        <f>AI132*VLOOKUP('Données projet'!$B$10,Paramètres!$A$1:$I$89,3,0)*VLOOKUP('Données projet'!$B$10,Paramètres!$A$1:$I$89,5,0)</f>
        <v>3.1036506698001181E-13</v>
      </c>
      <c r="AK132" s="13">
        <f t="shared" si="89"/>
        <v>4.086682523110923E-12</v>
      </c>
      <c r="AL132" s="20">
        <f t="shared" ref="AL132:AL153" si="112">(AJ132+AK132)*0.475*44/12</f>
        <v>7.6581912194083782E-12</v>
      </c>
      <c r="AM132" s="59">
        <f t="shared" ref="AM132:AM195" si="113">AL132+(AD132+AE132)*44/12</f>
        <v>293.33333333334099</v>
      </c>
      <c r="AN132" s="59">
        <f ca="1">AVERAGE(OFFSET($AM$3,0,0,'Données projet'!$E$10+1,1))-AVERAGE(OFFSET($H$3,0,0,'Données projet'!$E$10+1,1))</f>
        <v>248.1486444660062</v>
      </c>
      <c r="AO132" s="59">
        <f t="shared" si="90"/>
        <v>293.34458072322127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1.1990670697187422</v>
      </c>
      <c r="AV132" s="21">
        <f>EXP(-LN(2)/25)*AV131+(1-EXP(-LN(2)/25))/(LN(2)/25)*Calculateur!AQ132*Calculateur!AS132*VLOOKUP('Données projet'!$B$10,Paramètres!$A$1:$I$89,3,0)*0.475*44/12</f>
        <v>2.1871669278880321</v>
      </c>
      <c r="AW132" s="21">
        <f>EXP(-LN(2)/2)*AW131+(1-EXP(-LN(2)/2))/(LN(2)/2)*AQ132*AT132*VLOOKUP('Données projet'!$B$10,Paramètres!$A$1:$I$89,3,0)*0.475*44/12</f>
        <v>3.1630989867450288E-14</v>
      </c>
      <c r="AX132" s="21">
        <f t="shared" ref="AX132:AX153" si="114">SUM(AU132:AW132)</f>
        <v>3.3862339976068059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-1.2505552149377763E-12</v>
      </c>
      <c r="O133" s="13">
        <f>N133*VLOOKUP('Données projet'!$B$9,Paramètres!$A$1:$I$89,3,0)*VLOOKUP('Données projet'!$B$9,Paramètres!$A$1:$I$89,5,0)</f>
        <v>-6.9906036515021697E-13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415.91544298418842</v>
      </c>
      <c r="T133" s="59">
        <f t="shared" ref="T133:T196" si="142">$T$3</f>
        <v>422.79312683312583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1.5760688416452433</v>
      </c>
      <c r="AA133" s="21">
        <f>EXP(-LN(2)/25)*AA132+(1-EXP(-LN(2)/25))/(LN(2)/25)*Calculateur!V133*Calculateur!X133*VLOOKUP('Données projet'!$B$9,Paramètres!$A$1:$I$89,3,0)*0.475*44/12</f>
        <v>2.4224631315676097</v>
      </c>
      <c r="AB133" s="21">
        <f>EXP(-LN(2)/2)*AB132+(1-EXP(-LN(2)/2))/(LN(2)/2)*V133*Y133*VLOOKUP('Données projet'!$B$9,Paramètres!$A$1:$I$89,3,0)*0.475*44/12</f>
        <v>3.2393546827188842E-14</v>
      </c>
      <c r="AC133" s="22">
        <f t="shared" si="111"/>
        <v>3.9985319732128857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5.6843418860808015E-13</v>
      </c>
      <c r="AJ133" s="13">
        <f>AI133*VLOOKUP('Données projet'!$B$10,Paramètres!$A$1:$I$89,3,0)*VLOOKUP('Données projet'!$B$10,Paramètres!$A$1:$I$89,5,0)</f>
        <v>3.1036506698001181E-13</v>
      </c>
      <c r="AK133" s="13">
        <f t="shared" ref="AK133:AK153" si="143">EXP(-1.0587+0.8836*LN(AJ133)+0.284)</f>
        <v>4.086682523110923E-12</v>
      </c>
      <c r="AL133" s="20">
        <f t="shared" si="112"/>
        <v>7.6581912194083782E-12</v>
      </c>
      <c r="AM133" s="59">
        <f t="shared" si="113"/>
        <v>293.33333333334099</v>
      </c>
      <c r="AN133" s="59">
        <f ca="1">AVERAGE(OFFSET($AM$3,0,0,'Données projet'!$E$10+1,1))-AVERAGE(OFFSET($H$3,0,0,'Données projet'!$E$10+1,1))</f>
        <v>248.1486444660062</v>
      </c>
      <c r="AO133" s="59">
        <f t="shared" ref="AO133:AO196" si="144">$AO$3</f>
        <v>293.34458072322127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1.1755540958402546</v>
      </c>
      <c r="AV133" s="21">
        <f>EXP(-LN(2)/25)*AV132+(1-EXP(-LN(2)/25))/(LN(2)/25)*Calculateur!AQ133*Calculateur!AS133*VLOOKUP('Données projet'!$B$10,Paramètres!$A$1:$I$89,3,0)*0.475*44/12</f>
        <v>2.1273587332268238</v>
      </c>
      <c r="AW133" s="21">
        <f>EXP(-LN(2)/2)*AW132+(1-EXP(-LN(2)/2))/(LN(2)/2)*AQ133*AT133*VLOOKUP('Données projet'!$B$10,Paramètres!$A$1:$I$89,3,0)*0.475*44/12</f>
        <v>2.2366487430917073E-14</v>
      </c>
      <c r="AX133" s="21">
        <f t="shared" si="114"/>
        <v>3.3029128290671004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-1.2505552149377763E-12</v>
      </c>
      <c r="O134" s="13">
        <f>N134*VLOOKUP('Données projet'!$B$9,Paramètres!$A$1:$I$89,3,0)*VLOOKUP('Données projet'!$B$9,Paramètres!$A$1:$I$89,5,0)</f>
        <v>-6.9906036515021697E-13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415.91544298418842</v>
      </c>
      <c r="T134" s="59">
        <f t="shared" si="142"/>
        <v>422.79312683312583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1.5451630929676523</v>
      </c>
      <c r="AA134" s="21">
        <f>EXP(-LN(2)/25)*AA133+(1-EXP(-LN(2)/25))/(LN(2)/25)*Calculateur!V134*Calculateur!X134*VLOOKUP('Données projet'!$B$9,Paramètres!$A$1:$I$89,3,0)*0.475*44/12</f>
        <v>2.3562207498430938</v>
      </c>
      <c r="AB134" s="21">
        <f>EXP(-LN(2)/2)*AB133+(1-EXP(-LN(2)/2))/(LN(2)/2)*V134*Y134*VLOOKUP('Données projet'!$B$9,Paramètres!$A$1:$I$89,3,0)*0.475*44/12</f>
        <v>2.2905696628189202E-14</v>
      </c>
      <c r="AC134" s="22">
        <f t="shared" si="111"/>
        <v>3.9013838428107692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5.6843418860808015E-13</v>
      </c>
      <c r="AJ134" s="13">
        <f>AI134*VLOOKUP('Données projet'!$B$10,Paramètres!$A$1:$I$89,3,0)*VLOOKUP('Données projet'!$B$10,Paramètres!$A$1:$I$89,5,0)</f>
        <v>3.1036506698001181E-13</v>
      </c>
      <c r="AK134" s="13">
        <f t="shared" si="143"/>
        <v>4.086682523110923E-12</v>
      </c>
      <c r="AL134" s="20">
        <f t="shared" si="112"/>
        <v>7.6581912194083782E-12</v>
      </c>
      <c r="AM134" s="59">
        <f t="shared" si="113"/>
        <v>293.33333333334099</v>
      </c>
      <c r="AN134" s="59">
        <f ca="1">AVERAGE(OFFSET($AM$3,0,0,'Données projet'!$E$10+1,1))-AVERAGE(OFFSET($H$3,0,0,'Données projet'!$E$10+1,1))</f>
        <v>248.1486444660062</v>
      </c>
      <c r="AO134" s="59">
        <f t="shared" si="144"/>
        <v>293.34458072322127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1.152502197038026</v>
      </c>
      <c r="AV134" s="21">
        <f>EXP(-LN(2)/25)*AV133+(1-EXP(-LN(2)/25))/(LN(2)/25)*Calculateur!AQ134*Calculateur!AS134*VLOOKUP('Données projet'!$B$10,Paramètres!$A$1:$I$89,3,0)*0.475*44/12</f>
        <v>2.0691859967938027</v>
      </c>
      <c r="AW134" s="21">
        <f>EXP(-LN(2)/2)*AW133+(1-EXP(-LN(2)/2))/(LN(2)/2)*AQ134*AT134*VLOOKUP('Données projet'!$B$10,Paramètres!$A$1:$I$89,3,0)*0.475*44/12</f>
        <v>1.5815494933725144E-14</v>
      </c>
      <c r="AX134" s="21">
        <f t="shared" si="114"/>
        <v>3.2216881938318447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-1.2505552149377763E-12</v>
      </c>
      <c r="O135" s="13">
        <f>N135*VLOOKUP('Données projet'!$B$9,Paramètres!$A$1:$I$89,3,0)*VLOOKUP('Données projet'!$B$9,Paramètres!$A$1:$I$89,5,0)</f>
        <v>-6.9906036515021697E-13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415.91544298418842</v>
      </c>
      <c r="T135" s="59">
        <f t="shared" si="142"/>
        <v>422.79312683312583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1.5148633871709836</v>
      </c>
      <c r="AA135" s="21">
        <f>EXP(-LN(2)/25)*AA134+(1-EXP(-LN(2)/25))/(LN(2)/25)*Calculateur!V135*Calculateur!X135*VLOOKUP('Données projet'!$B$9,Paramètres!$A$1:$I$89,3,0)*0.475*44/12</f>
        <v>2.2917897695303706</v>
      </c>
      <c r="AB135" s="21">
        <f>EXP(-LN(2)/2)*AB134+(1-EXP(-LN(2)/2))/(LN(2)/2)*V135*Y135*VLOOKUP('Données projet'!$B$9,Paramètres!$A$1:$I$89,3,0)*0.475*44/12</f>
        <v>1.6196773413594421E-14</v>
      </c>
      <c r="AC135" s="22">
        <f t="shared" si="111"/>
        <v>3.8066531567013699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5.6843418860808015E-13</v>
      </c>
      <c r="AJ135" s="13">
        <f>AI135*VLOOKUP('Données projet'!$B$10,Paramètres!$A$1:$I$89,3,0)*VLOOKUP('Données projet'!$B$10,Paramètres!$A$1:$I$89,5,0)</f>
        <v>3.1036506698001181E-13</v>
      </c>
      <c r="AK135" s="13">
        <f t="shared" si="143"/>
        <v>4.086682523110923E-12</v>
      </c>
      <c r="AL135" s="20">
        <f t="shared" si="112"/>
        <v>7.6581912194083782E-12</v>
      </c>
      <c r="AM135" s="59">
        <f t="shared" si="113"/>
        <v>293.33333333334099</v>
      </c>
      <c r="AN135" s="59">
        <f ca="1">AVERAGE(OFFSET($AM$3,0,0,'Données projet'!$E$10+1,1))-AVERAGE(OFFSET($H$3,0,0,'Données projet'!$E$10+1,1))</f>
        <v>248.1486444660062</v>
      </c>
      <c r="AO135" s="59">
        <f t="shared" si="144"/>
        <v>293.34458072322127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1.1299023319110393</v>
      </c>
      <c r="AV135" s="21">
        <f>EXP(-LN(2)/25)*AV134+(1-EXP(-LN(2)/25))/(LN(2)/25)*Calculateur!AQ135*Calculateur!AS135*VLOOKUP('Données projet'!$B$10,Paramètres!$A$1:$I$89,3,0)*0.475*44/12</f>
        <v>2.0126039968977136</v>
      </c>
      <c r="AW135" s="21">
        <f>EXP(-LN(2)/2)*AW134+(1-EXP(-LN(2)/2))/(LN(2)/2)*AQ135*AT135*VLOOKUP('Données projet'!$B$10,Paramètres!$A$1:$I$89,3,0)*0.475*44/12</f>
        <v>1.1183243715458536E-14</v>
      </c>
      <c r="AX135" s="21">
        <f t="shared" si="114"/>
        <v>3.1425063288087638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-1.2505552149377763E-12</v>
      </c>
      <c r="O136" s="13">
        <f>N136*VLOOKUP('Données projet'!$B$9,Paramètres!$A$1:$I$89,3,0)*VLOOKUP('Données projet'!$B$9,Paramètres!$A$1:$I$89,5,0)</f>
        <v>-6.9906036515021697E-13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415.91544298418842</v>
      </c>
      <c r="T136" s="59">
        <f t="shared" si="142"/>
        <v>422.79312683312583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1.4851578401239918</v>
      </c>
      <c r="AA136" s="21">
        <f>EXP(-LN(2)/25)*AA135+(1-EXP(-LN(2)/25))/(LN(2)/25)*Calculateur!V136*Calculateur!X136*VLOOKUP('Données projet'!$B$9,Paramètres!$A$1:$I$89,3,0)*0.475*44/12</f>
        <v>2.2291206577625764</v>
      </c>
      <c r="AB136" s="21">
        <f>EXP(-LN(2)/2)*AB135+(1-EXP(-LN(2)/2))/(LN(2)/2)*V136*Y136*VLOOKUP('Données projet'!$B$9,Paramètres!$A$1:$I$89,3,0)*0.475*44/12</f>
        <v>1.1452848314094601E-14</v>
      </c>
      <c r="AC136" s="22">
        <f t="shared" si="111"/>
        <v>3.7142784978865797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5.6843418860808015E-13</v>
      </c>
      <c r="AJ136" s="13">
        <f>AI136*VLOOKUP('Données projet'!$B$10,Paramètres!$A$1:$I$89,3,0)*VLOOKUP('Données projet'!$B$10,Paramètres!$A$1:$I$89,5,0)</f>
        <v>3.1036506698001181E-13</v>
      </c>
      <c r="AK136" s="13">
        <f t="shared" si="143"/>
        <v>4.086682523110923E-12</v>
      </c>
      <c r="AL136" s="20">
        <f t="shared" si="112"/>
        <v>7.6581912194083782E-12</v>
      </c>
      <c r="AM136" s="59">
        <f t="shared" si="113"/>
        <v>293.33333333334099</v>
      </c>
      <c r="AN136" s="59">
        <f ca="1">AVERAGE(OFFSET($AM$3,0,0,'Données projet'!$E$10+1,1))-AVERAGE(OFFSET($H$3,0,0,'Données projet'!$E$10+1,1))</f>
        <v>248.1486444660062</v>
      </c>
      <c r="AO136" s="59">
        <f t="shared" si="144"/>
        <v>293.34458072322127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1.1077456363546361</v>
      </c>
      <c r="AV136" s="21">
        <f>EXP(-LN(2)/25)*AV135+(1-EXP(-LN(2)/25))/(LN(2)/25)*Calculateur!AQ136*Calculateur!AS136*VLOOKUP('Données projet'!$B$10,Paramètres!$A$1:$I$89,3,0)*0.475*44/12</f>
        <v>1.9575692347643012</v>
      </c>
      <c r="AW136" s="21">
        <f>EXP(-LN(2)/2)*AW135+(1-EXP(-LN(2)/2))/(LN(2)/2)*AQ136*AT136*VLOOKUP('Données projet'!$B$10,Paramètres!$A$1:$I$89,3,0)*0.475*44/12</f>
        <v>7.907747466862572E-15</v>
      </c>
      <c r="AX136" s="21">
        <f t="shared" si="114"/>
        <v>3.0653148711189453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-1.2505552149377763E-12</v>
      </c>
      <c r="O137" s="13">
        <f>N137*VLOOKUP('Données projet'!$B$9,Paramètres!$A$1:$I$89,3,0)*VLOOKUP('Données projet'!$B$9,Paramètres!$A$1:$I$89,5,0)</f>
        <v>-6.9906036515021697E-13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415.91544298418842</v>
      </c>
      <c r="T137" s="59">
        <f t="shared" si="142"/>
        <v>422.79312683312583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1.4560348007359969</v>
      </c>
      <c r="AA137" s="21">
        <f>EXP(-LN(2)/25)*AA136+(1-EXP(-LN(2)/25))/(LN(2)/25)*Calculateur!V137*Calculateur!X137*VLOOKUP('Données projet'!$B$9,Paramètres!$A$1:$I$89,3,0)*0.475*44/12</f>
        <v>2.1681652361516979</v>
      </c>
      <c r="AB137" s="21">
        <f>EXP(-LN(2)/2)*AB136+(1-EXP(-LN(2)/2))/(LN(2)/2)*V137*Y137*VLOOKUP('Données projet'!$B$9,Paramètres!$A$1:$I$89,3,0)*0.475*44/12</f>
        <v>8.0983867067972106E-15</v>
      </c>
      <c r="AC137" s="22">
        <f t="shared" si="111"/>
        <v>3.6242000368877028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5.6843418860808015E-13</v>
      </c>
      <c r="AJ137" s="13">
        <f>AI137*VLOOKUP('Données projet'!$B$10,Paramètres!$A$1:$I$89,3,0)*VLOOKUP('Données projet'!$B$10,Paramètres!$A$1:$I$89,5,0)</f>
        <v>3.1036506698001181E-13</v>
      </c>
      <c r="AK137" s="13">
        <f t="shared" si="143"/>
        <v>4.086682523110923E-12</v>
      </c>
      <c r="AL137" s="20">
        <f t="shared" si="112"/>
        <v>7.6581912194083782E-12</v>
      </c>
      <c r="AM137" s="59">
        <f t="shared" si="113"/>
        <v>293.33333333334099</v>
      </c>
      <c r="AN137" s="59">
        <f ca="1">AVERAGE(OFFSET($AM$3,0,0,'Données projet'!$E$10+1,1))-AVERAGE(OFFSET($H$3,0,0,'Données projet'!$E$10+1,1))</f>
        <v>248.1486444660062</v>
      </c>
      <c r="AO137" s="59">
        <f t="shared" si="144"/>
        <v>293.34458072322127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1.0860234200838441</v>
      </c>
      <c r="AV137" s="21">
        <f>EXP(-LN(2)/25)*AV136+(1-EXP(-LN(2)/25))/(LN(2)/25)*Calculateur!AQ137*Calculateur!AS137*VLOOKUP('Données projet'!$B$10,Paramètres!$A$1:$I$89,3,0)*0.475*44/12</f>
        <v>1.9040394010955795</v>
      </c>
      <c r="AW137" s="21">
        <f>EXP(-LN(2)/2)*AW136+(1-EXP(-LN(2)/2))/(LN(2)/2)*AQ137*AT137*VLOOKUP('Données projet'!$B$10,Paramètres!$A$1:$I$89,3,0)*0.475*44/12</f>
        <v>5.5916218577292682E-15</v>
      </c>
      <c r="AX137" s="21">
        <f t="shared" si="114"/>
        <v>2.9900628211794293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-1.2505552149377763E-12</v>
      </c>
      <c r="O138" s="13">
        <f>N138*VLOOKUP('Données projet'!$B$9,Paramètres!$A$1:$I$89,3,0)*VLOOKUP('Données projet'!$B$9,Paramètres!$A$1:$I$89,5,0)</f>
        <v>-6.9906036515021697E-13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415.91544298418842</v>
      </c>
      <c r="T138" s="59">
        <f t="shared" si="142"/>
        <v>422.79312683312583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1.4274828463871005</v>
      </c>
      <c r="AA138" s="21">
        <f>EXP(-LN(2)/25)*AA137+(1-EXP(-LN(2)/25))/(LN(2)/25)*Calculateur!V138*Calculateur!X138*VLOOKUP('Données projet'!$B$9,Paramètres!$A$1:$I$89,3,0)*0.475*44/12</f>
        <v>2.1088766437502753</v>
      </c>
      <c r="AB138" s="21">
        <f>EXP(-LN(2)/2)*AB137+(1-EXP(-LN(2)/2))/(LN(2)/2)*V138*Y138*VLOOKUP('Données projet'!$B$9,Paramètres!$A$1:$I$89,3,0)*0.475*44/12</f>
        <v>5.7264241570473004E-15</v>
      </c>
      <c r="AC138" s="22">
        <f t="shared" si="111"/>
        <v>3.5363594901373818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5.6843418860808015E-13</v>
      </c>
      <c r="AJ138" s="13">
        <f>AI138*VLOOKUP('Données projet'!$B$10,Paramètres!$A$1:$I$89,3,0)*VLOOKUP('Données projet'!$B$10,Paramètres!$A$1:$I$89,5,0)</f>
        <v>3.1036506698001181E-13</v>
      </c>
      <c r="AK138" s="13">
        <f t="shared" si="143"/>
        <v>4.086682523110923E-12</v>
      </c>
      <c r="AL138" s="20">
        <f t="shared" si="112"/>
        <v>7.6581912194083782E-12</v>
      </c>
      <c r="AM138" s="59">
        <f t="shared" si="113"/>
        <v>293.33333333334099</v>
      </c>
      <c r="AN138" s="59">
        <f ca="1">AVERAGE(OFFSET($AM$3,0,0,'Données projet'!$E$10+1,1))-AVERAGE(OFFSET($H$3,0,0,'Données projet'!$E$10+1,1))</f>
        <v>248.1486444660062</v>
      </c>
      <c r="AO138" s="59">
        <f t="shared" si="144"/>
        <v>293.34458072322127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1.0647271632248787</v>
      </c>
      <c r="AV138" s="21">
        <f>EXP(-LN(2)/25)*AV137+(1-EXP(-LN(2)/25))/(LN(2)/25)*Calculateur!AQ138*Calculateur!AS138*VLOOKUP('Données projet'!$B$10,Paramètres!$A$1:$I$89,3,0)*0.475*44/12</f>
        <v>1.8519733435435404</v>
      </c>
      <c r="AW138" s="21">
        <f>EXP(-LN(2)/2)*AW137+(1-EXP(-LN(2)/2))/(LN(2)/2)*AQ138*AT138*VLOOKUP('Données projet'!$B$10,Paramètres!$A$1:$I$89,3,0)*0.475*44/12</f>
        <v>3.953873733431286E-15</v>
      </c>
      <c r="AX138" s="21">
        <f t="shared" si="114"/>
        <v>2.9167005067684229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-1.2505552149377763E-12</v>
      </c>
      <c r="O139" s="13">
        <f>N139*VLOOKUP('Données projet'!$B$9,Paramètres!$A$1:$I$89,3,0)*VLOOKUP('Données projet'!$B$9,Paramètres!$A$1:$I$89,5,0)</f>
        <v>-6.9906036515021697E-13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415.91544298418842</v>
      </c>
      <c r="T139" s="59">
        <f t="shared" si="142"/>
        <v>422.79312683312583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1.3994907784480135</v>
      </c>
      <c r="AA139" s="21">
        <f>EXP(-LN(2)/25)*AA138+(1-EXP(-LN(2)/25))/(LN(2)/25)*Calculateur!V139*Calculateur!X139*VLOOKUP('Données projet'!$B$9,Paramètres!$A$1:$I$89,3,0)*0.475*44/12</f>
        <v>2.0512093010259211</v>
      </c>
      <c r="AB139" s="21">
        <f>EXP(-LN(2)/2)*AB138+(1-EXP(-LN(2)/2))/(LN(2)/2)*V139*Y139*VLOOKUP('Données projet'!$B$9,Paramètres!$A$1:$I$89,3,0)*0.475*44/12</f>
        <v>4.0491933533986053E-15</v>
      </c>
      <c r="AC139" s="22">
        <f t="shared" si="111"/>
        <v>3.4507000794739384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5.6843418860808015E-13</v>
      </c>
      <c r="AJ139" s="13">
        <f>AI139*VLOOKUP('Données projet'!$B$10,Paramètres!$A$1:$I$89,3,0)*VLOOKUP('Données projet'!$B$10,Paramètres!$A$1:$I$89,5,0)</f>
        <v>3.1036506698001181E-13</v>
      </c>
      <c r="AK139" s="13">
        <f t="shared" si="143"/>
        <v>4.086682523110923E-12</v>
      </c>
      <c r="AL139" s="20">
        <f t="shared" si="112"/>
        <v>7.6581912194083782E-12</v>
      </c>
      <c r="AM139" s="59">
        <f t="shared" si="113"/>
        <v>293.33333333334099</v>
      </c>
      <c r="AN139" s="59">
        <f ca="1">AVERAGE(OFFSET($AM$3,0,0,'Données projet'!$E$10+1,1))-AVERAGE(OFFSET($H$3,0,0,'Données projet'!$E$10+1,1))</f>
        <v>248.1486444660062</v>
      </c>
      <c r="AO139" s="59">
        <f t="shared" si="144"/>
        <v>293.34458072322127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1.0438485129734836</v>
      </c>
      <c r="AV139" s="21">
        <f>EXP(-LN(2)/25)*AV138+(1-EXP(-LN(2)/25))/(LN(2)/25)*Calculateur!AQ139*Calculateur!AS139*VLOOKUP('Données projet'!$B$10,Paramètres!$A$1:$I$89,3,0)*0.475*44/12</f>
        <v>1.8013310350732969</v>
      </c>
      <c r="AW139" s="21">
        <f>EXP(-LN(2)/2)*AW138+(1-EXP(-LN(2)/2))/(LN(2)/2)*AQ139*AT139*VLOOKUP('Données projet'!$B$10,Paramètres!$A$1:$I$89,3,0)*0.475*44/12</f>
        <v>2.7958109288646341E-15</v>
      </c>
      <c r="AX139" s="21">
        <f t="shared" si="114"/>
        <v>2.845179548046783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-1.2505552149377763E-12</v>
      </c>
      <c r="O140" s="13">
        <f>N140*VLOOKUP('Données projet'!$B$9,Paramètres!$A$1:$I$89,3,0)*VLOOKUP('Données projet'!$B$9,Paramètres!$A$1:$I$89,5,0)</f>
        <v>-6.9906036515021697E-13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415.91544298418842</v>
      </c>
      <c r="T140" s="59">
        <f t="shared" si="142"/>
        <v>422.79312683312583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1.3720476178877363</v>
      </c>
      <c r="AA140" s="21">
        <f>EXP(-LN(2)/25)*AA139+(1-EXP(-LN(2)/25))/(LN(2)/25)*Calculateur!V140*Calculateur!X140*VLOOKUP('Données projet'!$B$9,Paramètres!$A$1:$I$89,3,0)*0.475*44/12</f>
        <v>1.9951188748209583</v>
      </c>
      <c r="AB140" s="21">
        <f>EXP(-LN(2)/2)*AB139+(1-EXP(-LN(2)/2))/(LN(2)/2)*V140*Y140*VLOOKUP('Données projet'!$B$9,Paramètres!$A$1:$I$89,3,0)*0.475*44/12</f>
        <v>2.8632120785236502E-15</v>
      </c>
      <c r="AC140" s="22">
        <f t="shared" si="111"/>
        <v>3.3671664927086971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5.6843418860808015E-13</v>
      </c>
      <c r="AJ140" s="13">
        <f>AI140*VLOOKUP('Données projet'!$B$10,Paramètres!$A$1:$I$89,3,0)*VLOOKUP('Données projet'!$B$10,Paramètres!$A$1:$I$89,5,0)</f>
        <v>3.1036506698001181E-13</v>
      </c>
      <c r="AK140" s="13">
        <f t="shared" si="143"/>
        <v>4.086682523110923E-12</v>
      </c>
      <c r="AL140" s="20">
        <f t="shared" si="112"/>
        <v>7.6581912194083782E-12</v>
      </c>
      <c r="AM140" s="59">
        <f t="shared" si="113"/>
        <v>293.33333333334099</v>
      </c>
      <c r="AN140" s="59">
        <f ca="1">AVERAGE(OFFSET($AM$3,0,0,'Données projet'!$E$10+1,1))-AVERAGE(OFFSET($H$3,0,0,'Données projet'!$E$10+1,1))</f>
        <v>248.1486444660062</v>
      </c>
      <c r="AO140" s="59">
        <f t="shared" si="144"/>
        <v>293.34458072322127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1.0233792803187991</v>
      </c>
      <c r="AV140" s="21">
        <f>EXP(-LN(2)/25)*AV139+(1-EXP(-LN(2)/25))/(LN(2)/25)*Calculateur!AQ140*Calculateur!AS140*VLOOKUP('Données projet'!$B$10,Paramètres!$A$1:$I$89,3,0)*0.475*44/12</f>
        <v>1.7520735431913355</v>
      </c>
      <c r="AW140" s="21">
        <f>EXP(-LN(2)/2)*AW139+(1-EXP(-LN(2)/2))/(LN(2)/2)*AQ140*AT140*VLOOKUP('Données projet'!$B$10,Paramètres!$A$1:$I$89,3,0)*0.475*44/12</f>
        <v>1.976936866715643E-15</v>
      </c>
      <c r="AX140" s="21">
        <f t="shared" si="114"/>
        <v>2.7754528235101361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-1.2505552149377763E-12</v>
      </c>
      <c r="O141" s="13">
        <f>N141*VLOOKUP('Données projet'!$B$9,Paramètres!$A$1:$I$89,3,0)*VLOOKUP('Données projet'!$B$9,Paramètres!$A$1:$I$89,5,0)</f>
        <v>-6.9906036515021697E-13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415.91544298418842</v>
      </c>
      <c r="T141" s="59">
        <f t="shared" si="142"/>
        <v>422.79312683312583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1.345142600967371</v>
      </c>
      <c r="AA141" s="21">
        <f>EXP(-LN(2)/25)*AA140+(1-EXP(-LN(2)/25))/(LN(2)/25)*Calculateur!V141*Calculateur!X141*VLOOKUP('Données projet'!$B$9,Paramètres!$A$1:$I$89,3,0)*0.475*44/12</f>
        <v>1.9405622442702375</v>
      </c>
      <c r="AB141" s="21">
        <f>EXP(-LN(2)/2)*AB140+(1-EXP(-LN(2)/2))/(LN(2)/2)*V141*Y141*VLOOKUP('Données projet'!$B$9,Paramètres!$A$1:$I$89,3,0)*0.475*44/12</f>
        <v>2.0245966766993026E-15</v>
      </c>
      <c r="AC141" s="22">
        <f t="shared" si="111"/>
        <v>3.285704845237611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5.6843418860808015E-13</v>
      </c>
      <c r="AJ141" s="13">
        <f>AI141*VLOOKUP('Données projet'!$B$10,Paramètres!$A$1:$I$89,3,0)*VLOOKUP('Données projet'!$B$10,Paramètres!$A$1:$I$89,5,0)</f>
        <v>3.1036506698001181E-13</v>
      </c>
      <c r="AK141" s="13">
        <f t="shared" si="143"/>
        <v>4.086682523110923E-12</v>
      </c>
      <c r="AL141" s="20">
        <f t="shared" si="112"/>
        <v>7.6581912194083782E-12</v>
      </c>
      <c r="AM141" s="59">
        <f t="shared" si="113"/>
        <v>293.33333333334099</v>
      </c>
      <c r="AN141" s="59">
        <f ca="1">AVERAGE(OFFSET($AM$3,0,0,'Données projet'!$E$10+1,1))-AVERAGE(OFFSET($H$3,0,0,'Données projet'!$E$10+1,1))</f>
        <v>248.1486444660062</v>
      </c>
      <c r="AO141" s="59">
        <f t="shared" si="144"/>
        <v>293.34458072322127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1.0033114368314739</v>
      </c>
      <c r="AV141" s="21">
        <f>EXP(-LN(2)/25)*AV140+(1-EXP(-LN(2)/25))/(LN(2)/25)*Calculateur!AQ141*Calculateur!AS141*VLOOKUP('Données projet'!$B$10,Paramètres!$A$1:$I$89,3,0)*0.475*44/12</f>
        <v>1.7041630000152252</v>
      </c>
      <c r="AW141" s="21">
        <f>EXP(-LN(2)/2)*AW140+(1-EXP(-LN(2)/2))/(LN(2)/2)*AQ141*AT141*VLOOKUP('Données projet'!$B$10,Paramètres!$A$1:$I$89,3,0)*0.475*44/12</f>
        <v>1.3979054644323171E-15</v>
      </c>
      <c r="AX141" s="21">
        <f t="shared" si="114"/>
        <v>2.7074744368467005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-1.2505552149377763E-12</v>
      </c>
      <c r="O142" s="13">
        <f>N142*VLOOKUP('Données projet'!$B$9,Paramètres!$A$1:$I$89,3,0)*VLOOKUP('Données projet'!$B$9,Paramètres!$A$1:$I$89,5,0)</f>
        <v>-6.9906036515021697E-13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415.91544298418842</v>
      </c>
      <c r="T142" s="59">
        <f t="shared" si="142"/>
        <v>422.79312683312583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1.3187651750183742</v>
      </c>
      <c r="AA142" s="21">
        <f>EXP(-LN(2)/25)*AA141+(1-EXP(-LN(2)/25))/(LN(2)/25)*Calculateur!V142*Calculateur!X142*VLOOKUP('Données projet'!$B$9,Paramètres!$A$1:$I$89,3,0)*0.475*44/12</f>
        <v>1.8874974676509346</v>
      </c>
      <c r="AB142" s="21">
        <f>EXP(-LN(2)/2)*AB141+(1-EXP(-LN(2)/2))/(LN(2)/2)*V142*Y142*VLOOKUP('Données projet'!$B$9,Paramètres!$A$1:$I$89,3,0)*0.475*44/12</f>
        <v>1.4316060392618251E-15</v>
      </c>
      <c r="AC142" s="22">
        <f t="shared" si="111"/>
        <v>3.2062626426693099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5.6843418860808015E-13</v>
      </c>
      <c r="AJ142" s="13">
        <f>AI142*VLOOKUP('Données projet'!$B$10,Paramètres!$A$1:$I$89,3,0)*VLOOKUP('Données projet'!$B$10,Paramètres!$A$1:$I$89,5,0)</f>
        <v>3.1036506698001181E-13</v>
      </c>
      <c r="AK142" s="13">
        <f t="shared" si="143"/>
        <v>4.086682523110923E-12</v>
      </c>
      <c r="AL142" s="20">
        <f t="shared" si="112"/>
        <v>7.6581912194083782E-12</v>
      </c>
      <c r="AM142" s="59">
        <f t="shared" si="113"/>
        <v>293.33333333334099</v>
      </c>
      <c r="AN142" s="59">
        <f ca="1">AVERAGE(OFFSET($AM$3,0,0,'Données projet'!$E$10+1,1))-AVERAGE(OFFSET($H$3,0,0,'Données projet'!$E$10+1,1))</f>
        <v>248.1486444660062</v>
      </c>
      <c r="AO142" s="59">
        <f t="shared" si="144"/>
        <v>293.34458072322127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0.98363711151475919</v>
      </c>
      <c r="AV142" s="21">
        <f>EXP(-LN(2)/25)*AV141+(1-EXP(-LN(2)/25))/(LN(2)/25)*Calculateur!AQ142*Calculateur!AS142*VLOOKUP('Données projet'!$B$10,Paramètres!$A$1:$I$89,3,0)*0.475*44/12</f>
        <v>1.6575625731617716</v>
      </c>
      <c r="AW142" s="21">
        <f>EXP(-LN(2)/2)*AW141+(1-EXP(-LN(2)/2))/(LN(2)/2)*AQ142*AT142*VLOOKUP('Données projet'!$B$10,Paramètres!$A$1:$I$89,3,0)*0.475*44/12</f>
        <v>9.884684333578215E-16</v>
      </c>
      <c r="AX142" s="21">
        <f t="shared" si="114"/>
        <v>2.6411996846765318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-1.2505552149377763E-12</v>
      </c>
      <c r="O143" s="13">
        <f>N143*VLOOKUP('Données projet'!$B$9,Paramètres!$A$1:$I$89,3,0)*VLOOKUP('Données projet'!$B$9,Paramètres!$A$1:$I$89,5,0)</f>
        <v>-6.9906036515021697E-13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415.91544298418842</v>
      </c>
      <c r="T143" s="59">
        <f t="shared" si="142"/>
        <v>422.79312683312583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1.292904994303596</v>
      </c>
      <c r="AA143" s="21">
        <f>EXP(-LN(2)/25)*AA142+(1-EXP(-LN(2)/25))/(LN(2)/25)*Calculateur!V143*Calculateur!X143*VLOOKUP('Données projet'!$B$9,Paramètres!$A$1:$I$89,3,0)*0.475*44/12</f>
        <v>1.8358837501388419</v>
      </c>
      <c r="AB143" s="21">
        <f>EXP(-LN(2)/2)*AB142+(1-EXP(-LN(2)/2))/(LN(2)/2)*V143*Y143*VLOOKUP('Données projet'!$B$9,Paramètres!$A$1:$I$89,3,0)*0.475*44/12</f>
        <v>1.0122983383496513E-15</v>
      </c>
      <c r="AC143" s="22">
        <f t="shared" si="111"/>
        <v>3.1287887444424385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5.6843418860808015E-13</v>
      </c>
      <c r="AJ143" s="13">
        <f>AI143*VLOOKUP('Données projet'!$B$10,Paramètres!$A$1:$I$89,3,0)*VLOOKUP('Données projet'!$B$10,Paramètres!$A$1:$I$89,5,0)</f>
        <v>3.1036506698001181E-13</v>
      </c>
      <c r="AK143" s="13">
        <f t="shared" si="143"/>
        <v>4.086682523110923E-12</v>
      </c>
      <c r="AL143" s="20">
        <f t="shared" si="112"/>
        <v>7.6581912194083782E-12</v>
      </c>
      <c r="AM143" s="59">
        <f t="shared" si="113"/>
        <v>293.33333333334099</v>
      </c>
      <c r="AN143" s="59">
        <f ca="1">AVERAGE(OFFSET($AM$3,0,0,'Données projet'!$E$10+1,1))-AVERAGE(OFFSET($H$3,0,0,'Données projet'!$E$10+1,1))</f>
        <v>248.1486444660062</v>
      </c>
      <c r="AO143" s="59">
        <f t="shared" si="144"/>
        <v>293.34458072322127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0.96434858771735177</v>
      </c>
      <c r="AV143" s="21">
        <f>EXP(-LN(2)/25)*AV142+(1-EXP(-LN(2)/25))/(LN(2)/25)*Calculateur!AQ143*Calculateur!AS143*VLOOKUP('Données projet'!$B$10,Paramètres!$A$1:$I$89,3,0)*0.475*44/12</f>
        <v>1.6122364374312357</v>
      </c>
      <c r="AW143" s="21">
        <f>EXP(-LN(2)/2)*AW142+(1-EXP(-LN(2)/2))/(LN(2)/2)*AQ143*AT143*VLOOKUP('Données projet'!$B$10,Paramètres!$A$1:$I$89,3,0)*0.475*44/12</f>
        <v>6.9895273221615853E-16</v>
      </c>
      <c r="AX143" s="21">
        <f t="shared" si="114"/>
        <v>2.5765850251485882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-1.2505552149377763E-12</v>
      </c>
      <c r="O144" s="13">
        <f>N144*VLOOKUP('Données projet'!$B$9,Paramètres!$A$1:$I$89,3,0)*VLOOKUP('Données projet'!$B$9,Paramètres!$A$1:$I$89,5,0)</f>
        <v>-6.9906036515021697E-13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415.91544298418842</v>
      </c>
      <c r="T144" s="59">
        <f t="shared" si="142"/>
        <v>422.79312683312583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1.2675519159594817</v>
      </c>
      <c r="AA144" s="21">
        <f>EXP(-LN(2)/25)*AA143+(1-EXP(-LN(2)/25))/(LN(2)/25)*Calculateur!V144*Calculateur!X144*VLOOKUP('Données projet'!$B$9,Paramètres!$A$1:$I$89,3,0)*0.475*44/12</f>
        <v>1.7856814124463647</v>
      </c>
      <c r="AB144" s="21">
        <f>EXP(-LN(2)/2)*AB143+(1-EXP(-LN(2)/2))/(LN(2)/2)*V144*Y144*VLOOKUP('Données projet'!$B$9,Paramètres!$A$1:$I$89,3,0)*0.475*44/12</f>
        <v>7.1580301963091256E-16</v>
      </c>
      <c r="AC144" s="22">
        <f t="shared" si="111"/>
        <v>3.053233328405847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5.6843418860808015E-13</v>
      </c>
      <c r="AJ144" s="13">
        <f>AI144*VLOOKUP('Données projet'!$B$10,Paramètres!$A$1:$I$89,3,0)*VLOOKUP('Données projet'!$B$10,Paramètres!$A$1:$I$89,5,0)</f>
        <v>3.1036506698001181E-13</v>
      </c>
      <c r="AK144" s="13">
        <f t="shared" si="143"/>
        <v>4.086682523110923E-12</v>
      </c>
      <c r="AL144" s="20">
        <f t="shared" si="112"/>
        <v>7.6581912194083782E-12</v>
      </c>
      <c r="AM144" s="59">
        <f t="shared" si="113"/>
        <v>293.33333333334099</v>
      </c>
      <c r="AN144" s="59">
        <f ca="1">AVERAGE(OFFSET($AM$3,0,0,'Données projet'!$E$10+1,1))-AVERAGE(OFFSET($H$3,0,0,'Données projet'!$E$10+1,1))</f>
        <v>248.1486444660062</v>
      </c>
      <c r="AO144" s="59">
        <f t="shared" si="144"/>
        <v>293.34458072322127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0.94543830010677365</v>
      </c>
      <c r="AV144" s="21">
        <f>EXP(-LN(2)/25)*AV143+(1-EXP(-LN(2)/25))/(LN(2)/25)*Calculateur!AQ144*Calculateur!AS144*VLOOKUP('Données projet'!$B$10,Paramètres!$A$1:$I$89,3,0)*0.475*44/12</f>
        <v>1.5681497472658492</v>
      </c>
      <c r="AW144" s="21">
        <f>EXP(-LN(2)/2)*AW143+(1-EXP(-LN(2)/2))/(LN(2)/2)*AQ144*AT144*VLOOKUP('Données projet'!$B$10,Paramètres!$A$1:$I$89,3,0)*0.475*44/12</f>
        <v>4.9423421667891075E-16</v>
      </c>
      <c r="AX144" s="21">
        <f t="shared" si="114"/>
        <v>2.5135880473726231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-1.2505552149377763E-12</v>
      </c>
      <c r="O145" s="13">
        <f>N145*VLOOKUP('Données projet'!$B$9,Paramètres!$A$1:$I$89,3,0)*VLOOKUP('Données projet'!$B$9,Paramètres!$A$1:$I$89,5,0)</f>
        <v>-6.9906036515021697E-13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415.91544298418842</v>
      </c>
      <c r="T145" s="59">
        <f t="shared" si="142"/>
        <v>422.79312683312583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1.2426959960178448</v>
      </c>
      <c r="AA145" s="21">
        <f>EXP(-LN(2)/25)*AA144+(1-EXP(-LN(2)/25))/(LN(2)/25)*Calculateur!V145*Calculateur!X145*VLOOKUP('Données projet'!$B$9,Paramètres!$A$1:$I$89,3,0)*0.475*44/12</f>
        <v>1.7368518603181147</v>
      </c>
      <c r="AB145" s="21">
        <f>EXP(-LN(2)/2)*AB144+(1-EXP(-LN(2)/2))/(LN(2)/2)*V145*Y145*VLOOKUP('Données projet'!$B$9,Paramètres!$A$1:$I$89,3,0)*0.475*44/12</f>
        <v>5.0614916917482566E-16</v>
      </c>
      <c r="AC145" s="22">
        <f t="shared" si="111"/>
        <v>2.9795478563359601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5.6843418860808015E-13</v>
      </c>
      <c r="AJ145" s="13">
        <f>AI145*VLOOKUP('Données projet'!$B$10,Paramètres!$A$1:$I$89,3,0)*VLOOKUP('Données projet'!$B$10,Paramètres!$A$1:$I$89,5,0)</f>
        <v>3.1036506698001181E-13</v>
      </c>
      <c r="AK145" s="13">
        <f t="shared" si="143"/>
        <v>4.086682523110923E-12</v>
      </c>
      <c r="AL145" s="20">
        <f t="shared" si="112"/>
        <v>7.6581912194083782E-12</v>
      </c>
      <c r="AM145" s="59">
        <f t="shared" si="113"/>
        <v>293.33333333334099</v>
      </c>
      <c r="AN145" s="59">
        <f ca="1">AVERAGE(OFFSET($AM$3,0,0,'Données projet'!$E$10+1,1))-AVERAGE(OFFSET($H$3,0,0,'Données projet'!$E$10+1,1))</f>
        <v>248.1486444660062</v>
      </c>
      <c r="AO145" s="59">
        <f t="shared" si="144"/>
        <v>293.34458072322127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0.92689883170210241</v>
      </c>
      <c r="AV145" s="21">
        <f>EXP(-LN(2)/25)*AV144+(1-EXP(-LN(2)/25))/(LN(2)/25)*Calculateur!AQ145*Calculateur!AS145*VLOOKUP('Données projet'!$B$10,Paramètres!$A$1:$I$89,3,0)*0.475*44/12</f>
        <v>1.5252686099614534</v>
      </c>
      <c r="AW145" s="21">
        <f>EXP(-LN(2)/2)*AW144+(1-EXP(-LN(2)/2))/(LN(2)/2)*AQ145*AT145*VLOOKUP('Données projet'!$B$10,Paramètres!$A$1:$I$89,3,0)*0.475*44/12</f>
        <v>3.4947636610807926E-16</v>
      </c>
      <c r="AX145" s="21">
        <f t="shared" si="114"/>
        <v>2.4521674416635562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-1.2505552149377763E-12</v>
      </c>
      <c r="O146" s="13">
        <f>N146*VLOOKUP('Données projet'!$B$9,Paramètres!$A$1:$I$89,3,0)*VLOOKUP('Données projet'!$B$9,Paramètres!$A$1:$I$89,5,0)</f>
        <v>-6.9906036515021697E-13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415.91544298418842</v>
      </c>
      <c r="T146" s="59">
        <f t="shared" si="142"/>
        <v>422.79312683312583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1.2183274855056492</v>
      </c>
      <c r="AA146" s="21">
        <f>EXP(-LN(2)/25)*AA145+(1-EXP(-LN(2)/25))/(LN(2)/25)*Calculateur!V146*Calculateur!X146*VLOOKUP('Données projet'!$B$9,Paramètres!$A$1:$I$89,3,0)*0.475*44/12</f>
        <v>1.6893575548606461</v>
      </c>
      <c r="AB146" s="21">
        <f>EXP(-LN(2)/2)*AB145+(1-EXP(-LN(2)/2))/(LN(2)/2)*V146*Y146*VLOOKUP('Données projet'!$B$9,Paramètres!$A$1:$I$89,3,0)*0.475*44/12</f>
        <v>3.5790150981545628E-16</v>
      </c>
      <c r="AC146" s="22">
        <f t="shared" si="111"/>
        <v>2.9076850403662955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5.6843418860808015E-13</v>
      </c>
      <c r="AJ146" s="13">
        <f>AI146*VLOOKUP('Données projet'!$B$10,Paramètres!$A$1:$I$89,3,0)*VLOOKUP('Données projet'!$B$10,Paramètres!$A$1:$I$89,5,0)</f>
        <v>3.1036506698001181E-13</v>
      </c>
      <c r="AK146" s="13">
        <f t="shared" si="143"/>
        <v>4.086682523110923E-12</v>
      </c>
      <c r="AL146" s="20">
        <f t="shared" si="112"/>
        <v>7.6581912194083782E-12</v>
      </c>
      <c r="AM146" s="59">
        <f t="shared" si="113"/>
        <v>293.33333333334099</v>
      </c>
      <c r="AN146" s="59">
        <f ca="1">AVERAGE(OFFSET($AM$3,0,0,'Données projet'!$E$10+1,1))-AVERAGE(OFFSET($H$3,0,0,'Données projet'!$E$10+1,1))</f>
        <v>248.1486444660062</v>
      </c>
      <c r="AO146" s="59">
        <f t="shared" si="144"/>
        <v>293.34458072322127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0.90872291096488755</v>
      </c>
      <c r="AV146" s="21">
        <f>EXP(-LN(2)/25)*AV145+(1-EXP(-LN(2)/25))/(LN(2)/25)*Calculateur!AQ146*Calculateur!AS146*VLOOKUP('Données projet'!$B$10,Paramètres!$A$1:$I$89,3,0)*0.475*44/12</f>
        <v>1.4835600596116674</v>
      </c>
      <c r="AW146" s="21">
        <f>EXP(-LN(2)/2)*AW145+(1-EXP(-LN(2)/2))/(LN(2)/2)*AQ146*AT146*VLOOKUP('Données projet'!$B$10,Paramètres!$A$1:$I$89,3,0)*0.475*44/12</f>
        <v>2.4711710833945538E-16</v>
      </c>
      <c r="AX146" s="21">
        <f t="shared" si="114"/>
        <v>2.3922829705765554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-1.2505552149377763E-12</v>
      </c>
      <c r="O147" s="13">
        <f>N147*VLOOKUP('Données projet'!$B$9,Paramètres!$A$1:$I$89,3,0)*VLOOKUP('Données projet'!$B$9,Paramètres!$A$1:$I$89,5,0)</f>
        <v>-6.9906036515021697E-13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415.91544298418842</v>
      </c>
      <c r="T147" s="59">
        <f t="shared" si="142"/>
        <v>422.79312683312583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1.1944368266212739</v>
      </c>
      <c r="AA147" s="21">
        <f>EXP(-LN(2)/25)*AA146+(1-EXP(-LN(2)/25))/(LN(2)/25)*Calculateur!V147*Calculateur!X147*VLOOKUP('Données projet'!$B$9,Paramètres!$A$1:$I$89,3,0)*0.475*44/12</f>
        <v>1.6431619836835289</v>
      </c>
      <c r="AB147" s="21">
        <f>EXP(-LN(2)/2)*AB146+(1-EXP(-LN(2)/2))/(LN(2)/2)*V147*Y147*VLOOKUP('Données projet'!$B$9,Paramètres!$A$1:$I$89,3,0)*0.475*44/12</f>
        <v>2.5307458458741283E-16</v>
      </c>
      <c r="AC147" s="22">
        <f t="shared" si="111"/>
        <v>2.8375988103048031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5.6843418860808015E-13</v>
      </c>
      <c r="AJ147" s="13">
        <f>AI147*VLOOKUP('Données projet'!$B$10,Paramètres!$A$1:$I$89,3,0)*VLOOKUP('Données projet'!$B$10,Paramètres!$A$1:$I$89,5,0)</f>
        <v>3.1036506698001181E-13</v>
      </c>
      <c r="AK147" s="13">
        <f t="shared" si="143"/>
        <v>4.086682523110923E-12</v>
      </c>
      <c r="AL147" s="20">
        <f t="shared" si="112"/>
        <v>7.6581912194083782E-12</v>
      </c>
      <c r="AM147" s="59">
        <f t="shared" si="113"/>
        <v>293.33333333334099</v>
      </c>
      <c r="AN147" s="59">
        <f ca="1">AVERAGE(OFFSET($AM$3,0,0,'Données projet'!$E$10+1,1))-AVERAGE(OFFSET($H$3,0,0,'Données projet'!$E$10+1,1))</f>
        <v>248.1486444660062</v>
      </c>
      <c r="AO147" s="59">
        <f t="shared" si="144"/>
        <v>293.34458072322127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0.89090340894711251</v>
      </c>
      <c r="AV147" s="21">
        <f>EXP(-LN(2)/25)*AV146+(1-EXP(-LN(2)/25))/(LN(2)/25)*Calculateur!AQ147*Calculateur!AS147*VLOOKUP('Données projet'!$B$10,Paramètres!$A$1:$I$89,3,0)*0.475*44/12</f>
        <v>1.4429920317645535</v>
      </c>
      <c r="AW147" s="21">
        <f>EXP(-LN(2)/2)*AW146+(1-EXP(-LN(2)/2))/(LN(2)/2)*AQ147*AT147*VLOOKUP('Données projet'!$B$10,Paramètres!$A$1:$I$89,3,0)*0.475*44/12</f>
        <v>1.7473818305403963E-16</v>
      </c>
      <c r="AX147" s="21">
        <f t="shared" si="114"/>
        <v>2.3338954407116659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-1.2505552149377763E-12</v>
      </c>
      <c r="O148" s="13">
        <f>N148*VLOOKUP('Données projet'!$B$9,Paramètres!$A$1:$I$89,3,0)*VLOOKUP('Données projet'!$B$9,Paramètres!$A$1:$I$89,5,0)</f>
        <v>-6.9906036515021697E-13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415.91544298418842</v>
      </c>
      <c r="T148" s="59">
        <f t="shared" si="142"/>
        <v>422.79312683312583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1.1710146489857582</v>
      </c>
      <c r="AA148" s="21">
        <f>EXP(-LN(2)/25)*AA147+(1-EXP(-LN(2)/25))/(LN(2)/25)*Calculateur!V148*Calculateur!X148*VLOOKUP('Données projet'!$B$9,Paramètres!$A$1:$I$89,3,0)*0.475*44/12</f>
        <v>1.5982296328295695</v>
      </c>
      <c r="AB148" s="21">
        <f>EXP(-LN(2)/2)*AB147+(1-EXP(-LN(2)/2))/(LN(2)/2)*V148*Y148*VLOOKUP('Données projet'!$B$9,Paramètres!$A$1:$I$89,3,0)*0.475*44/12</f>
        <v>1.7895075490772814E-16</v>
      </c>
      <c r="AC148" s="22">
        <f t="shared" si="111"/>
        <v>2.769244281815328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5.6843418860808015E-13</v>
      </c>
      <c r="AJ148" s="13">
        <f>AI148*VLOOKUP('Données projet'!$B$10,Paramètres!$A$1:$I$89,3,0)*VLOOKUP('Données projet'!$B$10,Paramètres!$A$1:$I$89,5,0)</f>
        <v>3.1036506698001181E-13</v>
      </c>
      <c r="AK148" s="13">
        <f t="shared" si="143"/>
        <v>4.086682523110923E-12</v>
      </c>
      <c r="AL148" s="20">
        <f t="shared" si="112"/>
        <v>7.6581912194083782E-12</v>
      </c>
      <c r="AM148" s="59">
        <f t="shared" si="113"/>
        <v>293.33333333334099</v>
      </c>
      <c r="AN148" s="59">
        <f ca="1">AVERAGE(OFFSET($AM$3,0,0,'Données projet'!$E$10+1,1))-AVERAGE(OFFSET($H$3,0,0,'Données projet'!$E$10+1,1))</f>
        <v>248.1486444660062</v>
      </c>
      <c r="AO148" s="59">
        <f t="shared" si="144"/>
        <v>293.34458072322127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0.87343333649508303</v>
      </c>
      <c r="AV148" s="21">
        <f>EXP(-LN(2)/25)*AV147+(1-EXP(-LN(2)/25))/(LN(2)/25)*Calculateur!AQ148*Calculateur!AS148*VLOOKUP('Données projet'!$B$10,Paramètres!$A$1:$I$89,3,0)*0.475*44/12</f>
        <v>1.4035333387722988</v>
      </c>
      <c r="AW148" s="21">
        <f>EXP(-LN(2)/2)*AW147+(1-EXP(-LN(2)/2))/(LN(2)/2)*AQ148*AT148*VLOOKUP('Données projet'!$B$10,Paramètres!$A$1:$I$89,3,0)*0.475*44/12</f>
        <v>1.2355855416972769E-16</v>
      </c>
      <c r="AX148" s="21">
        <f t="shared" si="114"/>
        <v>2.2769666752673818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-1.2505552149377763E-12</v>
      </c>
      <c r="O149" s="13">
        <f>N149*VLOOKUP('Données projet'!$B$9,Paramètres!$A$1:$I$89,3,0)*VLOOKUP('Données projet'!$B$9,Paramètres!$A$1:$I$89,5,0)</f>
        <v>-6.9906036515021697E-13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415.91544298418842</v>
      </c>
      <c r="T149" s="59">
        <f t="shared" si="142"/>
        <v>422.79312683312583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1.1480517659675573</v>
      </c>
      <c r="AA149" s="21">
        <f>EXP(-LN(2)/25)*AA148+(1-EXP(-LN(2)/25))/(LN(2)/25)*Calculateur!V149*Calculateur!X149*VLOOKUP('Données projet'!$B$9,Paramètres!$A$1:$I$89,3,0)*0.475*44/12</f>
        <v>1.5545259594726013</v>
      </c>
      <c r="AB149" s="21">
        <f>EXP(-LN(2)/2)*AB148+(1-EXP(-LN(2)/2))/(LN(2)/2)*V149*Y149*VLOOKUP('Données projet'!$B$9,Paramètres!$A$1:$I$89,3,0)*0.475*44/12</f>
        <v>1.2653729229370642E-16</v>
      </c>
      <c r="AC149" s="22">
        <f t="shared" si="111"/>
        <v>2.7025777254401584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5.6843418860808015E-13</v>
      </c>
      <c r="AJ149" s="13">
        <f>AI149*VLOOKUP('Données projet'!$B$10,Paramètres!$A$1:$I$89,3,0)*VLOOKUP('Données projet'!$B$10,Paramètres!$A$1:$I$89,5,0)</f>
        <v>3.1036506698001181E-13</v>
      </c>
      <c r="AK149" s="13">
        <f t="shared" si="143"/>
        <v>4.086682523110923E-12</v>
      </c>
      <c r="AL149" s="20">
        <f t="shared" si="112"/>
        <v>7.6581912194083782E-12</v>
      </c>
      <c r="AM149" s="59">
        <f t="shared" si="113"/>
        <v>293.33333333334099</v>
      </c>
      <c r="AN149" s="59">
        <f ca="1">AVERAGE(OFFSET($AM$3,0,0,'Données projet'!$E$10+1,1))-AVERAGE(OFFSET($H$3,0,0,'Données projet'!$E$10+1,1))</f>
        <v>248.1486444660062</v>
      </c>
      <c r="AO149" s="59">
        <f t="shared" si="144"/>
        <v>293.34458072322127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0.85630584150814582</v>
      </c>
      <c r="AV149" s="21">
        <f>EXP(-LN(2)/25)*AV148+(1-EXP(-LN(2)/25))/(LN(2)/25)*Calculateur!AQ149*Calculateur!AS149*VLOOKUP('Données projet'!$B$10,Paramètres!$A$1:$I$89,3,0)*0.475*44/12</f>
        <v>1.3651536458149598</v>
      </c>
      <c r="AW149" s="21">
        <f>EXP(-LN(2)/2)*AW148+(1-EXP(-LN(2)/2))/(LN(2)/2)*AQ149*AT149*VLOOKUP('Données projet'!$B$10,Paramètres!$A$1:$I$89,3,0)*0.475*44/12</f>
        <v>8.7369091527019816E-17</v>
      </c>
      <c r="AX149" s="21">
        <f t="shared" si="114"/>
        <v>2.2214594873231057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-1.2505552149377763E-12</v>
      </c>
      <c r="O150" s="13">
        <f>N150*VLOOKUP('Données projet'!$B$9,Paramètres!$A$1:$I$89,3,0)*VLOOKUP('Données projet'!$B$9,Paramètres!$A$1:$I$89,5,0)</f>
        <v>-6.9906036515021697E-13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415.91544298418842</v>
      </c>
      <c r="T150" s="59">
        <f t="shared" si="142"/>
        <v>422.79312683312583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1.1255391710793676</v>
      </c>
      <c r="AA150" s="21">
        <f>EXP(-LN(2)/25)*AA149+(1-EXP(-LN(2)/25))/(LN(2)/25)*Calculateur!V150*Calculateur!X150*VLOOKUP('Données projet'!$B$9,Paramètres!$A$1:$I$89,3,0)*0.475*44/12</f>
        <v>1.5120173653618558</v>
      </c>
      <c r="AB150" s="21">
        <f>EXP(-LN(2)/2)*AB149+(1-EXP(-LN(2)/2))/(LN(2)/2)*V150*Y150*VLOOKUP('Données projet'!$B$9,Paramètres!$A$1:$I$89,3,0)*0.475*44/12</f>
        <v>8.947537745386407E-17</v>
      </c>
      <c r="AC150" s="22">
        <f t="shared" si="111"/>
        <v>2.6375565364412235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5.6843418860808015E-13</v>
      </c>
      <c r="AJ150" s="13">
        <f>AI150*VLOOKUP('Données projet'!$B$10,Paramètres!$A$1:$I$89,3,0)*VLOOKUP('Données projet'!$B$10,Paramètres!$A$1:$I$89,5,0)</f>
        <v>3.1036506698001181E-13</v>
      </c>
      <c r="AK150" s="13">
        <f t="shared" si="143"/>
        <v>4.086682523110923E-12</v>
      </c>
      <c r="AL150" s="20">
        <f t="shared" si="112"/>
        <v>7.6581912194083782E-12</v>
      </c>
      <c r="AM150" s="59">
        <f t="shared" si="113"/>
        <v>293.33333333334099</v>
      </c>
      <c r="AN150" s="59">
        <f ca="1">AVERAGE(OFFSET($AM$3,0,0,'Données projet'!$E$10+1,1))-AVERAGE(OFFSET($H$3,0,0,'Données projet'!$E$10+1,1))</f>
        <v>248.1486444660062</v>
      </c>
      <c r="AO150" s="59">
        <f t="shared" si="144"/>
        <v>293.34458072322127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0.83951420625116202</v>
      </c>
      <c r="AV150" s="21">
        <f>EXP(-LN(2)/25)*AV149+(1-EXP(-LN(2)/25))/(LN(2)/25)*Calculateur!AQ150*Calculateur!AS150*VLOOKUP('Données projet'!$B$10,Paramètres!$A$1:$I$89,3,0)*0.475*44/12</f>
        <v>1.3278234475798396</v>
      </c>
      <c r="AW150" s="21">
        <f>EXP(-LN(2)/2)*AW149+(1-EXP(-LN(2)/2))/(LN(2)/2)*AQ150*AT150*VLOOKUP('Données projet'!$B$10,Paramètres!$A$1:$I$89,3,0)*0.475*44/12</f>
        <v>6.1779277084863844E-17</v>
      </c>
      <c r="AX150" s="21">
        <f t="shared" si="114"/>
        <v>2.1673376538310016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-1.2505552149377763E-12</v>
      </c>
      <c r="O151" s="13">
        <f>N151*VLOOKUP('Données projet'!$B$9,Paramètres!$A$1:$I$89,3,0)*VLOOKUP('Données projet'!$B$9,Paramètres!$A$1:$I$89,5,0)</f>
        <v>-6.9906036515021697E-13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415.91544298418842</v>
      </c>
      <c r="T151" s="59">
        <f t="shared" si="142"/>
        <v>422.79312683312583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1.1034680344456083</v>
      </c>
      <c r="AA151" s="21">
        <f>EXP(-LN(2)/25)*AA150+(1-EXP(-LN(2)/25))/(LN(2)/25)*Calculateur!V151*Calculateur!X151*VLOOKUP('Données projet'!$B$9,Paramètres!$A$1:$I$89,3,0)*0.475*44/12</f>
        <v>1.4706711709924984</v>
      </c>
      <c r="AB151" s="21">
        <f>EXP(-LN(2)/2)*AB150+(1-EXP(-LN(2)/2))/(LN(2)/2)*V151*Y151*VLOOKUP('Données projet'!$B$9,Paramètres!$A$1:$I$89,3,0)*0.475*44/12</f>
        <v>6.3268646146853208E-17</v>
      </c>
      <c r="AC151" s="22">
        <f t="shared" si="111"/>
        <v>2.5741392054381067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5.6843418860808015E-13</v>
      </c>
      <c r="AJ151" s="13">
        <f>AI151*VLOOKUP('Données projet'!$B$10,Paramètres!$A$1:$I$89,3,0)*VLOOKUP('Données projet'!$B$10,Paramètres!$A$1:$I$89,5,0)</f>
        <v>3.1036506698001181E-13</v>
      </c>
      <c r="AK151" s="13">
        <f t="shared" si="143"/>
        <v>4.086682523110923E-12</v>
      </c>
      <c r="AL151" s="20">
        <f t="shared" si="112"/>
        <v>7.6581912194083782E-12</v>
      </c>
      <c r="AM151" s="59">
        <f t="shared" si="113"/>
        <v>293.33333333334099</v>
      </c>
      <c r="AN151" s="59">
        <f ca="1">AVERAGE(OFFSET($AM$3,0,0,'Données projet'!$E$10+1,1))-AVERAGE(OFFSET($H$3,0,0,'Données projet'!$E$10+1,1))</f>
        <v>248.1486444660062</v>
      </c>
      <c r="AO151" s="59">
        <f t="shared" si="144"/>
        <v>293.34458072322127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0.82305184471968151</v>
      </c>
      <c r="AV151" s="21">
        <f>EXP(-LN(2)/25)*AV150+(1-EXP(-LN(2)/25))/(LN(2)/25)*Calculateur!AQ151*Calculateur!AS151*VLOOKUP('Données projet'!$B$10,Paramètres!$A$1:$I$89,3,0)*0.475*44/12</f>
        <v>1.2915140455785685</v>
      </c>
      <c r="AW151" s="21">
        <f>EXP(-LN(2)/2)*AW150+(1-EXP(-LN(2)/2))/(LN(2)/2)*AQ151*AT151*VLOOKUP('Données projet'!$B$10,Paramètres!$A$1:$I$89,3,0)*0.475*44/12</f>
        <v>4.3684545763509908E-17</v>
      </c>
      <c r="AX151" s="21">
        <f t="shared" si="114"/>
        <v>2.11456589029825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-1.2505552149377763E-12</v>
      </c>
      <c r="O152" s="13">
        <f>N152*VLOOKUP('Données projet'!$B$9,Paramètres!$A$1:$I$89,3,0)*VLOOKUP('Données projet'!$B$9,Paramètres!$A$1:$I$89,5,0)</f>
        <v>-6.9906036515021697E-13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415.91544298418842</v>
      </c>
      <c r="T152" s="59">
        <f t="shared" si="142"/>
        <v>422.79312683312583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1.0818296993391727</v>
      </c>
      <c r="AA152" s="21">
        <f>EXP(-LN(2)/25)*AA151+(1-EXP(-LN(2)/25))/(LN(2)/25)*Calculateur!V152*Calculateur!X152*VLOOKUP('Données projet'!$B$9,Paramètres!$A$1:$I$89,3,0)*0.475*44/12</f>
        <v>1.4304555904824729</v>
      </c>
      <c r="AB152" s="21">
        <f>EXP(-LN(2)/2)*AB151+(1-EXP(-LN(2)/2))/(LN(2)/2)*V152*Y152*VLOOKUP('Données projet'!$B$9,Paramètres!$A$1:$I$89,3,0)*0.475*44/12</f>
        <v>4.4737688726932035E-17</v>
      </c>
      <c r="AC152" s="22">
        <f t="shared" si="111"/>
        <v>2.5122852898216457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5.6843418860808015E-13</v>
      </c>
      <c r="AJ152" s="13">
        <f>AI152*VLOOKUP('Données projet'!$B$10,Paramètres!$A$1:$I$89,3,0)*VLOOKUP('Données projet'!$B$10,Paramètres!$A$1:$I$89,5,0)</f>
        <v>3.1036506698001181E-13</v>
      </c>
      <c r="AK152" s="13">
        <f t="shared" si="143"/>
        <v>4.086682523110923E-12</v>
      </c>
      <c r="AL152" s="20">
        <f t="shared" si="112"/>
        <v>7.6581912194083782E-12</v>
      </c>
      <c r="AM152" s="59">
        <f t="shared" si="113"/>
        <v>293.33333333334099</v>
      </c>
      <c r="AN152" s="59">
        <f ca="1">AVERAGE(OFFSET($AM$3,0,0,'Données projet'!$E$10+1,1))-AVERAGE(OFFSET($H$3,0,0,'Données projet'!$E$10+1,1))</f>
        <v>248.1486444660062</v>
      </c>
      <c r="AO152" s="59">
        <f t="shared" si="144"/>
        <v>293.34458072322127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0.80691230005678427</v>
      </c>
      <c r="AV152" s="21">
        <f>EXP(-LN(2)/25)*AV151+(1-EXP(-LN(2)/25))/(LN(2)/25)*Calculateur!AQ152*Calculateur!AS152*VLOOKUP('Données projet'!$B$10,Paramètres!$A$1:$I$89,3,0)*0.475*44/12</f>
        <v>1.2561975260844507</v>
      </c>
      <c r="AW152" s="21">
        <f>EXP(-LN(2)/2)*AW151+(1-EXP(-LN(2)/2))/(LN(2)/2)*AQ152*AT152*VLOOKUP('Données projet'!$B$10,Paramètres!$A$1:$I$89,3,0)*0.475*44/12</f>
        <v>3.0889638542431922E-17</v>
      </c>
      <c r="AX152" s="21">
        <f t="shared" si="114"/>
        <v>2.0631098261412348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-1.2505552149377763E-12</v>
      </c>
      <c r="O153" s="13">
        <f>N153*VLOOKUP('Données projet'!$B$9,Paramètres!$A$1:$I$89,3,0)*VLOOKUP('Données projet'!$B$9,Paramètres!$A$1:$I$89,5,0)</f>
        <v>-6.9906036515021697E-13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415.91544298418842</v>
      </c>
      <c r="T153" s="59">
        <f t="shared" si="142"/>
        <v>422.79312683312583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1.0606156787860932</v>
      </c>
      <c r="AA153" s="21">
        <f>EXP(-LN(2)/25)*AA152+(1-EXP(-LN(2)/25))/(LN(2)/25)*Calculateur!V153*Calculateur!X153*VLOOKUP('Données projet'!$B$9,Paramètres!$A$1:$I$89,3,0)*0.475*44/12</f>
        <v>1.3913397071363396</v>
      </c>
      <c r="AB153" s="21">
        <f>EXP(-LN(2)/2)*AB152+(1-EXP(-LN(2)/2))/(LN(2)/2)*V153*Y153*VLOOKUP('Données projet'!$B$9,Paramètres!$A$1:$I$89,3,0)*0.475*44/12</f>
        <v>3.1634323073426604E-17</v>
      </c>
      <c r="AC153" s="22">
        <f t="shared" si="111"/>
        <v>2.4519553859224326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5.6843418860808015E-13</v>
      </c>
      <c r="AJ153" s="13">
        <f>AI153*VLOOKUP('Données projet'!$B$10,Paramètres!$A$1:$I$89,3,0)*VLOOKUP('Données projet'!$B$10,Paramètres!$A$1:$I$89,5,0)</f>
        <v>3.1036506698001181E-13</v>
      </c>
      <c r="AK153" s="13">
        <f t="shared" si="143"/>
        <v>4.086682523110923E-12</v>
      </c>
      <c r="AL153" s="20">
        <f t="shared" si="112"/>
        <v>7.6581912194083782E-12</v>
      </c>
      <c r="AM153" s="59">
        <f t="shared" si="113"/>
        <v>293.33333333334099</v>
      </c>
      <c r="AN153" s="59">
        <f ca="1">AVERAGE(OFFSET($AM$3,0,0,'Données projet'!$E$10+1,1))-AVERAGE(OFFSET($H$3,0,0,'Données projet'!$E$10+1,1))</f>
        <v>248.1486444660062</v>
      </c>
      <c r="AO153" s="59">
        <f t="shared" si="144"/>
        <v>293.34458072322127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0.79108924202057618</v>
      </c>
      <c r="AV153" s="21">
        <f>EXP(-LN(2)/25)*AV152+(1-EXP(-LN(2)/25))/(LN(2)/25)*Calculateur!AQ153*Calculateur!AS153*VLOOKUP('Données projet'!$B$10,Paramètres!$A$1:$I$89,3,0)*0.475*44/12</f>
        <v>1.2218467386731147</v>
      </c>
      <c r="AW153" s="21">
        <f>EXP(-LN(2)/2)*AW152+(1-EXP(-LN(2)/2))/(LN(2)/2)*AQ153*AT153*VLOOKUP('Données projet'!$B$10,Paramètres!$A$1:$I$89,3,0)*0.475*44/12</f>
        <v>2.1842272881754954E-17</v>
      </c>
      <c r="AX153" s="21">
        <f t="shared" si="114"/>
        <v>2.0129359806936908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-1.2505552149377763E-12</v>
      </c>
      <c r="O154" s="13">
        <f>N154*VLOOKUP('Données projet'!$B$9,Paramètres!$A$1:$I$89,3,0)*VLOOKUP('Données projet'!$B$9,Paramètres!$A$1:$I$89,5,0)</f>
        <v>-6.9906036515021697E-13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415.91544298418842</v>
      </c>
      <c r="T154" s="59">
        <f t="shared" si="142"/>
        <v>422.79312683312583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1.0398176522367848</v>
      </c>
      <c r="AA154" s="21">
        <f>EXP(-LN(2)/25)*AA153+(1-EXP(-LN(2)/25))/(LN(2)/25)*Calculateur!V154*Calculateur!X154*VLOOKUP('Données projet'!$B$9,Paramètres!$A$1:$I$89,3,0)*0.475*44/12</f>
        <v>1.3532934496773212</v>
      </c>
      <c r="AB154" s="21">
        <f>EXP(-LN(2)/2)*AB153+(1-EXP(-LN(2)/2))/(LN(2)/2)*V154*Y154*VLOOKUP('Données projet'!$B$9,Paramètres!$A$1:$I$89,3,0)*0.475*44/12</f>
        <v>2.2368844363466017E-17</v>
      </c>
      <c r="AC154" s="22">
        <f t="shared" ref="AC154:AC203" si="163">SUM(Z154:AB154)</f>
        <v>2.3931111019141058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5.6843418860808015E-13</v>
      </c>
      <c r="AJ154" s="13">
        <f>AI154*VLOOKUP('Données projet'!$B$10,Paramètres!$A$1:$I$89,3,0)*VLOOKUP('Données projet'!$B$10,Paramètres!$A$1:$I$89,5,0)</f>
        <v>3.1036506698001181E-13</v>
      </c>
      <c r="AK154" s="13">
        <f t="shared" ref="AK154:AK203" si="164">EXP(-1.0587+0.8836*LN(AJ154)+0.284)</f>
        <v>4.086682523110923E-12</v>
      </c>
      <c r="AL154" s="20">
        <f t="shared" ref="AL154:AL203" si="165">(AJ154+AK154)*0.475*44/12</f>
        <v>7.6581912194083782E-12</v>
      </c>
      <c r="AM154" s="59">
        <f t="shared" si="113"/>
        <v>293.33333333334099</v>
      </c>
      <c r="AN154" s="59">
        <f ca="1">AVERAGE(OFFSET($AM$3,0,0,'Données projet'!$E$10+1,1))-AVERAGE(OFFSET($H$3,0,0,'Données projet'!$E$10+1,1))</f>
        <v>248.1486444660062</v>
      </c>
      <c r="AO154" s="59">
        <f t="shared" si="144"/>
        <v>293.34458072322127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0.77557646450134576</v>
      </c>
      <c r="AV154" s="21">
        <f>EXP(-LN(2)/25)*AV153+(1-EXP(-LN(2)/25))/(LN(2)/25)*Calculateur!AQ154*Calculateur!AS154*VLOOKUP('Données projet'!$B$10,Paramètres!$A$1:$I$89,3,0)*0.475*44/12</f>
        <v>1.188435275349971</v>
      </c>
      <c r="AW154" s="21">
        <f>EXP(-LN(2)/2)*AW153+(1-EXP(-LN(2)/2))/(LN(2)/2)*AQ154*AT154*VLOOKUP('Données projet'!$B$10,Paramètres!$A$1:$I$89,3,0)*0.475*44/12</f>
        <v>1.5444819271215961E-17</v>
      </c>
      <c r="AX154" s="21">
        <f t="shared" ref="AX154:AX203" si="166">SUM(AU154:AW154)</f>
        <v>1.9640117398513168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-1.2505552149377763E-12</v>
      </c>
      <c r="O155" s="13">
        <f>N155*VLOOKUP('Données projet'!$B$9,Paramètres!$A$1:$I$89,3,0)*VLOOKUP('Données projet'!$B$9,Paramètres!$A$1:$I$89,5,0)</f>
        <v>-6.9906036515021697E-13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415.91544298418842</v>
      </c>
      <c r="T155" s="59">
        <f t="shared" si="142"/>
        <v>422.79312683312583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1.0194274623025648</v>
      </c>
      <c r="AA155" s="21">
        <f>EXP(-LN(2)/25)*AA154+(1-EXP(-LN(2)/25))/(LN(2)/25)*Calculateur!V155*Calculateur!X155*VLOOKUP('Données projet'!$B$9,Paramètres!$A$1:$I$89,3,0)*0.475*44/12</f>
        <v>1.3162875691292855</v>
      </c>
      <c r="AB155" s="21">
        <f>EXP(-LN(2)/2)*AB154+(1-EXP(-LN(2)/2))/(LN(2)/2)*V155*Y155*VLOOKUP('Données projet'!$B$9,Paramètres!$A$1:$I$89,3,0)*0.475*44/12</f>
        <v>1.5817161536713302E-17</v>
      </c>
      <c r="AC155" s="22">
        <f t="shared" si="163"/>
        <v>2.3357150314318504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5.6843418860808015E-13</v>
      </c>
      <c r="AJ155" s="13">
        <f>AI155*VLOOKUP('Données projet'!$B$10,Paramètres!$A$1:$I$89,3,0)*VLOOKUP('Données projet'!$B$10,Paramètres!$A$1:$I$89,5,0)</f>
        <v>3.1036506698001181E-13</v>
      </c>
      <c r="AK155" s="13">
        <f t="shared" si="164"/>
        <v>4.086682523110923E-12</v>
      </c>
      <c r="AL155" s="20">
        <f t="shared" si="165"/>
        <v>7.6581912194083782E-12</v>
      </c>
      <c r="AM155" s="59">
        <f t="shared" si="113"/>
        <v>293.33333333334099</v>
      </c>
      <c r="AN155" s="59">
        <f ca="1">AVERAGE(OFFSET($AM$3,0,0,'Données projet'!$E$10+1,1))-AVERAGE(OFFSET($H$3,0,0,'Données projet'!$E$10+1,1))</f>
        <v>248.1486444660062</v>
      </c>
      <c r="AO155" s="59">
        <f t="shared" si="144"/>
        <v>293.34458072322127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0.76036788308740744</v>
      </c>
      <c r="AV155" s="21">
        <f>EXP(-LN(2)/25)*AV154+(1-EXP(-LN(2)/25))/(LN(2)/25)*Calculateur!AQ155*Calculateur!AS155*VLOOKUP('Données projet'!$B$10,Paramètres!$A$1:$I$89,3,0)*0.475*44/12</f>
        <v>1.155937450248431</v>
      </c>
      <c r="AW155" s="21">
        <f>EXP(-LN(2)/2)*AW154+(1-EXP(-LN(2)/2))/(LN(2)/2)*AQ155*AT155*VLOOKUP('Données projet'!$B$10,Paramètres!$A$1:$I$89,3,0)*0.475*44/12</f>
        <v>1.0921136440877477E-17</v>
      </c>
      <c r="AX155" s="21">
        <f t="shared" si="166"/>
        <v>1.9163053333358384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-1.2505552149377763E-12</v>
      </c>
      <c r="O156" s="13">
        <f>N156*VLOOKUP('Données projet'!$B$9,Paramètres!$A$1:$I$89,3,0)*VLOOKUP('Données projet'!$B$9,Paramètres!$A$1:$I$89,5,0)</f>
        <v>-6.9906036515021697E-13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415.91544298418842</v>
      </c>
      <c r="T156" s="59">
        <f t="shared" si="142"/>
        <v>422.79312683312583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0.99943711155616688</v>
      </c>
      <c r="AA156" s="21">
        <f>EXP(-LN(2)/25)*AA155+(1-EXP(-LN(2)/25))/(LN(2)/25)*Calculateur!V156*Calculateur!X156*VLOOKUP('Données projet'!$B$9,Paramètres!$A$1:$I$89,3,0)*0.475*44/12</f>
        <v>1.2802936163308902</v>
      </c>
      <c r="AB156" s="21">
        <f>EXP(-LN(2)/2)*AB155+(1-EXP(-LN(2)/2))/(LN(2)/2)*V156*Y156*VLOOKUP('Données projet'!$B$9,Paramètres!$A$1:$I$89,3,0)*0.475*44/12</f>
        <v>1.1184422181733009E-17</v>
      </c>
      <c r="AC156" s="22">
        <f t="shared" si="163"/>
        <v>2.2797307278870571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5.6843418860808015E-13</v>
      </c>
      <c r="AJ156" s="13">
        <f>AI156*VLOOKUP('Données projet'!$B$10,Paramètres!$A$1:$I$89,3,0)*VLOOKUP('Données projet'!$B$10,Paramètres!$A$1:$I$89,5,0)</f>
        <v>3.1036506698001181E-13</v>
      </c>
      <c r="AK156" s="13">
        <f t="shared" si="164"/>
        <v>4.086682523110923E-12</v>
      </c>
      <c r="AL156" s="20">
        <f t="shared" si="165"/>
        <v>7.6581912194083782E-12</v>
      </c>
      <c r="AM156" s="59">
        <f t="shared" si="113"/>
        <v>293.33333333334099</v>
      </c>
      <c r="AN156" s="59">
        <f ca="1">AVERAGE(OFFSET($AM$3,0,0,'Données projet'!$E$10+1,1))-AVERAGE(OFFSET($H$3,0,0,'Données projet'!$E$10+1,1))</f>
        <v>248.1486444660062</v>
      </c>
      <c r="AO156" s="59">
        <f t="shared" si="144"/>
        <v>293.34458072322127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0.74545753267867776</v>
      </c>
      <c r="AV156" s="21">
        <f>EXP(-LN(2)/25)*AV155+(1-EXP(-LN(2)/25))/(LN(2)/25)*Calculateur!AQ156*Calculateur!AS156*VLOOKUP('Données projet'!$B$10,Paramètres!$A$1:$I$89,3,0)*0.475*44/12</f>
        <v>1.124328279883279</v>
      </c>
      <c r="AW156" s="21">
        <f>EXP(-LN(2)/2)*AW155+(1-EXP(-LN(2)/2))/(LN(2)/2)*AQ156*AT156*VLOOKUP('Données projet'!$B$10,Paramètres!$A$1:$I$89,3,0)*0.475*44/12</f>
        <v>7.7224096356079805E-18</v>
      </c>
      <c r="AX156" s="21">
        <f t="shared" si="166"/>
        <v>1.8697858125619566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-1.2505552149377763E-12</v>
      </c>
      <c r="O157" s="13">
        <f>N157*VLOOKUP('Données projet'!$B$9,Paramètres!$A$1:$I$89,3,0)*VLOOKUP('Données projet'!$B$9,Paramètres!$A$1:$I$89,5,0)</f>
        <v>-6.9906036515021697E-13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415.91544298418842</v>
      </c>
      <c r="T157" s="59">
        <f t="shared" si="142"/>
        <v>422.79312683312583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0.97983875939499587</v>
      </c>
      <c r="AA157" s="21">
        <f>EXP(-LN(2)/25)*AA156+(1-EXP(-LN(2)/25))/(LN(2)/25)*Calculateur!V157*Calculateur!X157*VLOOKUP('Données projet'!$B$9,Paramètres!$A$1:$I$89,3,0)*0.475*44/12</f>
        <v>1.2452839200646069</v>
      </c>
      <c r="AB157" s="21">
        <f>EXP(-LN(2)/2)*AB156+(1-EXP(-LN(2)/2))/(LN(2)/2)*V157*Y157*VLOOKUP('Données projet'!$B$9,Paramètres!$A$1:$I$89,3,0)*0.475*44/12</f>
        <v>7.9085807683566509E-18</v>
      </c>
      <c r="AC157" s="22">
        <f t="shared" si="163"/>
        <v>2.2251226794596026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5.6843418860808015E-13</v>
      </c>
      <c r="AJ157" s="13">
        <f>AI157*VLOOKUP('Données projet'!$B$10,Paramètres!$A$1:$I$89,3,0)*VLOOKUP('Données projet'!$B$10,Paramètres!$A$1:$I$89,5,0)</f>
        <v>3.1036506698001181E-13</v>
      </c>
      <c r="AK157" s="13">
        <f t="shared" si="164"/>
        <v>4.086682523110923E-12</v>
      </c>
      <c r="AL157" s="20">
        <f t="shared" si="165"/>
        <v>7.6581912194083782E-12</v>
      </c>
      <c r="AM157" s="59">
        <f t="shared" si="113"/>
        <v>293.33333333334099</v>
      </c>
      <c r="AN157" s="59">
        <f ca="1">AVERAGE(OFFSET($AM$3,0,0,'Données projet'!$E$10+1,1))-AVERAGE(OFFSET($H$3,0,0,'Données projet'!$E$10+1,1))</f>
        <v>248.1486444660062</v>
      </c>
      <c r="AO157" s="59">
        <f t="shared" si="144"/>
        <v>293.34458072322127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0.73083956514704751</v>
      </c>
      <c r="AV157" s="21">
        <f>EXP(-LN(2)/25)*AV156+(1-EXP(-LN(2)/25))/(LN(2)/25)*Calculateur!AQ157*Calculateur!AS157*VLOOKUP('Données projet'!$B$10,Paramètres!$A$1:$I$89,3,0)*0.475*44/12</f>
        <v>1.0935834639440161</v>
      </c>
      <c r="AW157" s="21">
        <f>EXP(-LN(2)/2)*AW156+(1-EXP(-LN(2)/2))/(LN(2)/2)*AQ157*AT157*VLOOKUP('Données projet'!$B$10,Paramètres!$A$1:$I$89,3,0)*0.475*44/12</f>
        <v>5.4605682204387385E-18</v>
      </c>
      <c r="AX157" s="21">
        <f t="shared" si="166"/>
        <v>1.8244230290910637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-1.2505552149377763E-12</v>
      </c>
      <c r="O158" s="13">
        <f>N158*VLOOKUP('Données projet'!$B$9,Paramètres!$A$1:$I$89,3,0)*VLOOKUP('Données projet'!$B$9,Paramètres!$A$1:$I$89,5,0)</f>
        <v>-6.9906036515021697E-13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415.91544298418842</v>
      </c>
      <c r="T158" s="59">
        <f t="shared" si="142"/>
        <v>422.79312683312583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0.96062471896589097</v>
      </c>
      <c r="AA158" s="21">
        <f>EXP(-LN(2)/25)*AA157+(1-EXP(-LN(2)/25))/(LN(2)/25)*Calculateur!V158*Calculateur!X158*VLOOKUP('Données projet'!$B$9,Paramètres!$A$1:$I$89,3,0)*0.475*44/12</f>
        <v>1.2112315657838049</v>
      </c>
      <c r="AB158" s="21">
        <f>EXP(-LN(2)/2)*AB157+(1-EXP(-LN(2)/2))/(LN(2)/2)*V158*Y158*VLOOKUP('Données projet'!$B$9,Paramètres!$A$1:$I$89,3,0)*0.475*44/12</f>
        <v>5.5922110908665043E-18</v>
      </c>
      <c r="AC158" s="22">
        <f t="shared" si="163"/>
        <v>2.1718562847496958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5.6843418860808015E-13</v>
      </c>
      <c r="AJ158" s="13">
        <f>AI158*VLOOKUP('Données projet'!$B$10,Paramètres!$A$1:$I$89,3,0)*VLOOKUP('Données projet'!$B$10,Paramètres!$A$1:$I$89,5,0)</f>
        <v>3.1036506698001181E-13</v>
      </c>
      <c r="AK158" s="13">
        <f t="shared" si="164"/>
        <v>4.086682523110923E-12</v>
      </c>
      <c r="AL158" s="20">
        <f t="shared" si="165"/>
        <v>7.6581912194083782E-12</v>
      </c>
      <c r="AM158" s="59">
        <f t="shared" si="113"/>
        <v>293.33333333334099</v>
      </c>
      <c r="AN158" s="59">
        <f ca="1">AVERAGE(OFFSET($AM$3,0,0,'Données projet'!$E$10+1,1))-AVERAGE(OFFSET($H$3,0,0,'Données projet'!$E$10+1,1))</f>
        <v>248.1486444660062</v>
      </c>
      <c r="AO158" s="59">
        <f t="shared" si="144"/>
        <v>293.34458072322127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0.71650824704263272</v>
      </c>
      <c r="AV158" s="21">
        <f>EXP(-LN(2)/25)*AV157+(1-EXP(-LN(2)/25))/(LN(2)/25)*Calculateur!AQ158*Calculateur!AS158*VLOOKUP('Données projet'!$B$10,Paramètres!$A$1:$I$89,3,0)*0.475*44/12</f>
        <v>1.0636793666134119</v>
      </c>
      <c r="AW158" s="21">
        <f>EXP(-LN(2)/2)*AW157+(1-EXP(-LN(2)/2))/(LN(2)/2)*AQ158*AT158*VLOOKUP('Données projet'!$B$10,Paramètres!$A$1:$I$89,3,0)*0.475*44/12</f>
        <v>3.8612048178039902E-18</v>
      </c>
      <c r="AX158" s="21">
        <f t="shared" si="166"/>
        <v>1.7801876136560446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-1.2505552149377763E-12</v>
      </c>
      <c r="O159" s="13">
        <f>N159*VLOOKUP('Données projet'!$B$9,Paramètres!$A$1:$I$89,3,0)*VLOOKUP('Données projet'!$B$9,Paramètres!$A$1:$I$89,5,0)</f>
        <v>-6.9906036515021697E-13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415.91544298418842</v>
      </c>
      <c r="T159" s="59">
        <f t="shared" si="142"/>
        <v>422.79312683312583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0.94178745415019327</v>
      </c>
      <c r="AA159" s="21">
        <f>EXP(-LN(2)/25)*AA158+(1-EXP(-LN(2)/25))/(LN(2)/25)*Calculateur!V159*Calculateur!X159*VLOOKUP('Données projet'!$B$9,Paramètres!$A$1:$I$89,3,0)*0.475*44/12</f>
        <v>1.1781103749215469</v>
      </c>
      <c r="AB159" s="21">
        <f>EXP(-LN(2)/2)*AB158+(1-EXP(-LN(2)/2))/(LN(2)/2)*V159*Y159*VLOOKUP('Données projet'!$B$9,Paramètres!$A$1:$I$89,3,0)*0.475*44/12</f>
        <v>3.9542903841783255E-18</v>
      </c>
      <c r="AC159" s="22">
        <f t="shared" si="163"/>
        <v>2.1198978290717401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5.6843418860808015E-13</v>
      </c>
      <c r="AJ159" s="13">
        <f>AI159*VLOOKUP('Données projet'!$B$10,Paramètres!$A$1:$I$89,3,0)*VLOOKUP('Données projet'!$B$10,Paramètres!$A$1:$I$89,5,0)</f>
        <v>3.1036506698001181E-13</v>
      </c>
      <c r="AK159" s="13">
        <f t="shared" si="164"/>
        <v>4.086682523110923E-12</v>
      </c>
      <c r="AL159" s="20">
        <f t="shared" si="165"/>
        <v>7.6581912194083782E-12</v>
      </c>
      <c r="AM159" s="59">
        <f t="shared" si="113"/>
        <v>293.33333333334099</v>
      </c>
      <c r="AN159" s="59">
        <f ca="1">AVERAGE(OFFSET($AM$3,0,0,'Données projet'!$E$10+1,1))-AVERAGE(OFFSET($H$3,0,0,'Données projet'!$E$10+1,1))</f>
        <v>248.1486444660062</v>
      </c>
      <c r="AO159" s="59">
        <f t="shared" si="144"/>
        <v>293.34458072322127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0.7024579573450046</v>
      </c>
      <c r="AV159" s="21">
        <f>EXP(-LN(2)/25)*AV158+(1-EXP(-LN(2)/25))/(LN(2)/25)*Calculateur!AQ159*Calculateur!AS159*VLOOKUP('Données projet'!$B$10,Paramètres!$A$1:$I$89,3,0)*0.475*44/12</f>
        <v>1.0345929983969013</v>
      </c>
      <c r="AW159" s="21">
        <f>EXP(-LN(2)/2)*AW158+(1-EXP(-LN(2)/2))/(LN(2)/2)*AQ159*AT159*VLOOKUP('Données projet'!$B$10,Paramètres!$A$1:$I$89,3,0)*0.475*44/12</f>
        <v>2.7302841102193692E-18</v>
      </c>
      <c r="AX159" s="21">
        <f t="shared" si="166"/>
        <v>1.737050955741906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-1.2505552149377763E-12</v>
      </c>
      <c r="O160" s="13">
        <f>N160*VLOOKUP('Données projet'!$B$9,Paramètres!$A$1:$I$89,3,0)*VLOOKUP('Données projet'!$B$9,Paramètres!$A$1:$I$89,5,0)</f>
        <v>-6.9906036515021697E-13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415.91544298418842</v>
      </c>
      <c r="T160" s="59">
        <f t="shared" si="142"/>
        <v>422.79312683312583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0.9233195766079344</v>
      </c>
      <c r="AA160" s="21">
        <f>EXP(-LN(2)/25)*AA159+(1-EXP(-LN(2)/25))/(LN(2)/25)*Calculateur!V160*Calculateur!X160*VLOOKUP('Données projet'!$B$9,Paramètres!$A$1:$I$89,3,0)*0.475*44/12</f>
        <v>1.1458948847651853</v>
      </c>
      <c r="AB160" s="21">
        <f>EXP(-LN(2)/2)*AB159+(1-EXP(-LN(2)/2))/(LN(2)/2)*V160*Y160*VLOOKUP('Données projet'!$B$9,Paramètres!$A$1:$I$89,3,0)*0.475*44/12</f>
        <v>2.7961055454332522E-18</v>
      </c>
      <c r="AC160" s="22">
        <f t="shared" si="163"/>
        <v>2.0692144613731198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5.6843418860808015E-13</v>
      </c>
      <c r="AJ160" s="13">
        <f>AI160*VLOOKUP('Données projet'!$B$10,Paramètres!$A$1:$I$89,3,0)*VLOOKUP('Données projet'!$B$10,Paramètres!$A$1:$I$89,5,0)</f>
        <v>3.1036506698001181E-13</v>
      </c>
      <c r="AK160" s="13">
        <f t="shared" si="164"/>
        <v>4.086682523110923E-12</v>
      </c>
      <c r="AL160" s="20">
        <f t="shared" si="165"/>
        <v>7.6581912194083782E-12</v>
      </c>
      <c r="AM160" s="59">
        <f t="shared" si="113"/>
        <v>293.33333333334099</v>
      </c>
      <c r="AN160" s="59">
        <f ca="1">AVERAGE(OFFSET($AM$3,0,0,'Données projet'!$E$10+1,1))-AVERAGE(OFFSET($H$3,0,0,'Données projet'!$E$10+1,1))</f>
        <v>248.1486444660062</v>
      </c>
      <c r="AO160" s="59">
        <f t="shared" si="144"/>
        <v>293.34458072322127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0.68868318525851646</v>
      </c>
      <c r="AV160" s="21">
        <f>EXP(-LN(2)/25)*AV159+(1-EXP(-LN(2)/25))/(LN(2)/25)*Calculateur!AQ160*Calculateur!AS160*VLOOKUP('Données projet'!$B$10,Paramètres!$A$1:$I$89,3,0)*0.475*44/12</f>
        <v>1.0063019984488568</v>
      </c>
      <c r="AW160" s="21">
        <f>EXP(-LN(2)/2)*AW159+(1-EXP(-LN(2)/2))/(LN(2)/2)*AQ160*AT160*VLOOKUP('Données projet'!$B$10,Paramètres!$A$1:$I$89,3,0)*0.475*44/12</f>
        <v>1.9306024089019951E-18</v>
      </c>
      <c r="AX160" s="21">
        <f t="shared" si="166"/>
        <v>1.6949851837073733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-1.2505552149377763E-12</v>
      </c>
      <c r="O161" s="13">
        <f>N161*VLOOKUP('Données projet'!$B$9,Paramètres!$A$1:$I$89,3,0)*VLOOKUP('Données projet'!$B$9,Paramètres!$A$1:$I$89,5,0)</f>
        <v>-6.9906036515021697E-13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415.91544298418842</v>
      </c>
      <c r="T161" s="59">
        <f t="shared" si="142"/>
        <v>422.79312683312583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0.90521384287998619</v>
      </c>
      <c r="AA161" s="21">
        <f>EXP(-LN(2)/25)*AA160+(1-EXP(-LN(2)/25))/(LN(2)/25)*Calculateur!V161*Calculateur!X161*VLOOKUP('Données projet'!$B$9,Paramètres!$A$1:$I$89,3,0)*0.475*44/12</f>
        <v>1.1145603288812882</v>
      </c>
      <c r="AB161" s="21">
        <f>EXP(-LN(2)/2)*AB160+(1-EXP(-LN(2)/2))/(LN(2)/2)*V161*Y161*VLOOKUP('Données projet'!$B$9,Paramètres!$A$1:$I$89,3,0)*0.475*44/12</f>
        <v>1.9771451920891627E-18</v>
      </c>
      <c r="AC161" s="22">
        <f t="shared" si="163"/>
        <v>2.0197741717612745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5.6843418860808015E-13</v>
      </c>
      <c r="AJ161" s="13">
        <f>AI161*VLOOKUP('Données projet'!$B$10,Paramètres!$A$1:$I$89,3,0)*VLOOKUP('Données projet'!$B$10,Paramètres!$A$1:$I$89,5,0)</f>
        <v>3.1036506698001181E-13</v>
      </c>
      <c r="AK161" s="13">
        <f t="shared" si="164"/>
        <v>4.086682523110923E-12</v>
      </c>
      <c r="AL161" s="20">
        <f t="shared" si="165"/>
        <v>7.6581912194083782E-12</v>
      </c>
      <c r="AM161" s="59">
        <f t="shared" si="113"/>
        <v>293.33333333334099</v>
      </c>
      <c r="AN161" s="59">
        <f ca="1">AVERAGE(OFFSET($AM$3,0,0,'Données projet'!$E$10+1,1))-AVERAGE(OFFSET($H$3,0,0,'Données projet'!$E$10+1,1))</f>
        <v>248.1486444660062</v>
      </c>
      <c r="AO161" s="59">
        <f t="shared" si="144"/>
        <v>293.34458072322127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0.67517852805086298</v>
      </c>
      <c r="AV161" s="21">
        <f>EXP(-LN(2)/25)*AV160+(1-EXP(-LN(2)/25))/(LN(2)/25)*Calculateur!AQ161*Calculateur!AS161*VLOOKUP('Données projet'!$B$10,Paramètres!$A$1:$I$89,3,0)*0.475*44/12</f>
        <v>0.97878461738215061</v>
      </c>
      <c r="AW161" s="21">
        <f>EXP(-LN(2)/2)*AW160+(1-EXP(-LN(2)/2))/(LN(2)/2)*AQ161*AT161*VLOOKUP('Données projet'!$B$10,Paramètres!$A$1:$I$89,3,0)*0.475*44/12</f>
        <v>1.3651420551096846E-18</v>
      </c>
      <c r="AX161" s="21">
        <f t="shared" si="166"/>
        <v>1.6539631454330137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-1.2505552149377763E-12</v>
      </c>
      <c r="O162" s="13">
        <f>N162*VLOOKUP('Données projet'!$B$9,Paramètres!$A$1:$I$89,3,0)*VLOOKUP('Données projet'!$B$9,Paramètres!$A$1:$I$89,5,0)</f>
        <v>-6.9906036515021697E-13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415.91544298418842</v>
      </c>
      <c r="T162" s="59">
        <f t="shared" si="142"/>
        <v>422.79312683312583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0.88746315154703592</v>
      </c>
      <c r="AA162" s="21">
        <f>EXP(-LN(2)/25)*AA161+(1-EXP(-LN(2)/25))/(LN(2)/25)*Calculateur!V162*Calculateur!X162*VLOOKUP('Données projet'!$B$9,Paramètres!$A$1:$I$89,3,0)*0.475*44/12</f>
        <v>1.0840826180758489</v>
      </c>
      <c r="AB162" s="21">
        <f>EXP(-LN(2)/2)*AB161+(1-EXP(-LN(2)/2))/(LN(2)/2)*V162*Y162*VLOOKUP('Données projet'!$B$9,Paramètres!$A$1:$I$89,3,0)*0.475*44/12</f>
        <v>1.3980527727166261E-18</v>
      </c>
      <c r="AC162" s="22">
        <f t="shared" si="163"/>
        <v>1.9715457696228849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5.6843418860808015E-13</v>
      </c>
      <c r="AJ162" s="13">
        <f>AI162*VLOOKUP('Données projet'!$B$10,Paramètres!$A$1:$I$89,3,0)*VLOOKUP('Données projet'!$B$10,Paramètres!$A$1:$I$89,5,0)</f>
        <v>3.1036506698001181E-13</v>
      </c>
      <c r="AK162" s="13">
        <f t="shared" si="164"/>
        <v>4.086682523110923E-12</v>
      </c>
      <c r="AL162" s="20">
        <f t="shared" si="165"/>
        <v>7.6581912194083782E-12</v>
      </c>
      <c r="AM162" s="59">
        <f t="shared" si="113"/>
        <v>293.33333333334099</v>
      </c>
      <c r="AN162" s="59">
        <f ca="1">AVERAGE(OFFSET($AM$3,0,0,'Données projet'!$E$10+1,1))-AVERAGE(OFFSET($H$3,0,0,'Données projet'!$E$10+1,1))</f>
        <v>248.1486444660062</v>
      </c>
      <c r="AO162" s="59">
        <f t="shared" si="144"/>
        <v>293.34458072322127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0.66193868893402397</v>
      </c>
      <c r="AV162" s="21">
        <f>EXP(-LN(2)/25)*AV161+(1-EXP(-LN(2)/25))/(LN(2)/25)*Calculateur!AQ162*Calculateur!AS162*VLOOKUP('Données projet'!$B$10,Paramètres!$A$1:$I$89,3,0)*0.475*44/12</f>
        <v>0.95201970054778973</v>
      </c>
      <c r="AW162" s="21">
        <f>EXP(-LN(2)/2)*AW161+(1-EXP(-LN(2)/2))/(LN(2)/2)*AQ162*AT162*VLOOKUP('Données projet'!$B$10,Paramètres!$A$1:$I$89,3,0)*0.475*44/12</f>
        <v>9.6530120445099756E-19</v>
      </c>
      <c r="AX162" s="21">
        <f t="shared" si="166"/>
        <v>1.6139583894818137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-1.2505552149377763E-12</v>
      </c>
      <c r="O163" s="13">
        <f>N163*VLOOKUP('Données projet'!$B$9,Paramètres!$A$1:$I$89,3,0)*VLOOKUP('Données projet'!$B$9,Paramètres!$A$1:$I$89,5,0)</f>
        <v>-6.9906036515021697E-13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415.91544298418842</v>
      </c>
      <c r="T163" s="59">
        <f t="shared" si="142"/>
        <v>422.79312683312583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0.87006054044427217</v>
      </c>
      <c r="AA163" s="21">
        <f>EXP(-LN(2)/25)*AA162+(1-EXP(-LN(2)/25))/(LN(2)/25)*Calculateur!V163*Calculateur!X163*VLOOKUP('Données projet'!$B$9,Paramètres!$A$1:$I$89,3,0)*0.475*44/12</f>
        <v>1.0544383218751376</v>
      </c>
      <c r="AB163" s="21">
        <f>EXP(-LN(2)/2)*AB162+(1-EXP(-LN(2)/2))/(LN(2)/2)*V163*Y163*VLOOKUP('Données projet'!$B$9,Paramètres!$A$1:$I$89,3,0)*0.475*44/12</f>
        <v>9.8857259604458137E-19</v>
      </c>
      <c r="AC163" s="22">
        <f t="shared" si="163"/>
        <v>1.9244988623194099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5.6843418860808015E-13</v>
      </c>
      <c r="AJ163" s="13">
        <f>AI163*VLOOKUP('Données projet'!$B$10,Paramètres!$A$1:$I$89,3,0)*VLOOKUP('Données projet'!$B$10,Paramètres!$A$1:$I$89,5,0)</f>
        <v>3.1036506698001181E-13</v>
      </c>
      <c r="AK163" s="13">
        <f t="shared" si="164"/>
        <v>4.086682523110923E-12</v>
      </c>
      <c r="AL163" s="20">
        <f t="shared" si="165"/>
        <v>7.6581912194083782E-12</v>
      </c>
      <c r="AM163" s="59">
        <f t="shared" si="113"/>
        <v>293.33333333334099</v>
      </c>
      <c r="AN163" s="59">
        <f ca="1">AVERAGE(OFFSET($AM$3,0,0,'Données projet'!$E$10+1,1))-AVERAGE(OFFSET($H$3,0,0,'Données projet'!$E$10+1,1))</f>
        <v>248.1486444660062</v>
      </c>
      <c r="AO163" s="59">
        <f t="shared" si="144"/>
        <v>293.34458072322127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0.64895847498676174</v>
      </c>
      <c r="AV163" s="21">
        <f>EXP(-LN(2)/25)*AV162+(1-EXP(-LN(2)/25))/(LN(2)/25)*Calculateur!AQ163*Calculateur!AS163*VLOOKUP('Données projet'!$B$10,Paramètres!$A$1:$I$89,3,0)*0.475*44/12</f>
        <v>0.92598667177177019</v>
      </c>
      <c r="AW163" s="21">
        <f>EXP(-LN(2)/2)*AW162+(1-EXP(-LN(2)/2))/(LN(2)/2)*AQ163*AT163*VLOOKUP('Données projet'!$B$10,Paramètres!$A$1:$I$89,3,0)*0.475*44/12</f>
        <v>6.8257102755484231E-19</v>
      </c>
      <c r="AX163" s="21">
        <f t="shared" si="166"/>
        <v>1.574945146758532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-1.2505552149377763E-12</v>
      </c>
      <c r="O164" s="13">
        <f>N164*VLOOKUP('Données projet'!$B$9,Paramètres!$A$1:$I$89,3,0)*VLOOKUP('Données projet'!$B$9,Paramètres!$A$1:$I$89,5,0)</f>
        <v>-6.9906036515021697E-13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415.91544298418842</v>
      </c>
      <c r="T164" s="59">
        <f t="shared" si="142"/>
        <v>422.79312683312583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0.85299918393068896</v>
      </c>
      <c r="AA164" s="21">
        <f>EXP(-LN(2)/25)*AA163+(1-EXP(-LN(2)/25))/(LN(2)/25)*Calculateur!V164*Calculateur!X164*VLOOKUP('Données projet'!$B$9,Paramètres!$A$1:$I$89,3,0)*0.475*44/12</f>
        <v>1.0256046505129606</v>
      </c>
      <c r="AB164" s="21">
        <f>EXP(-LN(2)/2)*AB163+(1-EXP(-LN(2)/2))/(LN(2)/2)*V164*Y164*VLOOKUP('Données projet'!$B$9,Paramètres!$A$1:$I$89,3,0)*0.475*44/12</f>
        <v>6.9902638635831304E-19</v>
      </c>
      <c r="AC164" s="22">
        <f t="shared" si="163"/>
        <v>1.8786038344436495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5.6843418860808015E-13</v>
      </c>
      <c r="AJ164" s="13">
        <f>AI164*VLOOKUP('Données projet'!$B$10,Paramètres!$A$1:$I$89,3,0)*VLOOKUP('Données projet'!$B$10,Paramètres!$A$1:$I$89,5,0)</f>
        <v>3.1036506698001181E-13</v>
      </c>
      <c r="AK164" s="13">
        <f t="shared" si="164"/>
        <v>4.086682523110923E-12</v>
      </c>
      <c r="AL164" s="20">
        <f t="shared" si="165"/>
        <v>7.6581912194083782E-12</v>
      </c>
      <c r="AM164" s="59">
        <f t="shared" si="113"/>
        <v>293.33333333334099</v>
      </c>
      <c r="AN164" s="59">
        <f ca="1">AVERAGE(OFFSET($AM$3,0,0,'Données projet'!$E$10+1,1))-AVERAGE(OFFSET($H$3,0,0,'Données projet'!$E$10+1,1))</f>
        <v>248.1486444660062</v>
      </c>
      <c r="AO164" s="59">
        <f t="shared" si="144"/>
        <v>293.34458072322127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0.63623279511785658</v>
      </c>
      <c r="AV164" s="21">
        <f>EXP(-LN(2)/25)*AV163+(1-EXP(-LN(2)/25))/(LN(2)/25)*Calculateur!AQ164*Calculateur!AS164*VLOOKUP('Données projet'!$B$10,Paramètres!$A$1:$I$89,3,0)*0.475*44/12</f>
        <v>0.90066551753664847</v>
      </c>
      <c r="AW164" s="21">
        <f>EXP(-LN(2)/2)*AW163+(1-EXP(-LN(2)/2))/(LN(2)/2)*AQ164*AT164*VLOOKUP('Données projet'!$B$10,Paramètres!$A$1:$I$89,3,0)*0.475*44/12</f>
        <v>4.8265060222549878E-19</v>
      </c>
      <c r="AX164" s="21">
        <f t="shared" si="166"/>
        <v>1.536898312654505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-1.2505552149377763E-12</v>
      </c>
      <c r="O165" s="13">
        <f>N165*VLOOKUP('Données projet'!$B$9,Paramètres!$A$1:$I$89,3,0)*VLOOKUP('Données projet'!$B$9,Paramètres!$A$1:$I$89,5,0)</f>
        <v>-6.9906036515021697E-13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415.91544298418842</v>
      </c>
      <c r="T165" s="59">
        <f t="shared" si="142"/>
        <v>422.79312683312583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0.83627239021193711</v>
      </c>
      <c r="AA165" s="21">
        <f>EXP(-LN(2)/25)*AA164+(1-EXP(-LN(2)/25))/(LN(2)/25)*Calculateur!V165*Calculateur!X165*VLOOKUP('Données projet'!$B$9,Paramètres!$A$1:$I$89,3,0)*0.475*44/12</f>
        <v>0.99755943741047914</v>
      </c>
      <c r="AB165" s="21">
        <f>EXP(-LN(2)/2)*AB164+(1-EXP(-LN(2)/2))/(LN(2)/2)*V165*Y165*VLOOKUP('Données projet'!$B$9,Paramètres!$A$1:$I$89,3,0)*0.475*44/12</f>
        <v>4.9428629802229068E-19</v>
      </c>
      <c r="AC165" s="22">
        <f t="shared" si="163"/>
        <v>1.8338318276224164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5.6843418860808015E-13</v>
      </c>
      <c r="AJ165" s="13">
        <f>AI165*VLOOKUP('Données projet'!$B$10,Paramètres!$A$1:$I$89,3,0)*VLOOKUP('Données projet'!$B$10,Paramètres!$A$1:$I$89,5,0)</f>
        <v>3.1036506698001181E-13</v>
      </c>
      <c r="AK165" s="13">
        <f t="shared" si="164"/>
        <v>4.086682523110923E-12</v>
      </c>
      <c r="AL165" s="20">
        <f t="shared" si="165"/>
        <v>7.6581912194083782E-12</v>
      </c>
      <c r="AM165" s="59">
        <f t="shared" si="113"/>
        <v>293.33333333334099</v>
      </c>
      <c r="AN165" s="59">
        <f ca="1">AVERAGE(OFFSET($AM$3,0,0,'Données projet'!$E$10+1,1))-AVERAGE(OFFSET($H$3,0,0,'Données projet'!$E$10+1,1))</f>
        <v>248.1486444660062</v>
      </c>
      <c r="AO165" s="59">
        <f t="shared" si="144"/>
        <v>293.34458072322127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0.62375665806928238</v>
      </c>
      <c r="AV165" s="21">
        <f>EXP(-LN(2)/25)*AV164+(1-EXP(-LN(2)/25))/(LN(2)/25)*Calculateur!AQ165*Calculateur!AS165*VLOOKUP('Données projet'!$B$10,Paramètres!$A$1:$I$89,3,0)*0.475*44/12</f>
        <v>0.87603677159566773</v>
      </c>
      <c r="AW165" s="21">
        <f>EXP(-LN(2)/2)*AW164+(1-EXP(-LN(2)/2))/(LN(2)/2)*AQ165*AT165*VLOOKUP('Données projet'!$B$10,Paramètres!$A$1:$I$89,3,0)*0.475*44/12</f>
        <v>3.4128551377742116E-19</v>
      </c>
      <c r="AX165" s="21">
        <f t="shared" si="166"/>
        <v>1.4997934296649502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-1.2505552149377763E-12</v>
      </c>
      <c r="O166" s="13">
        <f>N166*VLOOKUP('Données projet'!$B$9,Paramètres!$A$1:$I$89,3,0)*VLOOKUP('Données projet'!$B$9,Paramètres!$A$1:$I$89,5,0)</f>
        <v>-6.9906036515021697E-13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415.91544298418842</v>
      </c>
      <c r="T166" s="59">
        <f t="shared" si="142"/>
        <v>422.79312683312583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0.81987359871567322</v>
      </c>
      <c r="AA166" s="21">
        <f>EXP(-LN(2)/25)*AA165+(1-EXP(-LN(2)/25))/(LN(2)/25)*Calculateur!V166*Calculateur!X166*VLOOKUP('Données projet'!$B$9,Paramètres!$A$1:$I$89,3,0)*0.475*44/12</f>
        <v>0.97028112213511875</v>
      </c>
      <c r="AB166" s="21">
        <f>EXP(-LN(2)/2)*AB165+(1-EXP(-LN(2)/2))/(LN(2)/2)*V166*Y166*VLOOKUP('Données projet'!$B$9,Paramètres!$A$1:$I$89,3,0)*0.475*44/12</f>
        <v>3.4951319317915652E-19</v>
      </c>
      <c r="AC166" s="22">
        <f t="shared" si="163"/>
        <v>1.790154720850792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5.6843418860808015E-13</v>
      </c>
      <c r="AJ166" s="13">
        <f>AI166*VLOOKUP('Données projet'!$B$10,Paramètres!$A$1:$I$89,3,0)*VLOOKUP('Données projet'!$B$10,Paramètres!$A$1:$I$89,5,0)</f>
        <v>3.1036506698001181E-13</v>
      </c>
      <c r="AK166" s="13">
        <f t="shared" si="164"/>
        <v>4.086682523110923E-12</v>
      </c>
      <c r="AL166" s="20">
        <f t="shared" si="165"/>
        <v>7.6581912194083782E-12</v>
      </c>
      <c r="AM166" s="59">
        <f t="shared" si="113"/>
        <v>293.33333333334099</v>
      </c>
      <c r="AN166" s="59">
        <f ca="1">AVERAGE(OFFSET($AM$3,0,0,'Données projet'!$E$10+1,1))-AVERAGE(OFFSET($H$3,0,0,'Données projet'!$E$10+1,1))</f>
        <v>248.1486444660062</v>
      </c>
      <c r="AO166" s="59">
        <f t="shared" si="144"/>
        <v>293.34458072322127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0.61152517045853849</v>
      </c>
      <c r="AV166" s="21">
        <f>EXP(-LN(2)/25)*AV165+(1-EXP(-LN(2)/25))/(LN(2)/25)*Calculateur!AQ166*Calculateur!AS166*VLOOKUP('Données projet'!$B$10,Paramètres!$A$1:$I$89,3,0)*0.475*44/12</f>
        <v>0.85208150000761262</v>
      </c>
      <c r="AW166" s="21">
        <f>EXP(-LN(2)/2)*AW165+(1-EXP(-LN(2)/2))/(LN(2)/2)*AQ166*AT166*VLOOKUP('Données projet'!$B$10,Paramètres!$A$1:$I$89,3,0)*0.475*44/12</f>
        <v>2.4132530111274939E-19</v>
      </c>
      <c r="AX166" s="21">
        <f t="shared" si="166"/>
        <v>1.463606670466151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-1.2505552149377763E-12</v>
      </c>
      <c r="O167" s="13">
        <f>N167*VLOOKUP('Données projet'!$B$9,Paramètres!$A$1:$I$89,3,0)*VLOOKUP('Données projet'!$B$9,Paramètres!$A$1:$I$89,5,0)</f>
        <v>-6.9906036515021697E-13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415.91544298418842</v>
      </c>
      <c r="T167" s="59">
        <f t="shared" si="142"/>
        <v>422.79312683312583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0.80379637751837596</v>
      </c>
      <c r="AA167" s="21">
        <f>EXP(-LN(2)/25)*AA166+(1-EXP(-LN(2)/25))/(LN(2)/25)*Calculateur!V167*Calculateur!X167*VLOOKUP('Données projet'!$B$9,Paramètres!$A$1:$I$89,3,0)*0.475*44/12</f>
        <v>0.94374873382546731</v>
      </c>
      <c r="AB167" s="21">
        <f>EXP(-LN(2)/2)*AB166+(1-EXP(-LN(2)/2))/(LN(2)/2)*V167*Y167*VLOOKUP('Données projet'!$B$9,Paramètres!$A$1:$I$89,3,0)*0.475*44/12</f>
        <v>2.4714314901114534E-19</v>
      </c>
      <c r="AC167" s="22">
        <f t="shared" si="163"/>
        <v>1.7475451113438432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5.6843418860808015E-13</v>
      </c>
      <c r="AJ167" s="13">
        <f>AI167*VLOOKUP('Données projet'!$B$10,Paramètres!$A$1:$I$89,3,0)*VLOOKUP('Données projet'!$B$10,Paramètres!$A$1:$I$89,5,0)</f>
        <v>3.1036506698001181E-13</v>
      </c>
      <c r="AK167" s="13">
        <f t="shared" si="164"/>
        <v>4.086682523110923E-12</v>
      </c>
      <c r="AL167" s="20">
        <f t="shared" si="165"/>
        <v>7.6581912194083782E-12</v>
      </c>
      <c r="AM167" s="59">
        <f t="shared" si="113"/>
        <v>293.33333333334099</v>
      </c>
      <c r="AN167" s="59">
        <f ca="1">AVERAGE(OFFSET($AM$3,0,0,'Données projet'!$E$10+1,1))-AVERAGE(OFFSET($H$3,0,0,'Données projet'!$E$10+1,1))</f>
        <v>248.1486444660062</v>
      </c>
      <c r="AO167" s="59">
        <f t="shared" si="144"/>
        <v>293.34458072322127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0.59953353485937044</v>
      </c>
      <c r="AV167" s="21">
        <f>EXP(-LN(2)/25)*AV166+(1-EXP(-LN(2)/25))/(LN(2)/25)*Calculateur!AQ167*Calculateur!AS167*VLOOKUP('Données projet'!$B$10,Paramètres!$A$1:$I$89,3,0)*0.475*44/12</f>
        <v>0.82878128658088579</v>
      </c>
      <c r="AW167" s="21">
        <f>EXP(-LN(2)/2)*AW166+(1-EXP(-LN(2)/2))/(LN(2)/2)*AQ167*AT167*VLOOKUP('Données projet'!$B$10,Paramètres!$A$1:$I$89,3,0)*0.475*44/12</f>
        <v>1.7064275688871058E-19</v>
      </c>
      <c r="AX167" s="21">
        <f t="shared" si="166"/>
        <v>1.4283148214402561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-1.2505552149377763E-12</v>
      </c>
      <c r="O168" s="13">
        <f>N168*VLOOKUP('Données projet'!$B$9,Paramètres!$A$1:$I$89,3,0)*VLOOKUP('Données projet'!$B$9,Paramètres!$A$1:$I$89,5,0)</f>
        <v>-6.9906036515021697E-13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415.91544298418842</v>
      </c>
      <c r="T168" s="59">
        <f t="shared" si="142"/>
        <v>422.79312683312583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0.78803442082262098</v>
      </c>
      <c r="AA168" s="21">
        <f>EXP(-LN(2)/25)*AA167+(1-EXP(-LN(2)/25))/(LN(2)/25)*Calculateur!V168*Calculateur!X168*VLOOKUP('Données projet'!$B$9,Paramètres!$A$1:$I$89,3,0)*0.475*44/12</f>
        <v>0.91794187506942093</v>
      </c>
      <c r="AB168" s="21">
        <f>EXP(-LN(2)/2)*AB167+(1-EXP(-LN(2)/2))/(LN(2)/2)*V168*Y168*VLOOKUP('Données projet'!$B$9,Paramètres!$A$1:$I$89,3,0)*0.475*44/12</f>
        <v>1.7475659658957826E-19</v>
      </c>
      <c r="AC168" s="22">
        <f t="shared" si="163"/>
        <v>1.7059762958920419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5.6843418860808015E-13</v>
      </c>
      <c r="AJ168" s="13">
        <f>AI168*VLOOKUP('Données projet'!$B$10,Paramètres!$A$1:$I$89,3,0)*VLOOKUP('Données projet'!$B$10,Paramètres!$A$1:$I$89,5,0)</f>
        <v>3.1036506698001181E-13</v>
      </c>
      <c r="AK168" s="13">
        <f t="shared" si="164"/>
        <v>4.086682523110923E-12</v>
      </c>
      <c r="AL168" s="20">
        <f t="shared" si="165"/>
        <v>7.6581912194083782E-12</v>
      </c>
      <c r="AM168" s="59">
        <f t="shared" si="113"/>
        <v>293.33333333334099</v>
      </c>
      <c r="AN168" s="59">
        <f ca="1">AVERAGE(OFFSET($AM$3,0,0,'Données projet'!$E$10+1,1))-AVERAGE(OFFSET($H$3,0,0,'Données projet'!$E$10+1,1))</f>
        <v>248.1486444660062</v>
      </c>
      <c r="AO168" s="59">
        <f t="shared" si="144"/>
        <v>293.34458072322127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0.58777704792012664</v>
      </c>
      <c r="AV168" s="21">
        <f>EXP(-LN(2)/25)*AV167+(1-EXP(-LN(2)/25))/(LN(2)/25)*Calculateur!AQ168*Calculateur!AS168*VLOOKUP('Données projet'!$B$10,Paramètres!$A$1:$I$89,3,0)*0.475*44/12</f>
        <v>0.80611821871561784</v>
      </c>
      <c r="AW168" s="21">
        <f>EXP(-LN(2)/2)*AW167+(1-EXP(-LN(2)/2))/(LN(2)/2)*AQ168*AT168*VLOOKUP('Données projet'!$B$10,Paramètres!$A$1:$I$89,3,0)*0.475*44/12</f>
        <v>1.206626505563747E-19</v>
      </c>
      <c r="AX168" s="21">
        <f t="shared" si="166"/>
        <v>1.3938952666357445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-1.2505552149377763E-12</v>
      </c>
      <c r="O169" s="13">
        <f>N169*VLOOKUP('Données projet'!$B$9,Paramètres!$A$1:$I$89,3,0)*VLOOKUP('Données projet'!$B$9,Paramètres!$A$1:$I$89,5,0)</f>
        <v>-6.9906036515021697E-13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415.91544298418842</v>
      </c>
      <c r="T169" s="59">
        <f t="shared" si="142"/>
        <v>422.79312683312583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0.77258154648382549</v>
      </c>
      <c r="AA169" s="21">
        <f>EXP(-LN(2)/25)*AA168+(1-EXP(-LN(2)/25))/(LN(2)/25)*Calculateur!V169*Calculateur!X169*VLOOKUP('Données projet'!$B$9,Paramètres!$A$1:$I$89,3,0)*0.475*44/12</f>
        <v>0.89284070622318235</v>
      </c>
      <c r="AB169" s="21">
        <f>EXP(-LN(2)/2)*AB168+(1-EXP(-LN(2)/2))/(LN(2)/2)*V169*Y169*VLOOKUP('Données projet'!$B$9,Paramètres!$A$1:$I$89,3,0)*0.475*44/12</f>
        <v>1.2357157450557267E-19</v>
      </c>
      <c r="AC169" s="22">
        <f t="shared" si="163"/>
        <v>1.6654222527070077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5.6843418860808015E-13</v>
      </c>
      <c r="AJ169" s="13">
        <f>AI169*VLOOKUP('Données projet'!$B$10,Paramètres!$A$1:$I$89,3,0)*VLOOKUP('Données projet'!$B$10,Paramètres!$A$1:$I$89,5,0)</f>
        <v>3.1036506698001181E-13</v>
      </c>
      <c r="AK169" s="13">
        <f t="shared" si="164"/>
        <v>4.086682523110923E-12</v>
      </c>
      <c r="AL169" s="20">
        <f t="shared" si="165"/>
        <v>7.6581912194083782E-12</v>
      </c>
      <c r="AM169" s="59">
        <f t="shared" si="113"/>
        <v>293.33333333334099</v>
      </c>
      <c r="AN169" s="59">
        <f ca="1">AVERAGE(OFFSET($AM$3,0,0,'Données projet'!$E$10+1,1))-AVERAGE(OFFSET($H$3,0,0,'Données projet'!$E$10+1,1))</f>
        <v>248.1486444660062</v>
      </c>
      <c r="AO169" s="59">
        <f t="shared" si="144"/>
        <v>293.34458072322127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0.57625109851901235</v>
      </c>
      <c r="AV169" s="21">
        <f>EXP(-LN(2)/25)*AV168+(1-EXP(-LN(2)/25))/(LN(2)/25)*Calculateur!AQ169*Calculateur!AS169*VLOOKUP('Données projet'!$B$10,Paramètres!$A$1:$I$89,3,0)*0.475*44/12</f>
        <v>0.78407487363292461</v>
      </c>
      <c r="AW169" s="21">
        <f>EXP(-LN(2)/2)*AW168+(1-EXP(-LN(2)/2))/(LN(2)/2)*AQ169*AT169*VLOOKUP('Données projet'!$B$10,Paramètres!$A$1:$I$89,3,0)*0.475*44/12</f>
        <v>8.5321378444355289E-20</v>
      </c>
      <c r="AX169" s="21">
        <f t="shared" si="166"/>
        <v>1.360325972151937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-1.2505552149377763E-12</v>
      </c>
      <c r="O170" s="13">
        <f>N170*VLOOKUP('Données projet'!$B$9,Paramètres!$A$1:$I$89,3,0)*VLOOKUP('Données projet'!$B$9,Paramètres!$A$1:$I$89,5,0)</f>
        <v>-6.9906036515021697E-13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415.91544298418842</v>
      </c>
      <c r="T170" s="59">
        <f t="shared" si="142"/>
        <v>422.79312683312583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0.75743169358549112</v>
      </c>
      <c r="AA170" s="21">
        <f>EXP(-LN(2)/25)*AA169+(1-EXP(-LN(2)/25))/(LN(2)/25)*Calculateur!V170*Calculateur!X170*VLOOKUP('Données projet'!$B$9,Paramètres!$A$1:$I$89,3,0)*0.475*44/12</f>
        <v>0.86842593015905734</v>
      </c>
      <c r="AB170" s="21">
        <f>EXP(-LN(2)/2)*AB169+(1-EXP(-LN(2)/2))/(LN(2)/2)*V170*Y170*VLOOKUP('Données projet'!$B$9,Paramètres!$A$1:$I$89,3,0)*0.475*44/12</f>
        <v>8.737829829478913E-20</v>
      </c>
      <c r="AC170" s="22">
        <f t="shared" si="163"/>
        <v>1.6258576237445483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5.6843418860808015E-13</v>
      </c>
      <c r="AJ170" s="13">
        <f>AI170*VLOOKUP('Données projet'!$B$10,Paramètres!$A$1:$I$89,3,0)*VLOOKUP('Données projet'!$B$10,Paramètres!$A$1:$I$89,5,0)</f>
        <v>3.1036506698001181E-13</v>
      </c>
      <c r="AK170" s="13">
        <f t="shared" si="164"/>
        <v>4.086682523110923E-12</v>
      </c>
      <c r="AL170" s="20">
        <f t="shared" si="165"/>
        <v>7.6581912194083782E-12</v>
      </c>
      <c r="AM170" s="59">
        <f t="shared" si="113"/>
        <v>293.33333333334099</v>
      </c>
      <c r="AN170" s="59">
        <f ca="1">AVERAGE(OFFSET($AM$3,0,0,'Données projet'!$E$10+1,1))-AVERAGE(OFFSET($H$3,0,0,'Données projet'!$E$10+1,1))</f>
        <v>248.1486444660062</v>
      </c>
      <c r="AO170" s="59">
        <f t="shared" si="144"/>
        <v>293.34458072322127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0.56495116595551897</v>
      </c>
      <c r="AV170" s="21">
        <f>EXP(-LN(2)/25)*AV169+(1-EXP(-LN(2)/25))/(LN(2)/25)*Calculateur!AQ170*Calculateur!AS170*VLOOKUP('Données projet'!$B$10,Paramètres!$A$1:$I$89,3,0)*0.475*44/12</f>
        <v>0.76263430498072671</v>
      </c>
      <c r="AW170" s="21">
        <f>EXP(-LN(2)/2)*AW169+(1-EXP(-LN(2)/2))/(LN(2)/2)*AQ170*AT170*VLOOKUP('Données projet'!$B$10,Paramètres!$A$1:$I$89,3,0)*0.475*44/12</f>
        <v>6.0331325278187348E-20</v>
      </c>
      <c r="AX170" s="21">
        <f t="shared" si="166"/>
        <v>1.3275854709362456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-1.2505552149377763E-12</v>
      </c>
      <c r="O171" s="13">
        <f>N171*VLOOKUP('Données projet'!$B$9,Paramètres!$A$1:$I$89,3,0)*VLOOKUP('Données projet'!$B$9,Paramètres!$A$1:$I$89,5,0)</f>
        <v>-6.9906036515021697E-13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415.91544298418842</v>
      </c>
      <c r="T171" s="59">
        <f t="shared" si="142"/>
        <v>422.79312683312583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0.74257892006199522</v>
      </c>
      <c r="AA171" s="21">
        <f>EXP(-LN(2)/25)*AA170+(1-EXP(-LN(2)/25))/(LN(2)/25)*Calculateur!V171*Calculateur!X171*VLOOKUP('Données projet'!$B$9,Paramètres!$A$1:$I$89,3,0)*0.475*44/12</f>
        <v>0.84467877743032305</v>
      </c>
      <c r="AB171" s="21">
        <f>EXP(-LN(2)/2)*AB170+(1-EXP(-LN(2)/2))/(LN(2)/2)*V171*Y171*VLOOKUP('Données projet'!$B$9,Paramètres!$A$1:$I$89,3,0)*0.475*44/12</f>
        <v>6.1785787252786335E-20</v>
      </c>
      <c r="AC171" s="22">
        <f t="shared" si="163"/>
        <v>1.5872576974923183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5.6843418860808015E-13</v>
      </c>
      <c r="AJ171" s="13">
        <f>AI171*VLOOKUP('Données projet'!$B$10,Paramètres!$A$1:$I$89,3,0)*VLOOKUP('Données projet'!$B$10,Paramètres!$A$1:$I$89,5,0)</f>
        <v>3.1036506698001181E-13</v>
      </c>
      <c r="AK171" s="13">
        <f t="shared" si="164"/>
        <v>4.086682523110923E-12</v>
      </c>
      <c r="AL171" s="20">
        <f t="shared" si="165"/>
        <v>7.6581912194083782E-12</v>
      </c>
      <c r="AM171" s="59">
        <f t="shared" si="113"/>
        <v>293.33333333334099</v>
      </c>
      <c r="AN171" s="59">
        <f ca="1">AVERAGE(OFFSET($AM$3,0,0,'Données projet'!$E$10+1,1))-AVERAGE(OFFSET($H$3,0,0,'Données projet'!$E$10+1,1))</f>
        <v>248.1486444660062</v>
      </c>
      <c r="AO171" s="59">
        <f t="shared" si="144"/>
        <v>293.34458072322127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0.55387281817731737</v>
      </c>
      <c r="AV171" s="21">
        <f>EXP(-LN(2)/25)*AV170+(1-EXP(-LN(2)/25))/(LN(2)/25)*Calculateur!AQ171*Calculateur!AS171*VLOOKUP('Données projet'!$B$10,Paramètres!$A$1:$I$89,3,0)*0.475*44/12</f>
        <v>0.74178002980583368</v>
      </c>
      <c r="AW171" s="21">
        <f>EXP(-LN(2)/2)*AW170+(1-EXP(-LN(2)/2))/(LN(2)/2)*AQ171*AT171*VLOOKUP('Données projet'!$B$10,Paramètres!$A$1:$I$89,3,0)*0.475*44/12</f>
        <v>4.2660689222177644E-20</v>
      </c>
      <c r="AX171" s="21">
        <f t="shared" si="166"/>
        <v>1.2956528479831511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-1.2505552149377763E-12</v>
      </c>
      <c r="O172" s="13">
        <f>N172*VLOOKUP('Données projet'!$B$9,Paramètres!$A$1:$I$89,3,0)*VLOOKUP('Données projet'!$B$9,Paramètres!$A$1:$I$89,5,0)</f>
        <v>-6.9906036515021697E-13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415.91544298418842</v>
      </c>
      <c r="T172" s="59">
        <f t="shared" si="142"/>
        <v>422.79312683312583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0.72801740036799778</v>
      </c>
      <c r="AA172" s="21">
        <f>EXP(-LN(2)/25)*AA171+(1-EXP(-LN(2)/25))/(LN(2)/25)*Calculateur!V172*Calculateur!X172*VLOOKUP('Données projet'!$B$9,Paramètres!$A$1:$I$89,3,0)*0.475*44/12</f>
        <v>0.82158099184176447</v>
      </c>
      <c r="AB172" s="21">
        <f>EXP(-LN(2)/2)*AB171+(1-EXP(-LN(2)/2))/(LN(2)/2)*V172*Y172*VLOOKUP('Données projet'!$B$9,Paramètres!$A$1:$I$89,3,0)*0.475*44/12</f>
        <v>4.3689149147394565E-20</v>
      </c>
      <c r="AC172" s="22">
        <f t="shared" si="163"/>
        <v>1.5495983922097623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5.6843418860808015E-13</v>
      </c>
      <c r="AJ172" s="13">
        <f>AI172*VLOOKUP('Données projet'!$B$10,Paramètres!$A$1:$I$89,3,0)*VLOOKUP('Données projet'!$B$10,Paramètres!$A$1:$I$89,5,0)</f>
        <v>3.1036506698001181E-13</v>
      </c>
      <c r="AK172" s="13">
        <f t="shared" si="164"/>
        <v>4.086682523110923E-12</v>
      </c>
      <c r="AL172" s="20">
        <f t="shared" si="165"/>
        <v>7.6581912194083782E-12</v>
      </c>
      <c r="AM172" s="59">
        <f t="shared" si="113"/>
        <v>293.33333333334099</v>
      </c>
      <c r="AN172" s="59">
        <f ca="1">AVERAGE(OFFSET($AM$3,0,0,'Données projet'!$E$10+1,1))-AVERAGE(OFFSET($H$3,0,0,'Données projet'!$E$10+1,1))</f>
        <v>248.1486444660062</v>
      </c>
      <c r="AO172" s="59">
        <f t="shared" si="144"/>
        <v>293.34458072322127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0.54301171004192139</v>
      </c>
      <c r="AV172" s="21">
        <f>EXP(-LN(2)/25)*AV171+(1-EXP(-LN(2)/25))/(LN(2)/25)*Calculateur!AQ172*Calculateur!AS172*VLOOKUP('Données projet'!$B$10,Paramètres!$A$1:$I$89,3,0)*0.475*44/12</f>
        <v>0.72149601588227674</v>
      </c>
      <c r="AW172" s="21">
        <f>EXP(-LN(2)/2)*AW171+(1-EXP(-LN(2)/2))/(LN(2)/2)*AQ172*AT172*VLOOKUP('Données projet'!$B$10,Paramètres!$A$1:$I$89,3,0)*0.475*44/12</f>
        <v>3.0165662639093674E-20</v>
      </c>
      <c r="AX172" s="21">
        <f t="shared" si="166"/>
        <v>1.2645077259241981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-1.2505552149377763E-12</v>
      </c>
      <c r="O173" s="13">
        <f>N173*VLOOKUP('Données projet'!$B$9,Paramètres!$A$1:$I$89,3,0)*VLOOKUP('Données projet'!$B$9,Paramètres!$A$1:$I$89,5,0)</f>
        <v>-6.9906036515021697E-13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415.91544298418842</v>
      </c>
      <c r="T173" s="59">
        <f t="shared" si="142"/>
        <v>422.79312683312583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0.71374142319354961</v>
      </c>
      <c r="AA173" s="21">
        <f>EXP(-LN(2)/25)*AA172+(1-EXP(-LN(2)/25))/(LN(2)/25)*Calculateur!V173*Calculateur!X173*VLOOKUP('Données projet'!$B$9,Paramètres!$A$1:$I$89,3,0)*0.475*44/12</f>
        <v>0.79911481641478477</v>
      </c>
      <c r="AB173" s="21">
        <f>EXP(-LN(2)/2)*AB172+(1-EXP(-LN(2)/2))/(LN(2)/2)*V173*Y173*VLOOKUP('Données projet'!$B$9,Paramètres!$A$1:$I$89,3,0)*0.475*44/12</f>
        <v>3.0892893626393168E-20</v>
      </c>
      <c r="AC173" s="22">
        <f t="shared" si="163"/>
        <v>1.5128562396083343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5.6843418860808015E-13</v>
      </c>
      <c r="AJ173" s="13">
        <f>AI173*VLOOKUP('Données projet'!$B$10,Paramètres!$A$1:$I$89,3,0)*VLOOKUP('Données projet'!$B$10,Paramètres!$A$1:$I$89,5,0)</f>
        <v>3.1036506698001181E-13</v>
      </c>
      <c r="AK173" s="13">
        <f t="shared" si="164"/>
        <v>4.086682523110923E-12</v>
      </c>
      <c r="AL173" s="20">
        <f t="shared" si="165"/>
        <v>7.6581912194083782E-12</v>
      </c>
      <c r="AM173" s="59">
        <f t="shared" si="113"/>
        <v>293.33333333334099</v>
      </c>
      <c r="AN173" s="59">
        <f ca="1">AVERAGE(OFFSET($AM$3,0,0,'Données projet'!$E$10+1,1))-AVERAGE(OFFSET($H$3,0,0,'Données projet'!$E$10+1,1))</f>
        <v>248.1486444660062</v>
      </c>
      <c r="AO173" s="59">
        <f t="shared" si="144"/>
        <v>293.34458072322127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0.53236358161243869</v>
      </c>
      <c r="AV173" s="21">
        <f>EXP(-LN(2)/25)*AV172+(1-EXP(-LN(2)/25))/(LN(2)/25)*Calculateur!AQ173*Calculateur!AS173*VLOOKUP('Données projet'!$B$10,Paramètres!$A$1:$I$89,3,0)*0.475*44/12</f>
        <v>0.7017666693861494</v>
      </c>
      <c r="AW173" s="21">
        <f>EXP(-LN(2)/2)*AW172+(1-EXP(-LN(2)/2))/(LN(2)/2)*AQ173*AT173*VLOOKUP('Données projet'!$B$10,Paramètres!$A$1:$I$89,3,0)*0.475*44/12</f>
        <v>2.1330344611088822E-20</v>
      </c>
      <c r="AX173" s="21">
        <f t="shared" si="166"/>
        <v>1.2341302509985881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-1.2505552149377763E-12</v>
      </c>
      <c r="O174" s="13">
        <f>N174*VLOOKUP('Données projet'!$B$9,Paramètres!$A$1:$I$89,3,0)*VLOOKUP('Données projet'!$B$9,Paramètres!$A$1:$I$89,5,0)</f>
        <v>-6.9906036515021697E-13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415.91544298418842</v>
      </c>
      <c r="T174" s="59">
        <f t="shared" si="142"/>
        <v>422.79312683312583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0.69974538922400609</v>
      </c>
      <c r="AA174" s="21">
        <f>EXP(-LN(2)/25)*AA173+(1-EXP(-LN(2)/25))/(LN(2)/25)*Calculateur!V174*Calculateur!X174*VLOOKUP('Données projet'!$B$9,Paramètres!$A$1:$I$89,3,0)*0.475*44/12</f>
        <v>0.77726297973630065</v>
      </c>
      <c r="AB174" s="21">
        <f>EXP(-LN(2)/2)*AB173+(1-EXP(-LN(2)/2))/(LN(2)/2)*V174*Y174*VLOOKUP('Données projet'!$B$9,Paramètres!$A$1:$I$89,3,0)*0.475*44/12</f>
        <v>2.1844574573697283E-20</v>
      </c>
      <c r="AC174" s="22">
        <f t="shared" si="163"/>
        <v>1.4770083689603068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5.6843418860808015E-13</v>
      </c>
      <c r="AJ174" s="13">
        <f>AI174*VLOOKUP('Données projet'!$B$10,Paramètres!$A$1:$I$89,3,0)*VLOOKUP('Données projet'!$B$10,Paramètres!$A$1:$I$89,5,0)</f>
        <v>3.1036506698001181E-13</v>
      </c>
      <c r="AK174" s="13">
        <f t="shared" si="164"/>
        <v>4.086682523110923E-12</v>
      </c>
      <c r="AL174" s="20">
        <f t="shared" si="165"/>
        <v>7.6581912194083782E-12</v>
      </c>
      <c r="AM174" s="59">
        <f t="shared" si="113"/>
        <v>293.33333333334099</v>
      </c>
      <c r="AN174" s="59">
        <f ca="1">AVERAGE(OFFSET($AM$3,0,0,'Données projet'!$E$10+1,1))-AVERAGE(OFFSET($H$3,0,0,'Données projet'!$E$10+1,1))</f>
        <v>248.1486444660062</v>
      </c>
      <c r="AO174" s="59">
        <f t="shared" si="144"/>
        <v>293.34458072322127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0.52192425648674112</v>
      </c>
      <c r="AV174" s="21">
        <f>EXP(-LN(2)/25)*AV173+(1-EXP(-LN(2)/25))/(LN(2)/25)*Calculateur!AQ174*Calculateur!AS174*VLOOKUP('Données projet'!$B$10,Paramètres!$A$1:$I$89,3,0)*0.475*44/12</f>
        <v>0.6825768229074799</v>
      </c>
      <c r="AW174" s="21">
        <f>EXP(-LN(2)/2)*AW173+(1-EXP(-LN(2)/2))/(LN(2)/2)*AQ174*AT174*VLOOKUP('Données projet'!$B$10,Paramètres!$A$1:$I$89,3,0)*0.475*44/12</f>
        <v>1.5082831319546837E-20</v>
      </c>
      <c r="AX174" s="21">
        <f t="shared" si="166"/>
        <v>1.204501079394221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-1.2505552149377763E-12</v>
      </c>
      <c r="O175" s="13">
        <f>N175*VLOOKUP('Données projet'!$B$9,Paramètres!$A$1:$I$89,3,0)*VLOOKUP('Données projet'!$B$9,Paramètres!$A$1:$I$89,5,0)</f>
        <v>-6.9906036515021697E-13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415.91544298418842</v>
      </c>
      <c r="T175" s="59">
        <f t="shared" si="142"/>
        <v>422.79312683312583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0.6860238089438675</v>
      </c>
      <c r="AA175" s="21">
        <f>EXP(-LN(2)/25)*AA174+(1-EXP(-LN(2)/25))/(LN(2)/25)*Calculateur!V175*Calculateur!X175*VLOOKUP('Données projet'!$B$9,Paramètres!$A$1:$I$89,3,0)*0.475*44/12</f>
        <v>0.75600868268092791</v>
      </c>
      <c r="AB175" s="21">
        <f>EXP(-LN(2)/2)*AB174+(1-EXP(-LN(2)/2))/(LN(2)/2)*V175*Y175*VLOOKUP('Données projet'!$B$9,Paramètres!$A$1:$I$89,3,0)*0.475*44/12</f>
        <v>1.5446446813196584E-20</v>
      </c>
      <c r="AC175" s="22">
        <f t="shared" si="163"/>
        <v>1.4420324916247953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5.6843418860808015E-13</v>
      </c>
      <c r="AJ175" s="13">
        <f>AI175*VLOOKUP('Données projet'!$B$10,Paramètres!$A$1:$I$89,3,0)*VLOOKUP('Données projet'!$B$10,Paramètres!$A$1:$I$89,5,0)</f>
        <v>3.1036506698001181E-13</v>
      </c>
      <c r="AK175" s="13">
        <f t="shared" si="164"/>
        <v>4.086682523110923E-12</v>
      </c>
      <c r="AL175" s="20">
        <f t="shared" si="165"/>
        <v>7.6581912194083782E-12</v>
      </c>
      <c r="AM175" s="59">
        <f t="shared" si="113"/>
        <v>293.33333333334099</v>
      </c>
      <c r="AN175" s="59">
        <f ca="1">AVERAGE(OFFSET($AM$3,0,0,'Données projet'!$E$10+1,1))-AVERAGE(OFFSET($H$3,0,0,'Données projet'!$E$10+1,1))</f>
        <v>248.1486444660062</v>
      </c>
      <c r="AO175" s="59">
        <f t="shared" si="144"/>
        <v>293.34458072322127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0.51168964015939888</v>
      </c>
      <c r="AV175" s="21">
        <f>EXP(-LN(2)/25)*AV174+(1-EXP(-LN(2)/25))/(LN(2)/25)*Calculateur!AQ175*Calculateur!AS175*VLOOKUP('Données projet'!$B$10,Paramètres!$A$1:$I$89,3,0)*0.475*44/12</f>
        <v>0.66391172378991981</v>
      </c>
      <c r="AW175" s="21">
        <f>EXP(-LN(2)/2)*AW174+(1-EXP(-LN(2)/2))/(LN(2)/2)*AQ175*AT175*VLOOKUP('Données projet'!$B$10,Paramètres!$A$1:$I$89,3,0)*0.475*44/12</f>
        <v>1.0665172305544411E-20</v>
      </c>
      <c r="AX175" s="21">
        <f t="shared" si="166"/>
        <v>1.1756013639493186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-1.2505552149377763E-12</v>
      </c>
      <c r="O176" s="13">
        <f>N176*VLOOKUP('Données projet'!$B$9,Paramètres!$A$1:$I$89,3,0)*VLOOKUP('Données projet'!$B$9,Paramètres!$A$1:$I$89,5,0)</f>
        <v>-6.9906036515021697E-13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415.91544298418842</v>
      </c>
      <c r="T176" s="59">
        <f t="shared" si="142"/>
        <v>422.79312683312583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0.67257130048368485</v>
      </c>
      <c r="AA176" s="21">
        <f>EXP(-LN(2)/25)*AA175+(1-EXP(-LN(2)/25))/(LN(2)/25)*Calculateur!V176*Calculateur!X176*VLOOKUP('Données projet'!$B$9,Paramètres!$A$1:$I$89,3,0)*0.475*44/12</f>
        <v>0.73533558549624922</v>
      </c>
      <c r="AB176" s="21">
        <f>EXP(-LN(2)/2)*AB175+(1-EXP(-LN(2)/2))/(LN(2)/2)*V176*Y176*VLOOKUP('Données projet'!$B$9,Paramètres!$A$1:$I$89,3,0)*0.475*44/12</f>
        <v>1.0922287286848641E-20</v>
      </c>
      <c r="AC176" s="22">
        <f t="shared" si="163"/>
        <v>1.407906885979934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5.6843418860808015E-13</v>
      </c>
      <c r="AJ176" s="13">
        <f>AI176*VLOOKUP('Données projet'!$B$10,Paramètres!$A$1:$I$89,3,0)*VLOOKUP('Données projet'!$B$10,Paramètres!$A$1:$I$89,5,0)</f>
        <v>3.1036506698001181E-13</v>
      </c>
      <c r="AK176" s="13">
        <f t="shared" si="164"/>
        <v>4.086682523110923E-12</v>
      </c>
      <c r="AL176" s="20">
        <f t="shared" si="165"/>
        <v>7.6581912194083782E-12</v>
      </c>
      <c r="AM176" s="59">
        <f t="shared" si="113"/>
        <v>293.33333333334099</v>
      </c>
      <c r="AN176" s="59">
        <f ca="1">AVERAGE(OFFSET($AM$3,0,0,'Données projet'!$E$10+1,1))-AVERAGE(OFFSET($H$3,0,0,'Données projet'!$E$10+1,1))</f>
        <v>248.1486444660062</v>
      </c>
      <c r="AO176" s="59">
        <f t="shared" si="144"/>
        <v>293.34458072322127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0.50165571841573631</v>
      </c>
      <c r="AV176" s="21">
        <f>EXP(-LN(2)/25)*AV175+(1-EXP(-LN(2)/25))/(LN(2)/25)*Calculateur!AQ176*Calculateur!AS176*VLOOKUP('Données projet'!$B$10,Paramètres!$A$1:$I$89,3,0)*0.475*44/12</f>
        <v>0.64575702278928426</v>
      </c>
      <c r="AW176" s="21">
        <f>EXP(-LN(2)/2)*AW175+(1-EXP(-LN(2)/2))/(LN(2)/2)*AQ176*AT176*VLOOKUP('Données projet'!$B$10,Paramètres!$A$1:$I$89,3,0)*0.475*44/12</f>
        <v>7.5414156597734184E-21</v>
      </c>
      <c r="AX176" s="21">
        <f t="shared" si="166"/>
        <v>1.1474127412050206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-1.2505552149377763E-12</v>
      </c>
      <c r="O177" s="13">
        <f>N177*VLOOKUP('Données projet'!$B$9,Paramètres!$A$1:$I$89,3,0)*VLOOKUP('Données projet'!$B$9,Paramètres!$A$1:$I$89,5,0)</f>
        <v>-6.9906036515021697E-13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415.91544298418842</v>
      </c>
      <c r="T177" s="59">
        <f t="shared" si="142"/>
        <v>422.79312683312583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0.65938258750918644</v>
      </c>
      <c r="AA177" s="21">
        <f>EXP(-LN(2)/25)*AA176+(1-EXP(-LN(2)/25))/(LN(2)/25)*Calculateur!V177*Calculateur!X177*VLOOKUP('Données projet'!$B$9,Paramètres!$A$1:$I$89,3,0)*0.475*44/12</f>
        <v>0.71522779524123647</v>
      </c>
      <c r="AB177" s="21">
        <f>EXP(-LN(2)/2)*AB176+(1-EXP(-LN(2)/2))/(LN(2)/2)*V177*Y177*VLOOKUP('Données projet'!$B$9,Paramètres!$A$1:$I$89,3,0)*0.475*44/12</f>
        <v>7.7232234065982919E-21</v>
      </c>
      <c r="AC177" s="22">
        <f t="shared" si="163"/>
        <v>1.374610382750423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5.6843418860808015E-13</v>
      </c>
      <c r="AJ177" s="13">
        <f>AI177*VLOOKUP('Données projet'!$B$10,Paramètres!$A$1:$I$89,3,0)*VLOOKUP('Données projet'!$B$10,Paramètres!$A$1:$I$89,5,0)</f>
        <v>3.1036506698001181E-13</v>
      </c>
      <c r="AK177" s="13">
        <f t="shared" si="164"/>
        <v>4.086682523110923E-12</v>
      </c>
      <c r="AL177" s="20">
        <f t="shared" si="165"/>
        <v>7.6581912194083782E-12</v>
      </c>
      <c r="AM177" s="59">
        <f t="shared" si="113"/>
        <v>293.33333333334099</v>
      </c>
      <c r="AN177" s="59">
        <f ca="1">AVERAGE(OFFSET($AM$3,0,0,'Données projet'!$E$10+1,1))-AVERAGE(OFFSET($H$3,0,0,'Données projet'!$E$10+1,1))</f>
        <v>248.1486444660062</v>
      </c>
      <c r="AO177" s="59">
        <f t="shared" si="144"/>
        <v>293.34458072322127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0.49181855575737898</v>
      </c>
      <c r="AV177" s="21">
        <f>EXP(-LN(2)/25)*AV176+(1-EXP(-LN(2)/25))/(LN(2)/25)*Calculateur!AQ177*Calculateur!AS177*VLOOKUP('Données projet'!$B$10,Paramètres!$A$1:$I$89,3,0)*0.475*44/12</f>
        <v>0.62809876304222534</v>
      </c>
      <c r="AW177" s="21">
        <f>EXP(-LN(2)/2)*AW176+(1-EXP(-LN(2)/2))/(LN(2)/2)*AQ177*AT177*VLOOKUP('Données projet'!$B$10,Paramètres!$A$1:$I$89,3,0)*0.475*44/12</f>
        <v>5.3325861527722056E-21</v>
      </c>
      <c r="AX177" s="21">
        <f t="shared" si="166"/>
        <v>1.1199173187996043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-1.2505552149377763E-12</v>
      </c>
      <c r="O178" s="13">
        <f>N178*VLOOKUP('Données projet'!$B$9,Paramètres!$A$1:$I$89,3,0)*VLOOKUP('Données projet'!$B$9,Paramètres!$A$1:$I$89,5,0)</f>
        <v>-6.9906036515021697E-13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415.91544298418842</v>
      </c>
      <c r="T178" s="59">
        <f t="shared" si="142"/>
        <v>422.79312683312583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0.64645249715179731</v>
      </c>
      <c r="AA178" s="21">
        <f>EXP(-LN(2)/25)*AA177+(1-EXP(-LN(2)/25))/(LN(2)/25)*Calculateur!V178*Calculateur!X178*VLOOKUP('Données projet'!$B$9,Paramètres!$A$1:$I$89,3,0)*0.475*44/12</f>
        <v>0.69566985356816979</v>
      </c>
      <c r="AB178" s="21">
        <f>EXP(-LN(2)/2)*AB177+(1-EXP(-LN(2)/2))/(LN(2)/2)*V178*Y178*VLOOKUP('Données projet'!$B$9,Paramètres!$A$1:$I$89,3,0)*0.475*44/12</f>
        <v>5.4611436434243206E-21</v>
      </c>
      <c r="AC178" s="22">
        <f t="shared" si="163"/>
        <v>1.3421223507199671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5.6843418860808015E-13</v>
      </c>
      <c r="AJ178" s="13">
        <f>AI178*VLOOKUP('Données projet'!$B$10,Paramètres!$A$1:$I$89,3,0)*VLOOKUP('Données projet'!$B$10,Paramètres!$A$1:$I$89,5,0)</f>
        <v>3.1036506698001181E-13</v>
      </c>
      <c r="AK178" s="13">
        <f t="shared" si="164"/>
        <v>4.086682523110923E-12</v>
      </c>
      <c r="AL178" s="20">
        <f t="shared" si="165"/>
        <v>7.6581912194083782E-12</v>
      </c>
      <c r="AM178" s="59">
        <f t="shared" si="113"/>
        <v>293.33333333334099</v>
      </c>
      <c r="AN178" s="59">
        <f ca="1">AVERAGE(OFFSET($AM$3,0,0,'Données projet'!$E$10+1,1))-AVERAGE(OFFSET($H$3,0,0,'Données projet'!$E$10+1,1))</f>
        <v>248.1486444660062</v>
      </c>
      <c r="AO178" s="59">
        <f t="shared" si="144"/>
        <v>293.34458072322127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0.48217429385867527</v>
      </c>
      <c r="AV178" s="21">
        <f>EXP(-LN(2)/25)*AV177+(1-EXP(-LN(2)/25))/(LN(2)/25)*Calculateur!AQ178*Calculateur!AS178*VLOOKUP('Données projet'!$B$10,Paramètres!$A$1:$I$89,3,0)*0.475*44/12</f>
        <v>0.61092336933655733</v>
      </c>
      <c r="AW178" s="21">
        <f>EXP(-LN(2)/2)*AW177+(1-EXP(-LN(2)/2))/(LN(2)/2)*AQ178*AT178*VLOOKUP('Données projet'!$B$10,Paramètres!$A$1:$I$89,3,0)*0.475*44/12</f>
        <v>3.7707078298867092E-21</v>
      </c>
      <c r="AX178" s="21">
        <f t="shared" si="166"/>
        <v>1.0930976631952327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-1.2505552149377763E-12</v>
      </c>
      <c r="O179" s="13">
        <f>N179*VLOOKUP('Données projet'!$B$9,Paramètres!$A$1:$I$89,3,0)*VLOOKUP('Données projet'!$B$9,Paramètres!$A$1:$I$89,5,0)</f>
        <v>-6.9906036515021697E-13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415.91544298418842</v>
      </c>
      <c r="T179" s="59">
        <f t="shared" si="142"/>
        <v>422.79312683312583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0.63377595797974018</v>
      </c>
      <c r="AA179" s="21">
        <f>EXP(-LN(2)/25)*AA178+(1-EXP(-LN(2)/25))/(LN(2)/25)*Calculateur!V179*Calculateur!X179*VLOOKUP('Données projet'!$B$9,Paramètres!$A$1:$I$89,3,0)*0.475*44/12</f>
        <v>0.67664672483866062</v>
      </c>
      <c r="AB179" s="21">
        <f>EXP(-LN(2)/2)*AB178+(1-EXP(-LN(2)/2))/(LN(2)/2)*V179*Y179*VLOOKUP('Données projet'!$B$9,Paramètres!$A$1:$I$89,3,0)*0.475*44/12</f>
        <v>3.861611703299146E-21</v>
      </c>
      <c r="AC179" s="22">
        <f t="shared" si="163"/>
        <v>1.3104226828184009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5.6843418860808015E-13</v>
      </c>
      <c r="AJ179" s="13">
        <f>AI179*VLOOKUP('Données projet'!$B$10,Paramètres!$A$1:$I$89,3,0)*VLOOKUP('Données projet'!$B$10,Paramètres!$A$1:$I$89,5,0)</f>
        <v>3.1036506698001181E-13</v>
      </c>
      <c r="AK179" s="13">
        <f t="shared" si="164"/>
        <v>4.086682523110923E-12</v>
      </c>
      <c r="AL179" s="20">
        <f t="shared" si="165"/>
        <v>7.6581912194083782E-12</v>
      </c>
      <c r="AM179" s="59">
        <f t="shared" si="113"/>
        <v>293.33333333334099</v>
      </c>
      <c r="AN179" s="59">
        <f ca="1">AVERAGE(OFFSET($AM$3,0,0,'Données projet'!$E$10+1,1))-AVERAGE(OFFSET($H$3,0,0,'Données projet'!$E$10+1,1))</f>
        <v>248.1486444660062</v>
      </c>
      <c r="AO179" s="59">
        <f t="shared" si="144"/>
        <v>293.34458072322127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0.47271915005338622</v>
      </c>
      <c r="AV179" s="21">
        <f>EXP(-LN(2)/25)*AV178+(1-EXP(-LN(2)/25))/(LN(2)/25)*Calculateur!AQ179*Calculateur!AS179*VLOOKUP('Données projet'!$B$10,Paramètres!$A$1:$I$89,3,0)*0.475*44/12</f>
        <v>0.59421763767498548</v>
      </c>
      <c r="AW179" s="21">
        <f>EXP(-LN(2)/2)*AW178+(1-EXP(-LN(2)/2))/(LN(2)/2)*AQ179*AT179*VLOOKUP('Données projet'!$B$10,Paramètres!$A$1:$I$89,3,0)*0.475*44/12</f>
        <v>2.6662930763861028E-21</v>
      </c>
      <c r="AX179" s="21">
        <f t="shared" si="166"/>
        <v>1.0669367877283717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-1.2505552149377763E-12</v>
      </c>
      <c r="O180" s="13">
        <f>N180*VLOOKUP('Données projet'!$B$9,Paramètres!$A$1:$I$89,3,0)*VLOOKUP('Données projet'!$B$9,Paramètres!$A$1:$I$89,5,0)</f>
        <v>-6.9906036515021697E-13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415.91544298418842</v>
      </c>
      <c r="T180" s="59">
        <f t="shared" si="142"/>
        <v>422.79312683312583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0.62134799800892171</v>
      </c>
      <c r="AA180" s="21">
        <f>EXP(-LN(2)/25)*AA179+(1-EXP(-LN(2)/25))/(LN(2)/25)*Calculateur!V180*Calculateur!X180*VLOOKUP('Données projet'!$B$9,Paramètres!$A$1:$I$89,3,0)*0.475*44/12</f>
        <v>0.65814378456464273</v>
      </c>
      <c r="AB180" s="21">
        <f>EXP(-LN(2)/2)*AB179+(1-EXP(-LN(2)/2))/(LN(2)/2)*V180*Y180*VLOOKUP('Données projet'!$B$9,Paramètres!$A$1:$I$89,3,0)*0.475*44/12</f>
        <v>2.7305718217121603E-21</v>
      </c>
      <c r="AC180" s="22">
        <f t="shared" si="163"/>
        <v>1.2794917825735643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5.6843418860808015E-13</v>
      </c>
      <c r="AJ180" s="13">
        <f>AI180*VLOOKUP('Données projet'!$B$10,Paramètres!$A$1:$I$89,3,0)*VLOOKUP('Données projet'!$B$10,Paramètres!$A$1:$I$89,5,0)</f>
        <v>3.1036506698001181E-13</v>
      </c>
      <c r="AK180" s="13">
        <f t="shared" si="164"/>
        <v>4.086682523110923E-12</v>
      </c>
      <c r="AL180" s="20">
        <f t="shared" si="165"/>
        <v>7.6581912194083782E-12</v>
      </c>
      <c r="AM180" s="59">
        <f t="shared" si="113"/>
        <v>293.33333333334099</v>
      </c>
      <c r="AN180" s="59">
        <f ca="1">AVERAGE(OFFSET($AM$3,0,0,'Données projet'!$E$10+1,1))-AVERAGE(OFFSET($H$3,0,0,'Données projet'!$E$10+1,1))</f>
        <v>248.1486444660062</v>
      </c>
      <c r="AO180" s="59">
        <f t="shared" si="144"/>
        <v>293.34458072322127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0.46344941585105059</v>
      </c>
      <c r="AV180" s="21">
        <f>EXP(-LN(2)/25)*AV179+(1-EXP(-LN(2)/25))/(LN(2)/25)*Calculateur!AQ180*Calculateur!AS180*VLOOKUP('Données projet'!$B$10,Paramètres!$A$1:$I$89,3,0)*0.475*44/12</f>
        <v>0.57796872512421549</v>
      </c>
      <c r="AW180" s="21">
        <f>EXP(-LN(2)/2)*AW179+(1-EXP(-LN(2)/2))/(LN(2)/2)*AQ180*AT180*VLOOKUP('Données projet'!$B$10,Paramètres!$A$1:$I$89,3,0)*0.475*44/12</f>
        <v>1.8853539149433546E-21</v>
      </c>
      <c r="AX180" s="21">
        <f t="shared" si="166"/>
        <v>1.0414181409752661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-1.2505552149377763E-12</v>
      </c>
      <c r="O181" s="13">
        <f>N181*VLOOKUP('Données projet'!$B$9,Paramètres!$A$1:$I$89,3,0)*VLOOKUP('Données projet'!$B$9,Paramètres!$A$1:$I$89,5,0)</f>
        <v>-6.9906036515021697E-13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415.91544298418842</v>
      </c>
      <c r="T181" s="59">
        <f t="shared" si="142"/>
        <v>422.79312683312583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0.60916374275282392</v>
      </c>
      <c r="AA181" s="21">
        <f>EXP(-LN(2)/25)*AA180+(1-EXP(-LN(2)/25))/(LN(2)/25)*Calculateur!V181*Calculateur!X181*VLOOKUP('Données projet'!$B$9,Paramètres!$A$1:$I$89,3,0)*0.475*44/12</f>
        <v>0.64014680816544511</v>
      </c>
      <c r="AB181" s="21">
        <f>EXP(-LN(2)/2)*AB180+(1-EXP(-LN(2)/2))/(LN(2)/2)*V181*Y181*VLOOKUP('Données projet'!$B$9,Paramètres!$A$1:$I$89,3,0)*0.475*44/12</f>
        <v>1.930805851649573E-21</v>
      </c>
      <c r="AC181" s="22">
        <f t="shared" si="163"/>
        <v>1.2493105509182691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5.6843418860808015E-13</v>
      </c>
      <c r="AJ181" s="13">
        <f>AI181*VLOOKUP('Données projet'!$B$10,Paramètres!$A$1:$I$89,3,0)*VLOOKUP('Données projet'!$B$10,Paramètres!$A$1:$I$89,5,0)</f>
        <v>3.1036506698001181E-13</v>
      </c>
      <c r="AK181" s="13">
        <f t="shared" si="164"/>
        <v>4.086682523110923E-12</v>
      </c>
      <c r="AL181" s="20">
        <f t="shared" si="165"/>
        <v>7.6581912194083782E-12</v>
      </c>
      <c r="AM181" s="59">
        <f t="shared" si="113"/>
        <v>293.33333333334099</v>
      </c>
      <c r="AN181" s="59">
        <f ca="1">AVERAGE(OFFSET($AM$3,0,0,'Données projet'!$E$10+1,1))-AVERAGE(OFFSET($H$3,0,0,'Données projet'!$E$10+1,1))</f>
        <v>248.1486444660062</v>
      </c>
      <c r="AO181" s="59">
        <f t="shared" si="144"/>
        <v>293.34458072322127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0.45436145548244322</v>
      </c>
      <c r="AV181" s="21">
        <f>EXP(-LN(2)/25)*AV180+(1-EXP(-LN(2)/25))/(LN(2)/25)*Calculateur!AQ181*Calculateur!AS181*VLOOKUP('Données projet'!$B$10,Paramètres!$A$1:$I$89,3,0)*0.475*44/12</f>
        <v>0.5621641399416395</v>
      </c>
      <c r="AW181" s="21">
        <f>EXP(-LN(2)/2)*AW180+(1-EXP(-LN(2)/2))/(LN(2)/2)*AQ181*AT181*VLOOKUP('Données projet'!$B$10,Paramètres!$A$1:$I$89,3,0)*0.475*44/12</f>
        <v>1.3331465381930514E-21</v>
      </c>
      <c r="AX181" s="21">
        <f t="shared" si="166"/>
        <v>1.0165255954240826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-1.2505552149377763E-12</v>
      </c>
      <c r="O182" s="13">
        <f>N182*VLOOKUP('Données projet'!$B$9,Paramètres!$A$1:$I$89,3,0)*VLOOKUP('Données projet'!$B$9,Paramètres!$A$1:$I$89,5,0)</f>
        <v>-6.9906036515021697E-13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415.91544298418842</v>
      </c>
      <c r="T182" s="59">
        <f t="shared" si="142"/>
        <v>422.79312683312583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0.5972184133106363</v>
      </c>
      <c r="AA182" s="21">
        <f>EXP(-LN(2)/25)*AA181+(1-EXP(-LN(2)/25))/(LN(2)/25)*Calculateur!V182*Calculateur!X182*VLOOKUP('Données projet'!$B$9,Paramètres!$A$1:$I$89,3,0)*0.475*44/12</f>
        <v>0.62264196003230343</v>
      </c>
      <c r="AB182" s="21">
        <f>EXP(-LN(2)/2)*AB181+(1-EXP(-LN(2)/2))/(LN(2)/2)*V182*Y182*VLOOKUP('Données projet'!$B$9,Paramètres!$A$1:$I$89,3,0)*0.475*44/12</f>
        <v>1.3652859108560802E-21</v>
      </c>
      <c r="AC182" s="22">
        <f t="shared" si="163"/>
        <v>1.2198603733429398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5.6843418860808015E-13</v>
      </c>
      <c r="AJ182" s="13">
        <f>AI182*VLOOKUP('Données projet'!$B$10,Paramètres!$A$1:$I$89,3,0)*VLOOKUP('Données projet'!$B$10,Paramètres!$A$1:$I$89,5,0)</f>
        <v>3.1036506698001181E-13</v>
      </c>
      <c r="AK182" s="13">
        <f t="shared" si="164"/>
        <v>4.086682523110923E-12</v>
      </c>
      <c r="AL182" s="20">
        <f t="shared" si="165"/>
        <v>7.6581912194083782E-12</v>
      </c>
      <c r="AM182" s="59">
        <f t="shared" si="113"/>
        <v>293.33333333334099</v>
      </c>
      <c r="AN182" s="59">
        <f ca="1">AVERAGE(OFFSET($AM$3,0,0,'Données projet'!$E$10+1,1))-AVERAGE(OFFSET($H$3,0,0,'Données projet'!$E$10+1,1))</f>
        <v>248.1486444660062</v>
      </c>
      <c r="AO182" s="59">
        <f t="shared" si="144"/>
        <v>293.34458072322127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0.44545170447355575</v>
      </c>
      <c r="AV182" s="21">
        <f>EXP(-LN(2)/25)*AV181+(1-EXP(-LN(2)/25))/(LN(2)/25)*Calculateur!AQ182*Calculateur!AS182*VLOOKUP('Données projet'!$B$10,Paramètres!$A$1:$I$89,3,0)*0.475*44/12</f>
        <v>0.54679173197200803</v>
      </c>
      <c r="AW182" s="21">
        <f>EXP(-LN(2)/2)*AW181+(1-EXP(-LN(2)/2))/(LN(2)/2)*AQ182*AT182*VLOOKUP('Données projet'!$B$10,Paramètres!$A$1:$I$89,3,0)*0.475*44/12</f>
        <v>9.426769574716773E-22</v>
      </c>
      <c r="AX182" s="21">
        <f t="shared" si="166"/>
        <v>0.99224343644556379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-1.2505552149377763E-12</v>
      </c>
      <c r="O183" s="13">
        <f>N183*VLOOKUP('Données projet'!$B$9,Paramètres!$A$1:$I$89,3,0)*VLOOKUP('Données projet'!$B$9,Paramètres!$A$1:$I$89,5,0)</f>
        <v>-6.9906036515021697E-13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415.91544298418842</v>
      </c>
      <c r="T183" s="59">
        <f t="shared" si="142"/>
        <v>422.79312683312583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0.58550732449287846</v>
      </c>
      <c r="AA183" s="21">
        <f>EXP(-LN(2)/25)*AA182+(1-EXP(-LN(2)/25))/(LN(2)/25)*Calculateur!V183*Calculateur!X183*VLOOKUP('Données projet'!$B$9,Paramètres!$A$1:$I$89,3,0)*0.475*44/12</f>
        <v>0.60561578289190243</v>
      </c>
      <c r="AB183" s="21">
        <f>EXP(-LN(2)/2)*AB182+(1-EXP(-LN(2)/2))/(LN(2)/2)*V183*Y183*VLOOKUP('Données projet'!$B$9,Paramètres!$A$1:$I$89,3,0)*0.475*44/12</f>
        <v>9.6540292582478649E-22</v>
      </c>
      <c r="AC183" s="22">
        <f t="shared" si="163"/>
        <v>1.1911231073847808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5.6843418860808015E-13</v>
      </c>
      <c r="AJ183" s="13">
        <f>AI183*VLOOKUP('Données projet'!$B$10,Paramètres!$A$1:$I$89,3,0)*VLOOKUP('Données projet'!$B$10,Paramètres!$A$1:$I$89,5,0)</f>
        <v>3.1036506698001181E-13</v>
      </c>
      <c r="AK183" s="13">
        <f t="shared" si="164"/>
        <v>4.086682523110923E-12</v>
      </c>
      <c r="AL183" s="20">
        <f t="shared" si="165"/>
        <v>7.6581912194083782E-12</v>
      </c>
      <c r="AM183" s="59">
        <f t="shared" si="113"/>
        <v>293.33333333334099</v>
      </c>
      <c r="AN183" s="59">
        <f ca="1">AVERAGE(OFFSET($AM$3,0,0,'Données projet'!$E$10+1,1))-AVERAGE(OFFSET($H$3,0,0,'Données projet'!$E$10+1,1))</f>
        <v>248.1486444660062</v>
      </c>
      <c r="AO183" s="59">
        <f t="shared" si="144"/>
        <v>293.34458072322127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0.43671666824754102</v>
      </c>
      <c r="AV183" s="21">
        <f>EXP(-LN(2)/25)*AV182+(1-EXP(-LN(2)/25))/(LN(2)/25)*Calculateur!AQ183*Calculateur!AS183*VLOOKUP('Données projet'!$B$10,Paramètres!$A$1:$I$89,3,0)*0.475*44/12</f>
        <v>0.53183968330670595</v>
      </c>
      <c r="AW183" s="21">
        <f>EXP(-LN(2)/2)*AW182+(1-EXP(-LN(2)/2))/(LN(2)/2)*AQ183*AT183*VLOOKUP('Données projet'!$B$10,Paramètres!$A$1:$I$89,3,0)*0.475*44/12</f>
        <v>6.6657326909652569E-22</v>
      </c>
      <c r="AX183" s="21">
        <f t="shared" si="166"/>
        <v>0.96855635155424702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-1.2505552149377763E-12</v>
      </c>
      <c r="O184" s="13">
        <f>N184*VLOOKUP('Données projet'!$B$9,Paramètres!$A$1:$I$89,3,0)*VLOOKUP('Données projet'!$B$9,Paramètres!$A$1:$I$89,5,0)</f>
        <v>-6.9906036515021697E-13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415.91544298418842</v>
      </c>
      <c r="T184" s="59">
        <f t="shared" si="142"/>
        <v>422.79312683312583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0.57402588298377799</v>
      </c>
      <c r="AA184" s="21">
        <f>EXP(-LN(2)/25)*AA183+(1-EXP(-LN(2)/25))/(LN(2)/25)*Calculateur!V184*Calculateur!X184*VLOOKUP('Données projet'!$B$9,Paramètres!$A$1:$I$89,3,0)*0.475*44/12</f>
        <v>0.58905518746077346</v>
      </c>
      <c r="AB184" s="21">
        <f>EXP(-LN(2)/2)*AB183+(1-EXP(-LN(2)/2))/(LN(2)/2)*V184*Y184*VLOOKUP('Données projet'!$B$9,Paramètres!$A$1:$I$89,3,0)*0.475*44/12</f>
        <v>6.8264295542804008E-22</v>
      </c>
      <c r="AC184" s="22">
        <f t="shared" si="163"/>
        <v>1.1630810704445516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5.6843418860808015E-13</v>
      </c>
      <c r="AJ184" s="13">
        <f>AI184*VLOOKUP('Données projet'!$B$10,Paramètres!$A$1:$I$89,3,0)*VLOOKUP('Données projet'!$B$10,Paramètres!$A$1:$I$89,5,0)</f>
        <v>3.1036506698001181E-13</v>
      </c>
      <c r="AK184" s="13">
        <f t="shared" si="164"/>
        <v>4.086682523110923E-12</v>
      </c>
      <c r="AL184" s="20">
        <f t="shared" si="165"/>
        <v>7.6581912194083782E-12</v>
      </c>
      <c r="AM184" s="59">
        <f t="shared" si="113"/>
        <v>293.33333333334099</v>
      </c>
      <c r="AN184" s="59">
        <f ca="1">AVERAGE(OFFSET($AM$3,0,0,'Données projet'!$E$10+1,1))-AVERAGE(OFFSET($H$3,0,0,'Données projet'!$E$10+1,1))</f>
        <v>248.1486444660062</v>
      </c>
      <c r="AO184" s="59">
        <f t="shared" si="144"/>
        <v>293.34458072322127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0.42815292075407241</v>
      </c>
      <c r="AV184" s="21">
        <f>EXP(-LN(2)/25)*AV183+(1-EXP(-LN(2)/25))/(LN(2)/25)*Calculateur!AQ184*Calculateur!AS184*VLOOKUP('Données projet'!$B$10,Paramètres!$A$1:$I$89,3,0)*0.475*44/12</f>
        <v>0.51729649919845067</v>
      </c>
      <c r="AW184" s="21">
        <f>EXP(-LN(2)/2)*AW183+(1-EXP(-LN(2)/2))/(LN(2)/2)*AQ184*AT184*VLOOKUP('Données projet'!$B$10,Paramètres!$A$1:$I$89,3,0)*0.475*44/12</f>
        <v>4.7133847873583865E-22</v>
      </c>
      <c r="AX184" s="21">
        <f t="shared" si="166"/>
        <v>0.94544941995252307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-1.2505552149377763E-12</v>
      </c>
      <c r="O185" s="13">
        <f>N185*VLOOKUP('Données projet'!$B$9,Paramètres!$A$1:$I$89,3,0)*VLOOKUP('Données projet'!$B$9,Paramètres!$A$1:$I$89,5,0)</f>
        <v>-6.9906036515021697E-13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415.91544298418842</v>
      </c>
      <c r="T185" s="59">
        <f t="shared" si="142"/>
        <v>422.79312683312583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0.56276958553968315</v>
      </c>
      <c r="AA185" s="21">
        <f>EXP(-LN(2)/25)*AA184+(1-EXP(-LN(2)/25))/(LN(2)/25)*Calculateur!V185*Calculateur!X185*VLOOKUP('Données projet'!$B$9,Paramètres!$A$1:$I$89,3,0)*0.475*44/12</f>
        <v>0.57294744238259265</v>
      </c>
      <c r="AB185" s="21">
        <f>EXP(-LN(2)/2)*AB184+(1-EXP(-LN(2)/2))/(LN(2)/2)*V185*Y185*VLOOKUP('Données projet'!$B$9,Paramètres!$A$1:$I$89,3,0)*0.475*44/12</f>
        <v>4.8270146291239325E-22</v>
      </c>
      <c r="AC185" s="22">
        <f t="shared" si="163"/>
        <v>1.1357170279222757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5.6843418860808015E-13</v>
      </c>
      <c r="AJ185" s="13">
        <f>AI185*VLOOKUP('Données projet'!$B$10,Paramètres!$A$1:$I$89,3,0)*VLOOKUP('Données projet'!$B$10,Paramètres!$A$1:$I$89,5,0)</f>
        <v>3.1036506698001181E-13</v>
      </c>
      <c r="AK185" s="13">
        <f t="shared" si="164"/>
        <v>4.086682523110923E-12</v>
      </c>
      <c r="AL185" s="20">
        <f t="shared" si="165"/>
        <v>7.6581912194083782E-12</v>
      </c>
      <c r="AM185" s="59">
        <f t="shared" si="113"/>
        <v>293.33333333334099</v>
      </c>
      <c r="AN185" s="59">
        <f ca="1">AVERAGE(OFFSET($AM$3,0,0,'Données projet'!$E$10+1,1))-AVERAGE(OFFSET($H$3,0,0,'Données projet'!$E$10+1,1))</f>
        <v>248.1486444660062</v>
      </c>
      <c r="AO185" s="59">
        <f t="shared" si="144"/>
        <v>293.34458072322127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0.41975710312558051</v>
      </c>
      <c r="AV185" s="21">
        <f>EXP(-LN(2)/25)*AV184+(1-EXP(-LN(2)/25))/(LN(2)/25)*Calculateur!AQ185*Calculateur!AS185*VLOOKUP('Données projet'!$B$10,Paramètres!$A$1:$I$89,3,0)*0.475*44/12</f>
        <v>0.50315099922442841</v>
      </c>
      <c r="AW185" s="21">
        <f>EXP(-LN(2)/2)*AW184+(1-EXP(-LN(2)/2))/(LN(2)/2)*AQ185*AT185*VLOOKUP('Données projet'!$B$10,Paramètres!$A$1:$I$89,3,0)*0.475*44/12</f>
        <v>3.3328663454826285E-22</v>
      </c>
      <c r="AX185" s="21">
        <f t="shared" si="166"/>
        <v>0.92290810235000897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-1.2505552149377763E-12</v>
      </c>
      <c r="O186" s="13">
        <f>N186*VLOOKUP('Données projet'!$B$9,Paramètres!$A$1:$I$89,3,0)*VLOOKUP('Données projet'!$B$9,Paramètres!$A$1:$I$89,5,0)</f>
        <v>-6.9906036515021697E-13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415.91544298418842</v>
      </c>
      <c r="T186" s="59">
        <f t="shared" si="142"/>
        <v>422.79312683312583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0.55173401722280346</v>
      </c>
      <c r="AA186" s="21">
        <f>EXP(-LN(2)/25)*AA185+(1-EXP(-LN(2)/25))/(LN(2)/25)*Calculateur!V186*Calculateur!X186*VLOOKUP('Données projet'!$B$9,Paramètres!$A$1:$I$89,3,0)*0.475*44/12</f>
        <v>0.5572801644406441</v>
      </c>
      <c r="AB186" s="21">
        <f>EXP(-LN(2)/2)*AB185+(1-EXP(-LN(2)/2))/(LN(2)/2)*V186*Y186*VLOOKUP('Données projet'!$B$9,Paramètres!$A$1:$I$89,3,0)*0.475*44/12</f>
        <v>3.4132147771402004E-22</v>
      </c>
      <c r="AC186" s="22">
        <f t="shared" si="163"/>
        <v>1.1090141816634476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5.6843418860808015E-13</v>
      </c>
      <c r="AJ186" s="13">
        <f>AI186*VLOOKUP('Données projet'!$B$10,Paramètres!$A$1:$I$89,3,0)*VLOOKUP('Données projet'!$B$10,Paramètres!$A$1:$I$89,5,0)</f>
        <v>3.1036506698001181E-13</v>
      </c>
      <c r="AK186" s="13">
        <f t="shared" si="164"/>
        <v>4.086682523110923E-12</v>
      </c>
      <c r="AL186" s="20">
        <f t="shared" si="165"/>
        <v>7.6581912194083782E-12</v>
      </c>
      <c r="AM186" s="59">
        <f t="shared" si="113"/>
        <v>293.33333333334099</v>
      </c>
      <c r="AN186" s="59">
        <f ca="1">AVERAGE(OFFSET($AM$3,0,0,'Données projet'!$E$10+1,1))-AVERAGE(OFFSET($H$3,0,0,'Données projet'!$E$10+1,1))</f>
        <v>248.1486444660062</v>
      </c>
      <c r="AO186" s="59">
        <f t="shared" si="144"/>
        <v>293.34458072322127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0.41152592235984026</v>
      </c>
      <c r="AV186" s="21">
        <f>EXP(-LN(2)/25)*AV185+(1-EXP(-LN(2)/25))/(LN(2)/25)*Calculateur!AQ186*Calculateur!AS186*VLOOKUP('Données projet'!$B$10,Paramètres!$A$1:$I$89,3,0)*0.475*44/12</f>
        <v>0.48939230869107531</v>
      </c>
      <c r="AW186" s="21">
        <f>EXP(-LN(2)/2)*AW185+(1-EXP(-LN(2)/2))/(LN(2)/2)*AQ186*AT186*VLOOKUP('Données projet'!$B$10,Paramètres!$A$1:$I$89,3,0)*0.475*44/12</f>
        <v>2.3566923936791933E-22</v>
      </c>
      <c r="AX186" s="21">
        <f t="shared" si="166"/>
        <v>0.90091823105091562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-1.2505552149377763E-12</v>
      </c>
      <c r="O187" s="13">
        <f>N187*VLOOKUP('Données projet'!$B$9,Paramètres!$A$1:$I$89,3,0)*VLOOKUP('Données projet'!$B$9,Paramètres!$A$1:$I$89,5,0)</f>
        <v>-6.9906036515021697E-13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415.91544298418842</v>
      </c>
      <c r="T187" s="59">
        <f t="shared" si="142"/>
        <v>422.79312683312583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0.54091484966958581</v>
      </c>
      <c r="AA187" s="21">
        <f>EXP(-LN(2)/25)*AA186+(1-EXP(-LN(2)/25))/(LN(2)/25)*Calculateur!V187*Calculateur!X187*VLOOKUP('Données projet'!$B$9,Paramètres!$A$1:$I$89,3,0)*0.475*44/12</f>
        <v>0.54204130903792447</v>
      </c>
      <c r="AB187" s="21">
        <f>EXP(-LN(2)/2)*AB186+(1-EXP(-LN(2)/2))/(LN(2)/2)*V187*Y187*VLOOKUP('Données projet'!$B$9,Paramètres!$A$1:$I$89,3,0)*0.475*44/12</f>
        <v>2.4135073145619662E-22</v>
      </c>
      <c r="AC187" s="22">
        <f t="shared" si="163"/>
        <v>1.0829561587075103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5.6843418860808015E-13</v>
      </c>
      <c r="AJ187" s="13">
        <f>AI187*VLOOKUP('Données projet'!$B$10,Paramètres!$A$1:$I$89,3,0)*VLOOKUP('Données projet'!$B$10,Paramètres!$A$1:$I$89,5,0)</f>
        <v>3.1036506698001181E-13</v>
      </c>
      <c r="AK187" s="13">
        <f t="shared" si="164"/>
        <v>4.086682523110923E-12</v>
      </c>
      <c r="AL187" s="20">
        <f t="shared" si="165"/>
        <v>7.6581912194083782E-12</v>
      </c>
      <c r="AM187" s="59">
        <f t="shared" si="113"/>
        <v>293.33333333334099</v>
      </c>
      <c r="AN187" s="59">
        <f ca="1">AVERAGE(OFFSET($AM$3,0,0,'Données projet'!$E$10+1,1))-AVERAGE(OFFSET($H$3,0,0,'Données projet'!$E$10+1,1))</f>
        <v>248.1486444660062</v>
      </c>
      <c r="AO187" s="59">
        <f t="shared" si="144"/>
        <v>293.34458072322127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0.40345615002839164</v>
      </c>
      <c r="AV187" s="21">
        <f>EXP(-LN(2)/25)*AV186+(1-EXP(-LN(2)/25))/(LN(2)/25)*Calculateur!AQ187*Calculateur!AS187*VLOOKUP('Données projet'!$B$10,Paramètres!$A$1:$I$89,3,0)*0.475*44/12</f>
        <v>0.47600985027389486</v>
      </c>
      <c r="AW187" s="21">
        <f>EXP(-LN(2)/2)*AW186+(1-EXP(-LN(2)/2))/(LN(2)/2)*AQ187*AT187*VLOOKUP('Données projet'!$B$10,Paramètres!$A$1:$I$89,3,0)*0.475*44/12</f>
        <v>1.6664331727413142E-22</v>
      </c>
      <c r="AX187" s="21">
        <f t="shared" si="166"/>
        <v>0.8794660003022865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-1.2505552149377763E-12</v>
      </c>
      <c r="O188" s="13">
        <f>N188*VLOOKUP('Données projet'!$B$9,Paramètres!$A$1:$I$89,3,0)*VLOOKUP('Données projet'!$B$9,Paramètres!$A$1:$I$89,5,0)</f>
        <v>-6.9906036515021697E-13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415.91544298418842</v>
      </c>
      <c r="T188" s="59">
        <f t="shared" si="142"/>
        <v>422.79312683312583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0.53030783939304604</v>
      </c>
      <c r="AA188" s="21">
        <f>EXP(-LN(2)/25)*AA187+(1-EXP(-LN(2)/25))/(LN(2)/25)*Calculateur!V188*Calculateur!X188*VLOOKUP('Données projet'!$B$9,Paramètres!$A$1:$I$89,3,0)*0.475*44/12</f>
        <v>0.52721916093756882</v>
      </c>
      <c r="AB188" s="21">
        <f>EXP(-LN(2)/2)*AB187+(1-EXP(-LN(2)/2))/(LN(2)/2)*V188*Y188*VLOOKUP('Données projet'!$B$9,Paramètres!$A$1:$I$89,3,0)*0.475*44/12</f>
        <v>1.7066073885701002E-22</v>
      </c>
      <c r="AC188" s="22">
        <f t="shared" si="163"/>
        <v>1.057527000330615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5.6843418860808015E-13</v>
      </c>
      <c r="AJ188" s="13">
        <f>AI188*VLOOKUP('Données projet'!$B$10,Paramètres!$A$1:$I$89,3,0)*VLOOKUP('Données projet'!$B$10,Paramètres!$A$1:$I$89,5,0)</f>
        <v>3.1036506698001181E-13</v>
      </c>
      <c r="AK188" s="13">
        <f t="shared" si="164"/>
        <v>4.086682523110923E-12</v>
      </c>
      <c r="AL188" s="20">
        <f t="shared" si="165"/>
        <v>7.6581912194083782E-12</v>
      </c>
      <c r="AM188" s="59">
        <f t="shared" si="113"/>
        <v>293.33333333334099</v>
      </c>
      <c r="AN188" s="59">
        <f ca="1">AVERAGE(OFFSET($AM$3,0,0,'Données projet'!$E$10+1,1))-AVERAGE(OFFSET($H$3,0,0,'Données projet'!$E$10+1,1))</f>
        <v>248.1486444660062</v>
      </c>
      <c r="AO188" s="59">
        <f t="shared" si="144"/>
        <v>293.34458072322127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0.39554462101028764</v>
      </c>
      <c r="AV188" s="21">
        <f>EXP(-LN(2)/25)*AV187+(1-EXP(-LN(2)/25))/(LN(2)/25)*Calculateur!AQ188*Calculateur!AS188*VLOOKUP('Données projet'!$B$10,Paramètres!$A$1:$I$89,3,0)*0.475*44/12</f>
        <v>0.46299333588588509</v>
      </c>
      <c r="AW188" s="21">
        <f>EXP(-LN(2)/2)*AW187+(1-EXP(-LN(2)/2))/(LN(2)/2)*AQ188*AT188*VLOOKUP('Données projet'!$B$10,Paramètres!$A$1:$I$89,3,0)*0.475*44/12</f>
        <v>1.1783461968395966E-22</v>
      </c>
      <c r="AX188" s="21">
        <f t="shared" si="166"/>
        <v>0.85853795689617274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-1.2505552149377763E-12</v>
      </c>
      <c r="O189" s="13">
        <f>N189*VLOOKUP('Données projet'!$B$9,Paramètres!$A$1:$I$89,3,0)*VLOOKUP('Données projet'!$B$9,Paramètres!$A$1:$I$89,5,0)</f>
        <v>-6.9906036515021697E-13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415.91544298418842</v>
      </c>
      <c r="T189" s="59">
        <f t="shared" si="142"/>
        <v>422.79312683312583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0.51990882611839184</v>
      </c>
      <c r="AA189" s="21">
        <f>EXP(-LN(2)/25)*AA188+(1-EXP(-LN(2)/25))/(LN(2)/25)*Calculateur!V189*Calculateur!X189*VLOOKUP('Données projet'!$B$9,Paramètres!$A$1:$I$89,3,0)*0.475*44/12</f>
        <v>0.51280232525648028</v>
      </c>
      <c r="AB189" s="21">
        <f>EXP(-LN(2)/2)*AB188+(1-EXP(-LN(2)/2))/(LN(2)/2)*V189*Y189*VLOOKUP('Données projet'!$B$9,Paramètres!$A$1:$I$89,3,0)*0.475*44/12</f>
        <v>1.2067536572809831E-22</v>
      </c>
      <c r="AC189" s="22">
        <f t="shared" si="163"/>
        <v>1.0327111513748721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5.6843418860808015E-13</v>
      </c>
      <c r="AJ189" s="13">
        <f>AI189*VLOOKUP('Données projet'!$B$10,Paramètres!$A$1:$I$89,3,0)*VLOOKUP('Données projet'!$B$10,Paramètres!$A$1:$I$89,5,0)</f>
        <v>3.1036506698001181E-13</v>
      </c>
      <c r="AK189" s="13">
        <f t="shared" si="164"/>
        <v>4.086682523110923E-12</v>
      </c>
      <c r="AL189" s="20">
        <f t="shared" si="165"/>
        <v>7.6581912194083782E-12</v>
      </c>
      <c r="AM189" s="59">
        <f t="shared" si="113"/>
        <v>293.33333333334099</v>
      </c>
      <c r="AN189" s="59">
        <f ca="1">AVERAGE(OFFSET($AM$3,0,0,'Données projet'!$E$10+1,1))-AVERAGE(OFFSET($H$3,0,0,'Données projet'!$E$10+1,1))</f>
        <v>248.1486444660062</v>
      </c>
      <c r="AO189" s="59">
        <f t="shared" si="144"/>
        <v>293.34458072322127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0.38778823225067244</v>
      </c>
      <c r="AV189" s="21">
        <f>EXP(-LN(2)/25)*AV188+(1-EXP(-LN(2)/25))/(LN(2)/25)*Calculateur!AQ189*Calculateur!AS189*VLOOKUP('Données projet'!$B$10,Paramètres!$A$1:$I$89,3,0)*0.475*44/12</f>
        <v>0.45033275876832424</v>
      </c>
      <c r="AW189" s="21">
        <f>EXP(-LN(2)/2)*AW188+(1-EXP(-LN(2)/2))/(LN(2)/2)*AQ189*AT189*VLOOKUP('Données projet'!$B$10,Paramètres!$A$1:$I$89,3,0)*0.475*44/12</f>
        <v>8.3321658637065712E-23</v>
      </c>
      <c r="AX189" s="21">
        <f t="shared" si="166"/>
        <v>0.83812099101899662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-1.2505552149377763E-12</v>
      </c>
      <c r="O190" s="13">
        <f>N190*VLOOKUP('Données projet'!$B$9,Paramètres!$A$1:$I$89,3,0)*VLOOKUP('Données projet'!$B$9,Paramètres!$A$1:$I$89,5,0)</f>
        <v>-6.9906036515021697E-13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415.91544298418842</v>
      </c>
      <c r="T190" s="59">
        <f t="shared" si="142"/>
        <v>422.79312683312583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0.50971373115128182</v>
      </c>
      <c r="AA190" s="21">
        <f>EXP(-LN(2)/25)*AA189+(1-EXP(-LN(2)/25))/(LN(2)/25)*Calculateur!V190*Calculateur!X190*VLOOKUP('Données projet'!$B$9,Paramètres!$A$1:$I$89,3,0)*0.475*44/12</f>
        <v>0.49877971870523957</v>
      </c>
      <c r="AB190" s="21">
        <f>EXP(-LN(2)/2)*AB189+(1-EXP(-LN(2)/2))/(LN(2)/2)*V190*Y190*VLOOKUP('Données projet'!$B$9,Paramètres!$A$1:$I$89,3,0)*0.475*44/12</f>
        <v>8.533036942850501E-23</v>
      </c>
      <c r="AC190" s="22">
        <f t="shared" si="163"/>
        <v>1.0084934498565215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5.6843418860808015E-13</v>
      </c>
      <c r="AJ190" s="13">
        <f>AI190*VLOOKUP('Données projet'!$B$10,Paramètres!$A$1:$I$89,3,0)*VLOOKUP('Données projet'!$B$10,Paramètres!$A$1:$I$89,5,0)</f>
        <v>3.1036506698001181E-13</v>
      </c>
      <c r="AK190" s="13">
        <f t="shared" si="164"/>
        <v>4.086682523110923E-12</v>
      </c>
      <c r="AL190" s="20">
        <f t="shared" si="165"/>
        <v>7.6581912194083782E-12</v>
      </c>
      <c r="AM190" s="59">
        <f t="shared" si="113"/>
        <v>293.33333333334099</v>
      </c>
      <c r="AN190" s="59">
        <f ca="1">AVERAGE(OFFSET($AM$3,0,0,'Données projet'!$E$10+1,1))-AVERAGE(OFFSET($H$3,0,0,'Données projet'!$E$10+1,1))</f>
        <v>248.1486444660062</v>
      </c>
      <c r="AO190" s="59">
        <f t="shared" si="144"/>
        <v>293.34458072322127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0.38018394154370327</v>
      </c>
      <c r="AV190" s="21">
        <f>EXP(-LN(2)/25)*AV189+(1-EXP(-LN(2)/25))/(LN(2)/25)*Calculateur!AQ190*Calculateur!AS190*VLOOKUP('Données projet'!$B$10,Paramètres!$A$1:$I$89,3,0)*0.475*44/12</f>
        <v>0.43801838579783386</v>
      </c>
      <c r="AW190" s="21">
        <f>EXP(-LN(2)/2)*AW189+(1-EXP(-LN(2)/2))/(LN(2)/2)*AQ190*AT190*VLOOKUP('Données projet'!$B$10,Paramètres!$A$1:$I$89,3,0)*0.475*44/12</f>
        <v>5.8917309841979832E-23</v>
      </c>
      <c r="AX190" s="21">
        <f t="shared" si="166"/>
        <v>0.81820232734153708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-1.2505552149377763E-12</v>
      </c>
      <c r="O191" s="13">
        <f>N191*VLOOKUP('Données projet'!$B$9,Paramètres!$A$1:$I$89,3,0)*VLOOKUP('Données projet'!$B$9,Paramètres!$A$1:$I$89,5,0)</f>
        <v>-6.9906036515021697E-13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415.91544298418842</v>
      </c>
      <c r="T191" s="59">
        <f t="shared" si="142"/>
        <v>422.79312683312583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0.49971855577808288</v>
      </c>
      <c r="AA191" s="21">
        <f>EXP(-LN(2)/25)*AA190+(1-EXP(-LN(2)/25))/(LN(2)/25)*Calculateur!V191*Calculateur!X191*VLOOKUP('Données projet'!$B$9,Paramètres!$A$1:$I$89,3,0)*0.475*44/12</f>
        <v>0.48514056106755937</v>
      </c>
      <c r="AB191" s="21">
        <f>EXP(-LN(2)/2)*AB190+(1-EXP(-LN(2)/2))/(LN(2)/2)*V191*Y191*VLOOKUP('Données projet'!$B$9,Paramètres!$A$1:$I$89,3,0)*0.475*44/12</f>
        <v>6.0337682864049156E-23</v>
      </c>
      <c r="AC191" s="22">
        <f t="shared" si="163"/>
        <v>0.9848591168456422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5.6843418860808015E-13</v>
      </c>
      <c r="AJ191" s="13">
        <f>AI191*VLOOKUP('Données projet'!$B$10,Paramètres!$A$1:$I$89,3,0)*VLOOKUP('Données projet'!$B$10,Paramètres!$A$1:$I$89,5,0)</f>
        <v>3.1036506698001181E-13</v>
      </c>
      <c r="AK191" s="13">
        <f t="shared" si="164"/>
        <v>4.086682523110923E-12</v>
      </c>
      <c r="AL191" s="20">
        <f t="shared" si="165"/>
        <v>7.6581912194083782E-12</v>
      </c>
      <c r="AM191" s="59">
        <f t="shared" si="113"/>
        <v>293.33333333334099</v>
      </c>
      <c r="AN191" s="59">
        <f ca="1">AVERAGE(OFFSET($AM$3,0,0,'Données projet'!$E$10+1,1))-AVERAGE(OFFSET($H$3,0,0,'Données projet'!$E$10+1,1))</f>
        <v>248.1486444660062</v>
      </c>
      <c r="AO191" s="59">
        <f t="shared" si="144"/>
        <v>293.34458072322127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0.37272876633933844</v>
      </c>
      <c r="AV191" s="21">
        <f>EXP(-LN(2)/25)*AV190+(1-EXP(-LN(2)/25))/(LN(2)/25)*Calculateur!AQ191*Calculateur!AS191*VLOOKUP('Données projet'!$B$10,Paramètres!$A$1:$I$89,3,0)*0.475*44/12</f>
        <v>0.42604075000380631</v>
      </c>
      <c r="AW191" s="21">
        <f>EXP(-LN(2)/2)*AW190+(1-EXP(-LN(2)/2))/(LN(2)/2)*AQ191*AT191*VLOOKUP('Données projet'!$B$10,Paramètres!$A$1:$I$89,3,0)*0.475*44/12</f>
        <v>4.1660829318532856E-23</v>
      </c>
      <c r="AX191" s="21">
        <f t="shared" si="166"/>
        <v>0.79876951634314475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-1.2505552149377763E-12</v>
      </c>
      <c r="O192" s="13">
        <f>N192*VLOOKUP('Données projet'!$B$9,Paramètres!$A$1:$I$89,3,0)*VLOOKUP('Données projet'!$B$9,Paramètres!$A$1:$I$89,5,0)</f>
        <v>-6.9906036515021697E-13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415.91544298418842</v>
      </c>
      <c r="T192" s="59">
        <f t="shared" si="142"/>
        <v>422.79312683312583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0.48991937969749738</v>
      </c>
      <c r="AA192" s="21">
        <f>EXP(-LN(2)/25)*AA191+(1-EXP(-LN(2)/25))/(LN(2)/25)*Calculateur!V192*Calculateur!X192*VLOOKUP('Données projet'!$B$9,Paramètres!$A$1:$I$89,3,0)*0.475*44/12</f>
        <v>0.47187436691273366</v>
      </c>
      <c r="AB192" s="21">
        <f>EXP(-LN(2)/2)*AB191+(1-EXP(-LN(2)/2))/(LN(2)/2)*V192*Y192*VLOOKUP('Données projet'!$B$9,Paramètres!$A$1:$I$89,3,0)*0.475*44/12</f>
        <v>4.2665184714252505E-23</v>
      </c>
      <c r="AC192" s="22">
        <f t="shared" si="163"/>
        <v>0.96179374661023109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5.6843418860808015E-13</v>
      </c>
      <c r="AJ192" s="13">
        <f>AI192*VLOOKUP('Données projet'!$B$10,Paramètres!$A$1:$I$89,3,0)*VLOOKUP('Données projet'!$B$10,Paramètres!$A$1:$I$89,5,0)</f>
        <v>3.1036506698001181E-13</v>
      </c>
      <c r="AK192" s="13">
        <f t="shared" si="164"/>
        <v>4.086682523110923E-12</v>
      </c>
      <c r="AL192" s="20">
        <f t="shared" si="165"/>
        <v>7.6581912194083782E-12</v>
      </c>
      <c r="AM192" s="59">
        <f t="shared" si="113"/>
        <v>293.33333333334099</v>
      </c>
      <c r="AN192" s="59">
        <f ca="1">AVERAGE(OFFSET($AM$3,0,0,'Données projet'!$E$10+1,1))-AVERAGE(OFFSET($H$3,0,0,'Données projet'!$E$10+1,1))</f>
        <v>248.1486444660062</v>
      </c>
      <c r="AO192" s="59">
        <f t="shared" si="144"/>
        <v>293.34458072322127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0.36541978257352331</v>
      </c>
      <c r="AV192" s="21">
        <f>EXP(-LN(2)/25)*AV191+(1-EXP(-LN(2)/25))/(LN(2)/25)*Calculateur!AQ192*Calculateur!AS192*VLOOKUP('Données projet'!$B$10,Paramètres!$A$1:$I$89,3,0)*0.475*44/12</f>
        <v>0.41439064329044289</v>
      </c>
      <c r="AW192" s="21">
        <f>EXP(-LN(2)/2)*AW191+(1-EXP(-LN(2)/2))/(LN(2)/2)*AQ192*AT192*VLOOKUP('Données projet'!$B$10,Paramètres!$A$1:$I$89,3,0)*0.475*44/12</f>
        <v>2.9458654920989916E-23</v>
      </c>
      <c r="AX192" s="21">
        <f t="shared" si="166"/>
        <v>0.77981042586396621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-1.2505552149377763E-12</v>
      </c>
      <c r="O193" s="13">
        <f>N193*VLOOKUP('Données projet'!$B$9,Paramètres!$A$1:$I$89,3,0)*VLOOKUP('Données projet'!$B$9,Paramètres!$A$1:$I$89,5,0)</f>
        <v>-6.9906036515021697E-13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415.91544298418842</v>
      </c>
      <c r="T193" s="59">
        <f t="shared" si="142"/>
        <v>422.79312683312583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0.48031235948294493</v>
      </c>
      <c r="AA193" s="21">
        <f>EXP(-LN(2)/25)*AA192+(1-EXP(-LN(2)/25))/(LN(2)/25)*Calculateur!V193*Calculateur!X193*VLOOKUP('Données projet'!$B$9,Paramètres!$A$1:$I$89,3,0)*0.475*44/12</f>
        <v>0.45897093753471047</v>
      </c>
      <c r="AB193" s="21">
        <f>EXP(-LN(2)/2)*AB192+(1-EXP(-LN(2)/2))/(LN(2)/2)*V193*Y193*VLOOKUP('Données projet'!$B$9,Paramètres!$A$1:$I$89,3,0)*0.475*44/12</f>
        <v>3.0168841432024578E-23</v>
      </c>
      <c r="AC193" s="22">
        <f t="shared" si="163"/>
        <v>0.93928329701765545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5.6843418860808015E-13</v>
      </c>
      <c r="AJ193" s="13">
        <f>AI193*VLOOKUP('Données projet'!$B$10,Paramètres!$A$1:$I$89,3,0)*VLOOKUP('Données projet'!$B$10,Paramètres!$A$1:$I$89,5,0)</f>
        <v>3.1036506698001181E-13</v>
      </c>
      <c r="AK193" s="13">
        <f t="shared" si="164"/>
        <v>4.086682523110923E-12</v>
      </c>
      <c r="AL193" s="20">
        <f t="shared" si="165"/>
        <v>7.6581912194083782E-12</v>
      </c>
      <c r="AM193" s="59">
        <f t="shared" si="113"/>
        <v>293.33333333334099</v>
      </c>
      <c r="AN193" s="59">
        <f ca="1">AVERAGE(OFFSET($AM$3,0,0,'Données projet'!$E$10+1,1))-AVERAGE(OFFSET($H$3,0,0,'Données projet'!$E$10+1,1))</f>
        <v>248.1486444660062</v>
      </c>
      <c r="AO193" s="59">
        <f t="shared" si="144"/>
        <v>293.34458072322127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0.35825412352131591</v>
      </c>
      <c r="AV193" s="21">
        <f>EXP(-LN(2)/25)*AV192+(1-EXP(-LN(2)/25))/(LN(2)/25)*Calculateur!AQ193*Calculateur!AS193*VLOOKUP('Données projet'!$B$10,Paramètres!$A$1:$I$89,3,0)*0.475*44/12</f>
        <v>0.40305910935780892</v>
      </c>
      <c r="AW193" s="21">
        <f>EXP(-LN(2)/2)*AW192+(1-EXP(-LN(2)/2))/(LN(2)/2)*AQ193*AT193*VLOOKUP('Données projet'!$B$10,Paramètres!$A$1:$I$89,3,0)*0.475*44/12</f>
        <v>2.0830414659266428E-23</v>
      </c>
      <c r="AX193" s="21">
        <f t="shared" si="166"/>
        <v>0.76131323287912478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-1.2505552149377763E-12</v>
      </c>
      <c r="O194" s="13">
        <f>N194*VLOOKUP('Données projet'!$B$9,Paramètres!$A$1:$I$89,3,0)*VLOOKUP('Données projet'!$B$9,Paramètres!$A$1:$I$89,5,0)</f>
        <v>-6.9906036515021697E-13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415.91544298418842</v>
      </c>
      <c r="T194" s="59">
        <f t="shared" si="142"/>
        <v>422.79312683312583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0.47089372707509608</v>
      </c>
      <c r="AA194" s="21">
        <f>EXP(-LN(2)/25)*AA193+(1-EXP(-LN(2)/25))/(LN(2)/25)*Calculateur!V194*Calculateur!X194*VLOOKUP('Données projet'!$B$9,Paramètres!$A$1:$I$89,3,0)*0.475*44/12</f>
        <v>0.44642035311159117</v>
      </c>
      <c r="AB194" s="21">
        <f>EXP(-LN(2)/2)*AB193+(1-EXP(-LN(2)/2))/(LN(2)/2)*V194*Y194*VLOOKUP('Données projet'!$B$9,Paramètres!$A$1:$I$89,3,0)*0.475*44/12</f>
        <v>2.1332592357126253E-23</v>
      </c>
      <c r="AC194" s="22">
        <f t="shared" si="163"/>
        <v>0.91731408018668725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5.6843418860808015E-13</v>
      </c>
      <c r="AJ194" s="13">
        <f>AI194*VLOOKUP('Données projet'!$B$10,Paramètres!$A$1:$I$89,3,0)*VLOOKUP('Données projet'!$B$10,Paramètres!$A$1:$I$89,5,0)</f>
        <v>3.1036506698001181E-13</v>
      </c>
      <c r="AK194" s="13">
        <f t="shared" si="164"/>
        <v>4.086682523110923E-12</v>
      </c>
      <c r="AL194" s="20">
        <f t="shared" si="165"/>
        <v>7.6581912194083782E-12</v>
      </c>
      <c r="AM194" s="59">
        <f t="shared" si="113"/>
        <v>293.33333333334099</v>
      </c>
      <c r="AN194" s="59">
        <f ca="1">AVERAGE(OFFSET($AM$3,0,0,'Données projet'!$E$10+1,1))-AVERAGE(OFFSET($H$3,0,0,'Données projet'!$E$10+1,1))</f>
        <v>248.1486444660062</v>
      </c>
      <c r="AO194" s="59">
        <f t="shared" si="144"/>
        <v>293.34458072322127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0.35122897867250186</v>
      </c>
      <c r="AV194" s="21">
        <f>EXP(-LN(2)/25)*AV193+(1-EXP(-LN(2)/25))/(LN(2)/25)*Calculateur!AQ194*Calculateur!AS194*VLOOKUP('Données projet'!$B$10,Paramètres!$A$1:$I$89,3,0)*0.475*44/12</f>
        <v>0.3920374368164623</v>
      </c>
      <c r="AW194" s="21">
        <f>EXP(-LN(2)/2)*AW193+(1-EXP(-LN(2)/2))/(LN(2)/2)*AQ194*AT194*VLOOKUP('Données projet'!$B$10,Paramètres!$A$1:$I$89,3,0)*0.475*44/12</f>
        <v>1.4729327460494958E-23</v>
      </c>
      <c r="AX194" s="21">
        <f t="shared" si="166"/>
        <v>0.74326641548896411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-1.2505552149377763E-12</v>
      </c>
      <c r="O195" s="13">
        <f>N195*VLOOKUP('Données projet'!$B$9,Paramètres!$A$1:$I$89,3,0)*VLOOKUP('Données projet'!$B$9,Paramètres!$A$1:$I$89,5,0)</f>
        <v>-6.9906036515021697E-13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415.91544298418842</v>
      </c>
      <c r="T195" s="59">
        <f t="shared" si="142"/>
        <v>422.79312683312583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0.46165978830396665</v>
      </c>
      <c r="AA195" s="21">
        <f>EXP(-LN(2)/25)*AA194+(1-EXP(-LN(2)/25))/(LN(2)/25)*Calculateur!V195*Calculateur!X195*VLOOKUP('Données projet'!$B$9,Paramètres!$A$1:$I$89,3,0)*0.475*44/12</f>
        <v>0.43421296507952867</v>
      </c>
      <c r="AB195" s="21">
        <f>EXP(-LN(2)/2)*AB194+(1-EXP(-LN(2)/2))/(LN(2)/2)*V195*Y195*VLOOKUP('Données projet'!$B$9,Paramètres!$A$1:$I$89,3,0)*0.475*44/12</f>
        <v>1.5084420716012289E-23</v>
      </c>
      <c r="AC195" s="22">
        <f t="shared" si="163"/>
        <v>0.89587275338349537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5.6843418860808015E-13</v>
      </c>
      <c r="AJ195" s="13">
        <f>AI195*VLOOKUP('Données projet'!$B$10,Paramètres!$A$1:$I$89,3,0)*VLOOKUP('Données projet'!$B$10,Paramètres!$A$1:$I$89,5,0)</f>
        <v>3.1036506698001181E-13</v>
      </c>
      <c r="AK195" s="13">
        <f t="shared" si="164"/>
        <v>4.086682523110923E-12</v>
      </c>
      <c r="AL195" s="20">
        <f t="shared" si="165"/>
        <v>7.6581912194083782E-12</v>
      </c>
      <c r="AM195" s="59">
        <f t="shared" si="113"/>
        <v>293.33333333334099</v>
      </c>
      <c r="AN195" s="59">
        <f ca="1">AVERAGE(OFFSET($AM$3,0,0,'Données projet'!$E$10+1,1))-AVERAGE(OFFSET($H$3,0,0,'Données projet'!$E$10+1,1))</f>
        <v>248.1486444660062</v>
      </c>
      <c r="AO195" s="59">
        <f t="shared" si="144"/>
        <v>293.34458072322127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0.34434159262925779</v>
      </c>
      <c r="AV195" s="21">
        <f>EXP(-LN(2)/25)*AV194+(1-EXP(-LN(2)/25))/(LN(2)/25)*Calculateur!AQ195*Calculateur!AS195*VLOOKUP('Données projet'!$B$10,Paramètres!$A$1:$I$89,3,0)*0.475*44/12</f>
        <v>0.38131715249036335</v>
      </c>
      <c r="AW195" s="21">
        <f>EXP(-LN(2)/2)*AW194+(1-EXP(-LN(2)/2))/(LN(2)/2)*AQ195*AT195*VLOOKUP('Données projet'!$B$10,Paramètres!$A$1:$I$89,3,0)*0.475*44/12</f>
        <v>1.0415207329633214E-23</v>
      </c>
      <c r="AX195" s="21">
        <f t="shared" si="166"/>
        <v>0.72565874511962114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-1.2505552149377763E-12</v>
      </c>
      <c r="O196" s="13">
        <f>N196*VLOOKUP('Données projet'!$B$9,Paramètres!$A$1:$I$89,3,0)*VLOOKUP('Données projet'!$B$9,Paramètres!$A$1:$I$89,5,0)</f>
        <v>-6.9906036515021697E-13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415.91544298418842</v>
      </c>
      <c r="T196" s="59">
        <f t="shared" si="142"/>
        <v>422.79312683312583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0.45260692143999254</v>
      </c>
      <c r="AA196" s="21">
        <f>EXP(-LN(2)/25)*AA195+(1-EXP(-LN(2)/25))/(LN(2)/25)*Calculateur!V196*Calculateur!X196*VLOOKUP('Données projet'!$B$9,Paramètres!$A$1:$I$89,3,0)*0.475*44/12</f>
        <v>0.42233938871516152</v>
      </c>
      <c r="AB196" s="21">
        <f>EXP(-LN(2)/2)*AB195+(1-EXP(-LN(2)/2))/(LN(2)/2)*V196*Y196*VLOOKUP('Données projet'!$B$9,Paramètres!$A$1:$I$89,3,0)*0.475*44/12</f>
        <v>1.0666296178563126E-23</v>
      </c>
      <c r="AC196" s="22">
        <f t="shared" si="163"/>
        <v>0.87494631015515401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5.6843418860808015E-13</v>
      </c>
      <c r="AJ196" s="13">
        <f>AI196*VLOOKUP('Données projet'!$B$10,Paramètres!$A$1:$I$89,3,0)*VLOOKUP('Données projet'!$B$10,Paramètres!$A$1:$I$89,5,0)</f>
        <v>3.1036506698001181E-13</v>
      </c>
      <c r="AK196" s="13">
        <f t="shared" si="164"/>
        <v>4.086682523110923E-12</v>
      </c>
      <c r="AL196" s="20">
        <f t="shared" si="165"/>
        <v>7.6581912194083782E-12</v>
      </c>
      <c r="AM196" s="59">
        <f t="shared" ref="AM196:AM203" si="193">AL196+(AD196+AE196)*44/12</f>
        <v>293.33333333334099</v>
      </c>
      <c r="AN196" s="59">
        <f ca="1">AVERAGE(OFFSET($AM$3,0,0,'Données projet'!$E$10+1,1))-AVERAGE(OFFSET($H$3,0,0,'Données projet'!$E$10+1,1))</f>
        <v>248.1486444660062</v>
      </c>
      <c r="AO196" s="59">
        <f t="shared" si="144"/>
        <v>293.34458072322127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0.33758926402543105</v>
      </c>
      <c r="AV196" s="21">
        <f>EXP(-LN(2)/25)*AV195+(1-EXP(-LN(2)/25))/(LN(2)/25)*Calculateur!AQ196*Calculateur!AS196*VLOOKUP('Données projet'!$B$10,Paramètres!$A$1:$I$89,3,0)*0.475*44/12</f>
        <v>0.37089001490291684</v>
      </c>
      <c r="AW196" s="21">
        <f>EXP(-LN(2)/2)*AW195+(1-EXP(-LN(2)/2))/(LN(2)/2)*AQ196*AT196*VLOOKUP('Données projet'!$B$10,Paramètres!$A$1:$I$89,3,0)*0.475*44/12</f>
        <v>7.3646637302474789E-24</v>
      </c>
      <c r="AX196" s="21">
        <f t="shared" si="166"/>
        <v>0.70847927892834783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-1.2505552149377763E-12</v>
      </c>
      <c r="O197" s="13">
        <f>N197*VLOOKUP('Données projet'!$B$9,Paramètres!$A$1:$I$89,3,0)*VLOOKUP('Données projet'!$B$9,Paramètres!$A$1:$I$89,5,0)</f>
        <v>-6.9906036515021697E-13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415.91544298418842</v>
      </c>
      <c r="T197" s="59">
        <f t="shared" ref="T197:T203" si="204">$T$3</f>
        <v>422.79312683312583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0.44373157577351741</v>
      </c>
      <c r="AA197" s="21">
        <f>EXP(-LN(2)/25)*AA196+(1-EXP(-LN(2)/25))/(LN(2)/25)*Calculateur!V197*Calculateur!X197*VLOOKUP('Données projet'!$B$9,Paramètres!$A$1:$I$89,3,0)*0.475*44/12</f>
        <v>0.41079049592088224</v>
      </c>
      <c r="AB197" s="21">
        <f>EXP(-LN(2)/2)*AB196+(1-EXP(-LN(2)/2))/(LN(2)/2)*V197*Y197*VLOOKUP('Données projet'!$B$9,Paramètres!$A$1:$I$89,3,0)*0.475*44/12</f>
        <v>7.5422103580061445E-24</v>
      </c>
      <c r="AC197" s="22">
        <f t="shared" si="163"/>
        <v>0.85452207169439964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5.6843418860808015E-13</v>
      </c>
      <c r="AJ197" s="13">
        <f>AI197*VLOOKUP('Données projet'!$B$10,Paramètres!$A$1:$I$89,3,0)*VLOOKUP('Données projet'!$B$10,Paramètres!$A$1:$I$89,5,0)</f>
        <v>3.1036506698001181E-13</v>
      </c>
      <c r="AK197" s="13">
        <f t="shared" si="164"/>
        <v>4.086682523110923E-12</v>
      </c>
      <c r="AL197" s="20">
        <f t="shared" si="165"/>
        <v>7.6581912194083782E-12</v>
      </c>
      <c r="AM197" s="59">
        <f t="shared" si="193"/>
        <v>293.33333333334099</v>
      </c>
      <c r="AN197" s="59">
        <f ca="1">AVERAGE(OFFSET($AM$3,0,0,'Données projet'!$E$10+1,1))-AVERAGE(OFFSET($H$3,0,0,'Données projet'!$E$10+1,1))</f>
        <v>248.1486444660062</v>
      </c>
      <c r="AO197" s="59">
        <f t="shared" ref="AO197:AO203" si="205">$AO$3</f>
        <v>293.34458072322127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0.33096934446701154</v>
      </c>
      <c r="AV197" s="21">
        <f>EXP(-LN(2)/25)*AV196+(1-EXP(-LN(2)/25))/(LN(2)/25)*Calculateur!AQ197*Calculateur!AS197*VLOOKUP('Données projet'!$B$10,Paramètres!$A$1:$I$89,3,0)*0.475*44/12</f>
        <v>0.36074800794113837</v>
      </c>
      <c r="AW197" s="21">
        <f>EXP(-LN(2)/2)*AW196+(1-EXP(-LN(2)/2))/(LN(2)/2)*AQ197*AT197*VLOOKUP('Données projet'!$B$10,Paramètres!$A$1:$I$89,3,0)*0.475*44/12</f>
        <v>5.207603664816607E-24</v>
      </c>
      <c r="AX197" s="21">
        <f t="shared" si="166"/>
        <v>0.69171735240814991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-1.2505552149377763E-12</v>
      </c>
      <c r="O198" s="13">
        <f>N198*VLOOKUP('Données projet'!$B$9,Paramètres!$A$1:$I$89,3,0)*VLOOKUP('Données projet'!$B$9,Paramètres!$A$1:$I$89,5,0)</f>
        <v>-6.9906036515021697E-13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415.91544298418842</v>
      </c>
      <c r="T198" s="59">
        <f t="shared" si="204"/>
        <v>422.79312683312583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0.43503027022213553</v>
      </c>
      <c r="AA198" s="21">
        <f>EXP(-LN(2)/25)*AA197+(1-EXP(-LN(2)/25))/(LN(2)/25)*Calculateur!V198*Calculateur!X198*VLOOKUP('Données projet'!$B$9,Paramètres!$A$1:$I$89,3,0)*0.475*44/12</f>
        <v>0.39955740820739238</v>
      </c>
      <c r="AB198" s="21">
        <f>EXP(-LN(2)/2)*AB197+(1-EXP(-LN(2)/2))/(LN(2)/2)*V198*Y198*VLOOKUP('Données projet'!$B$9,Paramètres!$A$1:$I$89,3,0)*0.475*44/12</f>
        <v>5.3331480892815631E-24</v>
      </c>
      <c r="AC198" s="22">
        <f t="shared" si="163"/>
        <v>0.83458767842952786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5.6843418860808015E-13</v>
      </c>
      <c r="AJ198" s="13">
        <f>AI198*VLOOKUP('Données projet'!$B$10,Paramètres!$A$1:$I$89,3,0)*VLOOKUP('Données projet'!$B$10,Paramètres!$A$1:$I$89,5,0)</f>
        <v>3.1036506698001181E-13</v>
      </c>
      <c r="AK198" s="13">
        <f t="shared" si="164"/>
        <v>4.086682523110923E-12</v>
      </c>
      <c r="AL198" s="20">
        <f t="shared" si="165"/>
        <v>7.6581912194083782E-12</v>
      </c>
      <c r="AM198" s="59">
        <f t="shared" si="193"/>
        <v>293.33333333334099</v>
      </c>
      <c r="AN198" s="59">
        <f ca="1">AVERAGE(OFFSET($AM$3,0,0,'Données projet'!$E$10+1,1))-AVERAGE(OFFSET($H$3,0,0,'Données projet'!$E$10+1,1))</f>
        <v>248.1486444660062</v>
      </c>
      <c r="AO198" s="59">
        <f t="shared" si="205"/>
        <v>293.34458072322127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0.32447923749338042</v>
      </c>
      <c r="AV198" s="21">
        <f>EXP(-LN(2)/25)*AV197+(1-EXP(-LN(2)/25))/(LN(2)/25)*Calculateur!AQ198*Calculateur!AS198*VLOOKUP('Données projet'!$B$10,Paramètres!$A$1:$I$89,3,0)*0.475*44/12</f>
        <v>0.3508833346930747</v>
      </c>
      <c r="AW198" s="21">
        <f>EXP(-LN(2)/2)*AW197+(1-EXP(-LN(2)/2))/(LN(2)/2)*AQ198*AT198*VLOOKUP('Données projet'!$B$10,Paramètres!$A$1:$I$89,3,0)*0.475*44/12</f>
        <v>3.6823318651237395E-24</v>
      </c>
      <c r="AX198" s="21">
        <f t="shared" si="166"/>
        <v>0.67536257218645512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-1.2505552149377763E-12</v>
      </c>
      <c r="O199" s="13">
        <f>N199*VLOOKUP('Données projet'!$B$9,Paramètres!$A$1:$I$89,3,0)*VLOOKUP('Données projet'!$B$9,Paramètres!$A$1:$I$89,5,0)</f>
        <v>-6.9906036515021697E-13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415.91544298418842</v>
      </c>
      <c r="T199" s="59">
        <f t="shared" si="204"/>
        <v>422.79312683312583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0.42649959196534393</v>
      </c>
      <c r="AA199" s="21">
        <f>EXP(-LN(2)/25)*AA198+(1-EXP(-LN(2)/25))/(LN(2)/25)*Calculateur!V199*Calculateur!X199*VLOOKUP('Données projet'!$B$9,Paramètres!$A$1:$I$89,3,0)*0.475*44/12</f>
        <v>0.38863148986815033</v>
      </c>
      <c r="AB199" s="21">
        <f>EXP(-LN(2)/2)*AB198+(1-EXP(-LN(2)/2))/(LN(2)/2)*V199*Y199*VLOOKUP('Données projet'!$B$9,Paramètres!$A$1:$I$89,3,0)*0.475*44/12</f>
        <v>3.7711051790030722E-24</v>
      </c>
      <c r="AC199" s="22">
        <f t="shared" si="163"/>
        <v>0.81513108183349425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5.6843418860808015E-13</v>
      </c>
      <c r="AJ199" s="13">
        <f>AI199*VLOOKUP('Données projet'!$B$10,Paramètres!$A$1:$I$89,3,0)*VLOOKUP('Données projet'!$B$10,Paramètres!$A$1:$I$89,5,0)</f>
        <v>3.1036506698001181E-13</v>
      </c>
      <c r="AK199" s="13">
        <f t="shared" si="164"/>
        <v>4.086682523110923E-12</v>
      </c>
      <c r="AL199" s="20">
        <f t="shared" si="165"/>
        <v>7.6581912194083782E-12</v>
      </c>
      <c r="AM199" s="59">
        <f t="shared" si="193"/>
        <v>293.33333333334099</v>
      </c>
      <c r="AN199" s="59">
        <f ca="1">AVERAGE(OFFSET($AM$3,0,0,'Données projet'!$E$10+1,1))-AVERAGE(OFFSET($H$3,0,0,'Données projet'!$E$10+1,1))</f>
        <v>248.1486444660062</v>
      </c>
      <c r="AO199" s="59">
        <f t="shared" si="205"/>
        <v>293.34458072322127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0.31811639755892784</v>
      </c>
      <c r="AV199" s="21">
        <f>EXP(-LN(2)/25)*AV198+(1-EXP(-LN(2)/25))/(LN(2)/25)*Calculateur!AQ199*Calculateur!AS199*VLOOKUP('Données projet'!$B$10,Paramètres!$A$1:$I$89,3,0)*0.475*44/12</f>
        <v>0.34128841145373995</v>
      </c>
      <c r="AW199" s="21">
        <f>EXP(-LN(2)/2)*AW198+(1-EXP(-LN(2)/2))/(LN(2)/2)*AQ199*AT199*VLOOKUP('Données projet'!$B$10,Paramètres!$A$1:$I$89,3,0)*0.475*44/12</f>
        <v>2.6038018324083035E-24</v>
      </c>
      <c r="AX199" s="21">
        <f t="shared" si="166"/>
        <v>0.65940480901266785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-1.2505552149377763E-12</v>
      </c>
      <c r="O200" s="13">
        <f>N200*VLOOKUP('Données projet'!$B$9,Paramètres!$A$1:$I$89,3,0)*VLOOKUP('Données projet'!$B$9,Paramètres!$A$1:$I$89,5,0)</f>
        <v>-6.9906036515021697E-13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415.91544298418842</v>
      </c>
      <c r="T200" s="59">
        <f t="shared" si="204"/>
        <v>422.79312683312583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0.41813619510596806</v>
      </c>
      <c r="AA200" s="21">
        <f>EXP(-LN(2)/25)*AA199+(1-EXP(-LN(2)/25))/(LN(2)/25)*Calculateur!V200*Calculateur!X200*VLOOKUP('Données projet'!$B$9,Paramètres!$A$1:$I$89,3,0)*0.475*44/12</f>
        <v>0.37800434134046396</v>
      </c>
      <c r="AB200" s="21">
        <f>EXP(-LN(2)/2)*AB199+(1-EXP(-LN(2)/2))/(LN(2)/2)*V200*Y200*VLOOKUP('Données projet'!$B$9,Paramètres!$A$1:$I$89,3,0)*0.475*44/12</f>
        <v>2.6665740446407816E-24</v>
      </c>
      <c r="AC200" s="22">
        <f t="shared" si="163"/>
        <v>0.79614053644643201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5.6843418860808015E-13</v>
      </c>
      <c r="AJ200" s="13">
        <f>AI200*VLOOKUP('Données projet'!$B$10,Paramètres!$A$1:$I$89,3,0)*VLOOKUP('Données projet'!$B$10,Paramètres!$A$1:$I$89,5,0)</f>
        <v>3.1036506698001181E-13</v>
      </c>
      <c r="AK200" s="13">
        <f t="shared" si="164"/>
        <v>4.086682523110923E-12</v>
      </c>
      <c r="AL200" s="20">
        <f t="shared" si="165"/>
        <v>7.6581912194083782E-12</v>
      </c>
      <c r="AM200" s="59">
        <f t="shared" si="193"/>
        <v>293.33333333334099</v>
      </c>
      <c r="AN200" s="59">
        <f ca="1">AVERAGE(OFFSET($AM$3,0,0,'Données projet'!$E$10+1,1))-AVERAGE(OFFSET($H$3,0,0,'Données projet'!$E$10+1,1))</f>
        <v>248.1486444660062</v>
      </c>
      <c r="AO200" s="59">
        <f t="shared" si="205"/>
        <v>293.34458072322127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0.31187832903464074</v>
      </c>
      <c r="AV200" s="21">
        <f>EXP(-LN(2)/25)*AV199+(1-EXP(-LN(2)/25))/(LN(2)/25)*Calculateur!AQ200*Calculateur!AS200*VLOOKUP('Données projet'!$B$10,Paramètres!$A$1:$I$89,3,0)*0.475*44/12</f>
        <v>0.3319558618949599</v>
      </c>
      <c r="AW200" s="21">
        <f>EXP(-LN(2)/2)*AW199+(1-EXP(-LN(2)/2))/(LN(2)/2)*AQ200*AT200*VLOOKUP('Données projet'!$B$10,Paramètres!$A$1:$I$89,3,0)*0.475*44/12</f>
        <v>1.8411659325618697E-24</v>
      </c>
      <c r="AX200" s="21">
        <f t="shared" si="166"/>
        <v>0.64383419092960059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-1.2505552149377763E-12</v>
      </c>
      <c r="O201" s="13">
        <f>N201*VLOOKUP('Données projet'!$B$9,Paramètres!$A$1:$I$89,3,0)*VLOOKUP('Données projet'!$B$9,Paramètres!$A$1:$I$89,5,0)</f>
        <v>-6.9906036515021697E-13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415.91544298418842</v>
      </c>
      <c r="T201" s="59">
        <f t="shared" si="204"/>
        <v>422.79312683312583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0.40993679935783611</v>
      </c>
      <c r="AA201" s="21">
        <f>EXP(-LN(2)/25)*AA200+(1-EXP(-LN(2)/25))/(LN(2)/25)*Calculateur!V201*Calculateur!X201*VLOOKUP('Données projet'!$B$9,Paramètres!$A$1:$I$89,3,0)*0.475*44/12</f>
        <v>0.36766779274812461</v>
      </c>
      <c r="AB201" s="21">
        <f>EXP(-LN(2)/2)*AB200+(1-EXP(-LN(2)/2))/(LN(2)/2)*V201*Y201*VLOOKUP('Données projet'!$B$9,Paramètres!$A$1:$I$89,3,0)*0.475*44/12</f>
        <v>1.8855525895015361E-24</v>
      </c>
      <c r="AC201" s="22">
        <f t="shared" si="163"/>
        <v>0.77760459210596067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5.6843418860808015E-13</v>
      </c>
      <c r="AJ201" s="13">
        <f>AI201*VLOOKUP('Données projet'!$B$10,Paramètres!$A$1:$I$89,3,0)*VLOOKUP('Données projet'!$B$10,Paramètres!$A$1:$I$89,5,0)</f>
        <v>3.1036506698001181E-13</v>
      </c>
      <c r="AK201" s="13">
        <f t="shared" si="164"/>
        <v>4.086682523110923E-12</v>
      </c>
      <c r="AL201" s="20">
        <f t="shared" si="165"/>
        <v>7.6581912194083782E-12</v>
      </c>
      <c r="AM201" s="59">
        <f t="shared" si="193"/>
        <v>293.33333333334099</v>
      </c>
      <c r="AN201" s="59">
        <f ca="1">AVERAGE(OFFSET($AM$3,0,0,'Données projet'!$E$10+1,1))-AVERAGE(OFFSET($H$3,0,0,'Données projet'!$E$10+1,1))</f>
        <v>248.1486444660062</v>
      </c>
      <c r="AO201" s="59">
        <f t="shared" si="205"/>
        <v>293.34458072322127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0.3057625852292688</v>
      </c>
      <c r="AV201" s="21">
        <f>EXP(-LN(2)/25)*AV200+(1-EXP(-LN(2)/25))/(LN(2)/25)*Calculateur!AQ201*Calculateur!AS201*VLOOKUP('Données projet'!$B$10,Paramètres!$A$1:$I$89,3,0)*0.475*44/12</f>
        <v>0.32287851139464213</v>
      </c>
      <c r="AW201" s="21">
        <f>EXP(-LN(2)/2)*AW200+(1-EXP(-LN(2)/2))/(LN(2)/2)*AQ201*AT201*VLOOKUP('Données projet'!$B$10,Paramètres!$A$1:$I$89,3,0)*0.475*44/12</f>
        <v>1.3019009162041517E-24</v>
      </c>
      <c r="AX201" s="21">
        <f t="shared" si="166"/>
        <v>0.62864109662391088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-1.2505552149377763E-12</v>
      </c>
      <c r="O202" s="13">
        <f>N202*VLOOKUP('Données projet'!$B$9,Paramètres!$A$1:$I$89,3,0)*VLOOKUP('Données projet'!$B$9,Paramètres!$A$1:$I$89,5,0)</f>
        <v>-6.9906036515021697E-13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415.91544298418842</v>
      </c>
      <c r="T202" s="59">
        <f t="shared" si="204"/>
        <v>422.79312683312583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0.40189818875918748</v>
      </c>
      <c r="AA202" s="21">
        <f>EXP(-LN(2)/25)*AA201+(1-EXP(-LN(2)/25))/(LN(2)/25)*Calculateur!V202*Calculateur!X202*VLOOKUP('Données projet'!$B$9,Paramètres!$A$1:$I$89,3,0)*0.475*44/12</f>
        <v>0.35761389762061824</v>
      </c>
      <c r="AB202" s="21">
        <f>EXP(-LN(2)/2)*AB201+(1-EXP(-LN(2)/2))/(LN(2)/2)*V202*Y202*VLOOKUP('Données projet'!$B$9,Paramètres!$A$1:$I$89,3,0)*0.475*44/12</f>
        <v>1.3332870223203908E-24</v>
      </c>
      <c r="AC202" s="22">
        <f t="shared" si="163"/>
        <v>0.75951208637980572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5.6843418860808015E-13</v>
      </c>
      <c r="AJ202" s="13">
        <f>AI202*VLOOKUP('Données projet'!$B$10,Paramètres!$A$1:$I$89,3,0)*VLOOKUP('Données projet'!$B$10,Paramètres!$A$1:$I$89,5,0)</f>
        <v>3.1036506698001181E-13</v>
      </c>
      <c r="AK202" s="13">
        <f t="shared" si="164"/>
        <v>4.086682523110923E-12</v>
      </c>
      <c r="AL202" s="20">
        <f t="shared" si="165"/>
        <v>7.6581912194083782E-12</v>
      </c>
      <c r="AM202" s="59">
        <f t="shared" si="193"/>
        <v>293.33333333334099</v>
      </c>
      <c r="AN202" s="59">
        <f ca="1">AVERAGE(OFFSET($AM$3,0,0,'Données projet'!$E$10+1,1))-AVERAGE(OFFSET($H$3,0,0,'Données projet'!$E$10+1,1))</f>
        <v>248.1486444660062</v>
      </c>
      <c r="AO202" s="59">
        <f t="shared" si="205"/>
        <v>293.34458072322127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0.29976676742968478</v>
      </c>
      <c r="AV202" s="21">
        <f>EXP(-LN(2)/25)*AV201+(1-EXP(-LN(2)/25))/(LN(2)/25)*Calculateur!AQ202*Calculateur!AS202*VLOOKUP('Données projet'!$B$10,Paramètres!$A$1:$I$89,3,0)*0.475*44/12</f>
        <v>0.31404938152111267</v>
      </c>
      <c r="AW202" s="21">
        <f>EXP(-LN(2)/2)*AW201+(1-EXP(-LN(2)/2))/(LN(2)/2)*AQ202*AT202*VLOOKUP('Données projet'!$B$10,Paramètres!$A$1:$I$89,3,0)*0.475*44/12</f>
        <v>9.2058296628093487E-25</v>
      </c>
      <c r="AX202" s="21">
        <f t="shared" si="166"/>
        <v>0.61381614895079739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-1.2505552149377763E-12</v>
      </c>
      <c r="O203" s="13">
        <f>N203*VLOOKUP('Données projet'!$B$9,Paramètres!$A$1:$I$89,3,0)*VLOOKUP('Données projet'!$B$9,Paramètres!$A$1:$I$89,5,0)</f>
        <v>-6.9906036515021697E-13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415.91544298418842</v>
      </c>
      <c r="T203" s="59">
        <f t="shared" si="204"/>
        <v>422.79312683312583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0.39401721041130999</v>
      </c>
      <c r="AA203" s="21">
        <f>EXP(-LN(2)/25)*AA202+(1-EXP(-LN(2)/25))/(LN(2)/25)*Calculateur!V203*Calculateur!X203*VLOOKUP('Données projet'!$B$9,Paramètres!$A$1:$I$89,3,0)*0.475*44/12</f>
        <v>0.3478349267840849</v>
      </c>
      <c r="AB203" s="21">
        <f>EXP(-LN(2)/2)*AB202+(1-EXP(-LN(2)/2))/(LN(2)/2)*V203*Y203*VLOOKUP('Données projet'!$B$9,Paramètres!$A$1:$I$89,3,0)*0.475*44/12</f>
        <v>9.4277629475076806E-25</v>
      </c>
      <c r="AC203" s="22">
        <f t="shared" si="163"/>
        <v>0.74185213719539489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5.6843418860808015E-13</v>
      </c>
      <c r="AJ203" s="13">
        <f>AI203*VLOOKUP('Données projet'!$B$10,Paramètres!$A$1:$I$89,3,0)*VLOOKUP('Données projet'!$B$10,Paramètres!$A$1:$I$89,5,0)</f>
        <v>3.1036506698001181E-13</v>
      </c>
      <c r="AK203" s="13">
        <f t="shared" si="164"/>
        <v>4.086682523110923E-12</v>
      </c>
      <c r="AL203" s="20">
        <f t="shared" si="165"/>
        <v>7.6581912194083782E-12</v>
      </c>
      <c r="AM203" s="59">
        <f t="shared" si="193"/>
        <v>293.33333333334099</v>
      </c>
      <c r="AN203" s="59">
        <f ca="1">AVERAGE(OFFSET($AM$3,0,0,'Données projet'!$E$10+1,1))-AVERAGE(OFFSET($H$3,0,0,'Données projet'!$E$10+1,1))</f>
        <v>248.1486444660062</v>
      </c>
      <c r="AO203" s="59">
        <f t="shared" si="205"/>
        <v>293.34458072322127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0.29388852396006288</v>
      </c>
      <c r="AV203" s="21">
        <f>EXP(-LN(2)/25)*AV202+(1-EXP(-LN(2)/25))/(LN(2)/25)*Calculateur!AQ203*Calculateur!AS203*VLOOKUP('Données projet'!$B$10,Paramètres!$A$1:$I$89,3,0)*0.475*44/12</f>
        <v>0.30546168466827867</v>
      </c>
      <c r="AW203" s="21">
        <f>EXP(-LN(2)/2)*AW202+(1-EXP(-LN(2)/2))/(LN(2)/2)*AQ203*AT203*VLOOKUP('Données projet'!$B$10,Paramètres!$A$1:$I$89,3,0)*0.475*44/12</f>
        <v>6.5095045810207587E-25</v>
      </c>
      <c r="AX203" s="21">
        <f t="shared" si="166"/>
        <v>0.59935020862834154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1.3903891703159093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1.4816888666071193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2.5920000000000001</v>
      </c>
      <c r="C6" s="147">
        <f ca="1">IF(OR('Données projet'!B9="",'Données projet'!C9="",'Données projet'!C9=0%),0,Calculateur!S3)</f>
        <v>415.91544298418842</v>
      </c>
      <c r="D6" s="147">
        <f>IF(OR('Données projet'!B9="",'Données projet'!C9="",'Données projet'!C9=0%),0,Calculateur!T3)</f>
        <v>422.79312683312583</v>
      </c>
      <c r="E6" s="147">
        <f ca="1">MIN(C6,D6)</f>
        <v>415.91544298418842</v>
      </c>
      <c r="F6" s="147">
        <f ca="1">E6*B6</f>
        <v>1078.0528282150165</v>
      </c>
      <c r="G6" s="147">
        <f ca="1">F6*(100%-'Données projet'!$C$24)*(100%-'Données projet'!$C$25)*(100%-'Données projet'!$C$26)*(100%-'Données projet'!$C$27)</f>
        <v>970.24754539351488</v>
      </c>
      <c r="H6" s="148">
        <f>IF(OR('Données projet'!B9="",'Données projet'!C9="",'Données projet'!C9=0%),0,AVERAGE(Calculateur!$AC$3:$AC$33)*B6)</f>
        <v>31.987665846650952</v>
      </c>
      <c r="I6" s="149">
        <f>H6*(100%-'Données projet'!$C$24)*(100%-'Données projet'!$C$25)*(100%-'Données projet'!$C$26)*(100%-'Données projet'!$C$27)</f>
        <v>28.788899261985858</v>
      </c>
      <c r="J6" s="150">
        <f>IF(OR('Données projet'!B9="",'Données projet'!C9="",'Données projet'!C9=0%),0,SUM(Calculateur!$V$3:$V$33)*VLOOKUP('Données projet'!$B$9,Paramètres!$A$1:$I$89,9,0)*B6)</f>
        <v>271.95264000000003</v>
      </c>
      <c r="K6" s="151">
        <f>J6*(100%-'Données projet'!$C$24)*(100%-'Données projet'!$C$25)*(100%-'Données projet'!$C$26)*(100%-'Données projet'!$C$27)</f>
        <v>244.75737600000002</v>
      </c>
      <c r="L6" s="152">
        <f ca="1">G6+I6+K6</f>
        <v>1243.7938206555009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Mélèze hybride</v>
      </c>
      <c r="B7" s="154">
        <f>'Données projet'!D10</f>
        <v>1.7280000000000002</v>
      </c>
      <c r="C7" s="147">
        <f ca="1">IF(OR('Données projet'!B10="",'Données projet'!C10="",'Données projet'!C10=0%),0,Calculateur!AN3)</f>
        <v>248.1486444660062</v>
      </c>
      <c r="D7" s="147">
        <f>IF(OR('Données projet'!B10="",'Données projet'!C10="",'Données projet'!C10=0%),0,Calculateur!AO3)</f>
        <v>293.34458072322127</v>
      </c>
      <c r="E7" s="147">
        <f t="shared" ref="E7:E15" ca="1" si="0">MIN(C7,D7)</f>
        <v>248.1486444660062</v>
      </c>
      <c r="F7" s="147">
        <f t="shared" ref="F7:F15" ca="1" si="1">E7*B7</f>
        <v>428.80085763725879</v>
      </c>
      <c r="G7" s="147">
        <f ca="1">F7*(100%-'Données projet'!$C$24)*(100%-'Données projet'!$C$25)*(100%-'Données projet'!$C$26)*(100%-'Données projet'!$C$27)</f>
        <v>385.92077187353294</v>
      </c>
      <c r="H7" s="155">
        <f>IF(OR('Données projet'!B10="",'Données projet'!C10="",'Données projet'!C10=0%),0,AVERAGE(Calculateur!$AX$3:$AX$33)*B7)</f>
        <v>21.802722453804673</v>
      </c>
      <c r="I7" s="149">
        <f>H7*(100%-'Données projet'!$C$24)*(100%-'Données projet'!$C$25)*(100%-'Données projet'!$C$26)*(100%-'Données projet'!$C$27)</f>
        <v>19.622450208424205</v>
      </c>
      <c r="J7" s="150">
        <f>IF(OR('Données projet'!B10="",'Données projet'!C10="",'Données projet'!C10=0%),0,SUM(Calculateur!$AQ$3:$AQ$33)*VLOOKUP('Données projet'!$B$10,Paramètres!$A$1:$I$89,9,0)*B7)</f>
        <v>151.58016000000001</v>
      </c>
      <c r="K7" s="151">
        <f>J7*(100%-'Données projet'!$C$24)*(100%-'Données projet'!$C$25)*(100%-'Données projet'!$C$26)*(100%-'Données projet'!$C$27)</f>
        <v>136.422144</v>
      </c>
      <c r="L7" s="152">
        <f t="shared" ref="L7:L15" ca="1" si="2">G7+I7+K7</f>
        <v>541.9653660819572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1506.8536858522752</v>
      </c>
      <c r="G16" s="166">
        <f t="shared" ca="1" si="3"/>
        <v>1356.1683172670478</v>
      </c>
      <c r="H16" s="167">
        <f t="shared" si="3"/>
        <v>53.790388300455625</v>
      </c>
      <c r="I16" s="167">
        <f t="shared" si="3"/>
        <v>48.411349470410059</v>
      </c>
      <c r="J16" s="168">
        <f t="shared" si="3"/>
        <v>423.53280000000007</v>
      </c>
      <c r="K16" s="168">
        <f t="shared" si="3"/>
        <v>381.17952000000002</v>
      </c>
      <c r="L16" s="169">
        <f t="shared" ca="1" si="3"/>
        <v>1785.7591867374581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Mélèze hybride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1" zoomScale="80" zoomScaleNormal="80" workbookViewId="0">
      <selection activeCell="J28" sqref="J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3977.3112497135944</v>
      </c>
      <c r="U10" s="178">
        <f>'Données projet'!D9</f>
        <v>2.5920000000000001</v>
      </c>
      <c r="V10" s="177">
        <f>U10*T10</f>
        <v>10309.190759257637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hybride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125.59858465280684</v>
      </c>
      <c r="U11" s="178">
        <f>'Données projet'!D10</f>
        <v>1.7280000000000002</v>
      </c>
      <c r="V11" s="177">
        <f t="shared" ref="V11" si="0">U11*T11</f>
        <v>217.03435428005022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2110.6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25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2000.0000000000027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650+650+60</f>
        <v>1360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470+60</f>
        <v>530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>470+60</f>
        <v>530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f>470+60</f>
        <v>530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-5942.4214900110146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104</v>
      </c>
      <c r="C24" s="193">
        <v>12</v>
      </c>
      <c r="D24" s="182">
        <f t="shared" ref="D24:D42" si="2">B24*C24</f>
        <v>1248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255.39389214569897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140</v>
      </c>
      <c r="C25" s="193">
        <v>35</v>
      </c>
      <c r="D25" s="182">
        <f t="shared" si="2"/>
        <v>4900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-6197.8153821567139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140</v>
      </c>
      <c r="C26" s="193">
        <v>45</v>
      </c>
      <c r="D26" s="182">
        <f t="shared" si="2"/>
        <v>6300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129</v>
      </c>
      <c r="C27" s="193">
        <v>50</v>
      </c>
      <c r="D27" s="182">
        <f t="shared" si="2"/>
        <v>6450</v>
      </c>
      <c r="E27" s="193"/>
      <c r="F27" s="233"/>
      <c r="G27" s="229"/>
      <c r="H27" s="190">
        <v>7</v>
      </c>
      <c r="I27" s="191">
        <v>60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96</v>
      </c>
      <c r="C28" s="193">
        <v>55</v>
      </c>
      <c r="D28" s="182">
        <f t="shared" si="2"/>
        <v>5280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80</v>
      </c>
      <c r="C29" s="193">
        <v>60</v>
      </c>
      <c r="D29" s="182">
        <f t="shared" si="2"/>
        <v>4800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790</v>
      </c>
      <c r="C30" s="193">
        <v>80</v>
      </c>
      <c r="D30" s="182">
        <f t="shared" si="2"/>
        <v>63200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Mélèze hybride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2819.9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8</v>
      </c>
      <c r="C54" s="191">
        <v>10</v>
      </c>
      <c r="D54" s="179">
        <f>B54*C54</f>
        <v>80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98</v>
      </c>
      <c r="C55" s="191">
        <v>25</v>
      </c>
      <c r="D55" s="179">
        <f t="shared" ref="D55:D73" si="4">B55*C55</f>
        <v>2450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98</v>
      </c>
      <c r="C56" s="191">
        <v>30</v>
      </c>
      <c r="D56" s="179">
        <f t="shared" si="4"/>
        <v>2940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92</v>
      </c>
      <c r="C57" s="191">
        <v>35</v>
      </c>
      <c r="D57" s="179">
        <f t="shared" si="4"/>
        <v>3220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50</v>
      </c>
      <c r="B58" s="181">
        <f>'Données projet'!D66</f>
        <v>75</v>
      </c>
      <c r="C58" s="191">
        <v>40</v>
      </c>
      <c r="D58" s="179">
        <f t="shared" si="4"/>
        <v>3000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60</v>
      </c>
      <c r="B59" s="181">
        <f>'Données projet'!D67</f>
        <v>67</v>
      </c>
      <c r="C59" s="191">
        <v>45</v>
      </c>
      <c r="D59" s="179">
        <f t="shared" si="4"/>
        <v>3015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70</v>
      </c>
      <c r="B60" s="181">
        <f>'Données projet'!D68</f>
        <v>63</v>
      </c>
      <c r="C60" s="191">
        <v>50</v>
      </c>
      <c r="D60" s="179">
        <f t="shared" si="4"/>
        <v>3150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80</v>
      </c>
      <c r="B61" s="181">
        <f>'Données projet'!D69</f>
        <v>487</v>
      </c>
      <c r="C61" s="191">
        <v>60</v>
      </c>
      <c r="D61" s="179">
        <f t="shared" si="4"/>
        <v>29220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52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53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>
        <v>54</v>
      </c>
      <c r="I74" s="191">
        <v>60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>
        <v>55</v>
      </c>
      <c r="I75" s="191">
        <v>60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56</v>
      </c>
      <c r="I76" s="191">
        <v>60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>
        <v>57</v>
      </c>
      <c r="I77" s="191">
        <v>60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58</v>
      </c>
      <c r="I78" s="191">
        <v>60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>
        <v>59</v>
      </c>
      <c r="I79" s="191">
        <v>60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60</v>
      </c>
      <c r="I80" s="191">
        <v>60</v>
      </c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>
        <v>61</v>
      </c>
      <c r="I81" s="191">
        <v>60</v>
      </c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62</v>
      </c>
      <c r="I82" s="191">
        <v>60</v>
      </c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63</v>
      </c>
      <c r="I83" s="191">
        <v>60</v>
      </c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64</v>
      </c>
      <c r="I84" s="191">
        <v>60</v>
      </c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>
        <v>65</v>
      </c>
      <c r="I85" s="191">
        <v>60</v>
      </c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>
        <v>66</v>
      </c>
      <c r="I86" s="191">
        <v>60</v>
      </c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>
        <v>67</v>
      </c>
      <c r="I87" s="191">
        <v>60</v>
      </c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>
        <v>68</v>
      </c>
      <c r="I88" s="191">
        <v>60</v>
      </c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>
        <v>69</v>
      </c>
      <c r="I89" s="191">
        <v>60</v>
      </c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>
        <v>70</v>
      </c>
      <c r="I90" s="191">
        <v>60</v>
      </c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>
        <v>71</v>
      </c>
      <c r="I91" s="191">
        <v>60</v>
      </c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>
        <v>72</v>
      </c>
      <c r="I92" s="191">
        <v>60</v>
      </c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>
        <v>73</v>
      </c>
      <c r="I93" s="191">
        <v>60</v>
      </c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>
        <v>74</v>
      </c>
      <c r="I94" s="191">
        <v>60</v>
      </c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>
        <v>75</v>
      </c>
      <c r="I95" s="191">
        <v>60</v>
      </c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>
        <v>76</v>
      </c>
      <c r="I96" s="191">
        <v>60</v>
      </c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>
        <v>77</v>
      </c>
      <c r="I97" s="191">
        <v>60</v>
      </c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>
        <v>78</v>
      </c>
      <c r="I98" s="191">
        <v>60</v>
      </c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>
        <v>79</v>
      </c>
      <c r="I99" s="191">
        <v>60</v>
      </c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>
        <v>80</v>
      </c>
      <c r="I100" s="191">
        <v>60</v>
      </c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30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30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30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2024-04-26T11:25:26Z</dcterms:modified>
</cp:coreProperties>
</file>