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ouGabrigs\Desktop\Barbes\Fougax-et-barrineuf\"/>
    </mc:Choice>
  </mc:AlternateContent>
  <xr:revisionPtr revIDLastSave="0" documentId="13_ncr:1_{5AB20A93-EEE1-4076-BA9F-84D6B53C2AC2}" xr6:coauthVersionLast="47" xr6:coauthVersionMax="47" xr10:uidLastSave="{00000000-0000-0000-0000-000000000000}"/>
  <bookViews>
    <workbookView xWindow="9510" yWindow="0" windowWidth="9780" windowHeight="11370" tabRatio="866" firstSheet="2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externalReferences>
    <externalReference r:id="rId8"/>
  </externalReference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6" l="1"/>
  <c r="I20" i="6"/>
  <c r="E9" i="1"/>
  <c r="F9" i="1" s="1" a="1"/>
  <c r="F9" i="1" s="1"/>
  <c r="E12" i="1"/>
  <c r="E11" i="1"/>
  <c r="E10" i="1"/>
  <c r="B12" i="1"/>
  <c r="B11" i="1"/>
  <c r="B10" i="1"/>
  <c r="B9" i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FQ4" i="2"/>
  <c r="EC4" i="2"/>
  <c r="FR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FS18" i="2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B21" i="2"/>
  <c r="HH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W22" i="2"/>
  <c r="EA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HG28" i="2"/>
  <c r="EC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FQ35" i="2"/>
  <c r="CM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W38" i="2"/>
  <c r="HH38" i="2"/>
  <c r="HG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G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EW60" i="2"/>
  <c r="HG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HH62" i="2"/>
  <c r="EA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G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H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G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HG75" i="2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HI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HI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EC113" i="2"/>
  <c r="EW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H114" i="2"/>
  <c r="HG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H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FS122" i="2"/>
  <c r="HH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H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FR140" i="2" s="1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S140" i="2"/>
  <c r="EC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FS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H144" i="2"/>
  <c r="HG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HG145" i="2"/>
  <c r="HH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S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H150" i="2"/>
  <c r="EC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B154" i="2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X155" i="2"/>
  <c r="HH155" i="2"/>
  <c r="EA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B156" i="2" l="1"/>
  <c r="ED155" i="2"/>
  <c r="DH156" i="2"/>
  <c r="AB156" i="2"/>
  <c r="EX156" i="2"/>
  <c r="HH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X157" i="2"/>
  <c r="EA157" i="2"/>
  <c r="EB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D157" i="2"/>
  <c r="EV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EA159" i="2"/>
  <c r="HI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DG160" i="2"/>
  <c r="ED159" i="2"/>
  <c r="FS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ED160" i="2"/>
  <c r="EB161" i="2"/>
  <c r="EX161" i="2"/>
  <c r="AB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DI161" i="2"/>
  <c r="EW162" i="2"/>
  <c r="EC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B163" i="2"/>
  <c r="ED162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EX164" i="2"/>
  <c r="FR164" i="2"/>
  <c r="DH164" i="2"/>
  <c r="EA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X165" i="2"/>
  <c r="EB165" i="2"/>
  <c r="HH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EX167" i="2"/>
  <c r="DG167" i="2"/>
  <c r="EA167" i="2"/>
  <c r="EC167" i="2"/>
  <c r="HI167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HI168" i="2"/>
  <c r="EW168" i="2"/>
  <c r="HH168" i="2"/>
  <c r="EV168" i="2"/>
  <c r="EY168" i="2" s="1"/>
  <c r="EC168" i="2"/>
  <c r="DG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X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A172" i="2"/>
  <c r="ED171" i="2"/>
  <c r="EW172" i="2"/>
  <c r="HI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FS175" i="2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Q177" i="2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FQ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A179" i="2" l="1"/>
  <c r="ED179" i="2" s="1"/>
  <c r="HI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FS181" i="2" l="1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B183" i="2" l="1"/>
  <c r="ED182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HI185" i="2" l="1"/>
  <c r="EB185" i="2"/>
  <c r="EW185" i="2"/>
  <c r="HH185" i="2"/>
  <c r="HG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HH190" i="2" l="1"/>
  <c r="EB190" i="2"/>
  <c r="HI190" i="2"/>
  <c r="EX190" i="2"/>
  <c r="EC190" i="2"/>
  <c r="ED190" i="2" s="1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A192" i="2"/>
  <c r="HI192" i="2"/>
  <c r="EW192" i="2"/>
  <c r="EC192" i="2"/>
  <c r="ED192" i="2" s="1"/>
  <c r="EV192" i="2"/>
  <c r="EY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A193" i="2" l="1"/>
  <c r="DI192" i="2"/>
  <c r="FQ193" i="2"/>
  <c r="EX193" i="2"/>
  <c r="EB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B194" i="2"/>
  <c r="CN193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A195" i="2" l="1"/>
  <c r="DH195" i="2"/>
  <c r="AA195" i="2"/>
  <c r="EB195" i="2"/>
  <c r="FQ195" i="2"/>
  <c r="HG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A197" i="2" l="1"/>
  <c r="FS197" i="2"/>
  <c r="AA197" i="2"/>
  <c r="EC197" i="2"/>
  <c r="HH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EB199" i="2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 l="1"/>
  <c r="EA201" i="2"/>
  <c r="DI200" i="2"/>
  <c r="FS201" i="2"/>
  <c r="HH201" i="2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D201" i="2" l="1"/>
  <c r="FZ6" i="2"/>
  <c r="EX202" i="2"/>
  <c r="HH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18" i="2" a="1"/>
  <c r="FY18" i="2" s="1"/>
  <c r="FY186" i="2" a="1"/>
  <c r="FY186" i="2" s="1"/>
  <c r="FY55" i="2" a="1"/>
  <c r="FY55" i="2" s="1"/>
  <c r="FY104" i="2" a="1"/>
  <c r="FY10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EI195" i="2" a="1"/>
  <c r="EI195" i="2" s="1"/>
  <c r="DN103" i="2" a="1"/>
  <c r="DN103" i="2" s="1"/>
  <c r="FY182" i="2" a="1"/>
  <c r="FY182" i="2" s="1"/>
  <c r="FD60" i="2" a="1"/>
  <c r="FD60" i="2" s="1"/>
  <c r="FD188" i="2" a="1"/>
  <c r="FD188" i="2" s="1"/>
  <c r="FD44" i="2" a="1"/>
  <c r="FD44" i="2" s="1"/>
  <c r="FD48" i="2" a="1"/>
  <c r="FD48" i="2" s="1"/>
  <c r="FD43" i="2" a="1"/>
  <c r="FD43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BC164" i="2" a="1"/>
  <c r="BC164" i="2" s="1"/>
  <c r="BC38" i="2" a="1"/>
  <c r="BC3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31" i="2" a="1"/>
  <c r="DN31" i="2" s="1"/>
  <c r="DN70" i="2" a="1"/>
  <c r="DN70" i="2" s="1"/>
  <c r="DN65" i="2" a="1"/>
  <c r="DN65" i="2" s="1"/>
  <c r="DN133" i="2" a="1"/>
  <c r="DN133" i="2" s="1"/>
  <c r="DN6" i="2" a="1"/>
  <c r="DN6" i="2" s="1"/>
  <c r="DO6" i="2" s="1"/>
  <c r="DN46" i="2" a="1"/>
  <c r="DN46" i="2" s="1"/>
  <c r="DN30" i="2" a="1"/>
  <c r="DN30" i="2" s="1"/>
  <c r="DN45" i="2" a="1"/>
  <c r="DN45" i="2" s="1"/>
  <c r="FD82" i="2" a="1"/>
  <c r="FD82" i="2" s="1"/>
  <c r="HJ202" i="2"/>
  <c r="EY202" i="2"/>
  <c r="AX200" i="2"/>
  <c r="DN176" i="2" l="1" a="1"/>
  <c r="DN176" i="2" s="1"/>
  <c r="DN80" i="2" a="1"/>
  <c r="DN80" i="2" s="1"/>
  <c r="DN129" i="2" a="1"/>
  <c r="DN129" i="2" s="1"/>
  <c r="DN190" i="2" a="1"/>
  <c r="DN190" i="2" s="1"/>
  <c r="DN168" i="2" a="1"/>
  <c r="DN168" i="2" s="1"/>
  <c r="DN114" i="2" a="1"/>
  <c r="DN114" i="2" s="1"/>
  <c r="DN50" i="2" a="1"/>
  <c r="DN50" i="2" s="1"/>
  <c r="DN55" i="2" a="1"/>
  <c r="DN55" i="2" s="1"/>
  <c r="DN123" i="2" a="1"/>
  <c r="DN123" i="2" s="1"/>
  <c r="DN113" i="2" a="1"/>
  <c r="DN113" i="2" s="1"/>
  <c r="DN187" i="2" a="1"/>
  <c r="DN187" i="2" s="1"/>
  <c r="DN110" i="2" a="1"/>
  <c r="DN110" i="2" s="1"/>
  <c r="DN184" i="2" a="1"/>
  <c r="DN184" i="2" s="1"/>
  <c r="DN132" i="2" a="1"/>
  <c r="DN132" i="2" s="1"/>
  <c r="DN167" i="2" a="1"/>
  <c r="DN167" i="2" s="1"/>
  <c r="DN150" i="2" a="1"/>
  <c r="DN150" i="2" s="1"/>
  <c r="DN25" i="2" a="1"/>
  <c r="DN25" i="2" s="1"/>
  <c r="BC117" i="2" a="1"/>
  <c r="BC117" i="2" s="1"/>
  <c r="BC114" i="2" a="1"/>
  <c r="BC114" i="2" s="1"/>
  <c r="BC181" i="2" a="1"/>
  <c r="BC181" i="2" s="1"/>
  <c r="BC18" i="2" a="1"/>
  <c r="BC18" i="2" s="1"/>
  <c r="BC65" i="2" a="1"/>
  <c r="BC65" i="2" s="1"/>
  <c r="BC31" i="2" a="1"/>
  <c r="BC31" i="2" s="1"/>
  <c r="BC82" i="2" a="1"/>
  <c r="BC82" i="2" s="1"/>
  <c r="BC83" i="2" a="1"/>
  <c r="BC83" i="2" s="1"/>
  <c r="BC84" i="2" a="1"/>
  <c r="BC84" i="2" s="1"/>
  <c r="BC126" i="2" a="1"/>
  <c r="BC126" i="2" s="1"/>
  <c r="BC32" i="2" a="1"/>
  <c r="BC32" i="2" s="1"/>
  <c r="BC47" i="2" a="1"/>
  <c r="BC47" i="2" s="1"/>
  <c r="BC68" i="2" a="1"/>
  <c r="BC68" i="2" s="1"/>
  <c r="BC130" i="2" a="1"/>
  <c r="BC130" i="2" s="1"/>
  <c r="BC192" i="2" a="1"/>
  <c r="BC192" i="2" s="1"/>
  <c r="BC55" i="2" a="1"/>
  <c r="BC55" i="2" s="1"/>
  <c r="CS38" i="2" a="1"/>
  <c r="CS38" i="2" s="1"/>
  <c r="CS77" i="2" a="1"/>
  <c r="CS77" i="2" s="1"/>
  <c r="BC151" i="2" a="1"/>
  <c r="BC151" i="2" s="1"/>
  <c r="BC58" i="2" a="1"/>
  <c r="BC58" i="2" s="1"/>
  <c r="BC7" i="2" a="1"/>
  <c r="BC7" i="2" s="1"/>
  <c r="BD7" i="2" s="1"/>
  <c r="BC34" i="2" a="1"/>
  <c r="BC34" i="2" s="1"/>
  <c r="BC185" i="2" a="1"/>
  <c r="BC185" i="2" s="1"/>
  <c r="BC143" i="2" a="1"/>
  <c r="BC143" i="2" s="1"/>
  <c r="AH90" i="2" a="1"/>
  <c r="AH90" i="2" s="1"/>
  <c r="AH151" i="2" a="1"/>
  <c r="AH151" i="2" s="1"/>
  <c r="FY126" i="2" a="1"/>
  <c r="FY126" i="2" s="1"/>
  <c r="FY188" i="2" a="1"/>
  <c r="FY188" i="2" s="1"/>
  <c r="FY140" i="2" a="1"/>
  <c r="FY140" i="2" s="1"/>
  <c r="FY143" i="2" a="1"/>
  <c r="FY143" i="2" s="1"/>
  <c r="FY121" i="2" a="1"/>
  <c r="FY121" i="2" s="1"/>
  <c r="FY35" i="2" a="1"/>
  <c r="FY35" i="2" s="1"/>
  <c r="FY167" i="2" a="1"/>
  <c r="FY167" i="2" s="1"/>
  <c r="CS129" i="2" a="1"/>
  <c r="CS129" i="2" s="1"/>
  <c r="FY124" i="2" a="1"/>
  <c r="FY124" i="2" s="1"/>
  <c r="CS52" i="2" a="1"/>
  <c r="CS52" i="2" s="1"/>
  <c r="FY169" i="2" a="1"/>
  <c r="FY169" i="2" s="1"/>
  <c r="FY99" i="2" a="1"/>
  <c r="FY99" i="2" s="1"/>
  <c r="FY153" i="2" a="1"/>
  <c r="FY153" i="2" s="1"/>
  <c r="FY146" i="2" a="1"/>
  <c r="FY146" i="2" s="1"/>
  <c r="BX107" i="2" a="1"/>
  <c r="BX107" i="2" s="1"/>
  <c r="CS114" i="2" a="1"/>
  <c r="CS114" i="2" s="1"/>
  <c r="CS120" i="2" a="1"/>
  <c r="CS120" i="2" s="1"/>
  <c r="FD131" i="2" a="1"/>
  <c r="FD131" i="2" s="1"/>
  <c r="FY80" i="2" a="1"/>
  <c r="FY80" i="2" s="1"/>
  <c r="AH163" i="2" a="1"/>
  <c r="AH163" i="2" s="1"/>
  <c r="FY62" i="2" a="1"/>
  <c r="FY62" i="2" s="1"/>
  <c r="FY116" i="2" a="1"/>
  <c r="FY116" i="2" s="1"/>
  <c r="FY102" i="2" a="1"/>
  <c r="FY102" i="2" s="1"/>
  <c r="FY32" i="2" a="1"/>
  <c r="FY32" i="2" s="1"/>
  <c r="FS203" i="2"/>
  <c r="FY115" i="2" a="1"/>
  <c r="FY115" i="2" s="1"/>
  <c r="FY173" i="2" a="1"/>
  <c r="FY173" i="2" s="1"/>
  <c r="FY133" i="2" a="1"/>
  <c r="FY133" i="2" s="1"/>
  <c r="FY79" i="2" a="1"/>
  <c r="FY79" i="2" s="1"/>
  <c r="FY24" i="2" a="1"/>
  <c r="FY24" i="2" s="1"/>
  <c r="CS105" i="2" a="1"/>
  <c r="CS105" i="2" s="1"/>
  <c r="FY165" i="2" a="1"/>
  <c r="FY165" i="2" s="1"/>
  <c r="CS161" i="2" a="1"/>
  <c r="CS161" i="2" s="1"/>
  <c r="CS72" i="2" a="1"/>
  <c r="CS72" i="2" s="1"/>
  <c r="CS116" i="2" a="1"/>
  <c r="CS116" i="2" s="1"/>
  <c r="CS66" i="2" a="1"/>
  <c r="CS66" i="2" s="1"/>
  <c r="FY69" i="2" a="1"/>
  <c r="FY69" i="2" s="1"/>
  <c r="FD64" i="2" a="1"/>
  <c r="FD64" i="2" s="1"/>
  <c r="FY42" i="2" a="1"/>
  <c r="FY42" i="2" s="1"/>
  <c r="AH199" i="2" a="1"/>
  <c r="AH199" i="2" s="1"/>
  <c r="FD144" i="2" a="1"/>
  <c r="FD144" i="2" s="1"/>
  <c r="FY72" i="2" a="1"/>
  <c r="FY72" i="2" s="1"/>
  <c r="FY111" i="2" a="1"/>
  <c r="FY111" i="2" s="1"/>
  <c r="FY66" i="2" a="1"/>
  <c r="FY66" i="2" s="1"/>
  <c r="FY90" i="2" a="1"/>
  <c r="FY90" i="2" s="1"/>
  <c r="FY28" i="2" a="1"/>
  <c r="FY28" i="2" s="1"/>
  <c r="FY47" i="2" a="1"/>
  <c r="FY47" i="2" s="1"/>
  <c r="FY78" i="2" a="1"/>
  <c r="FY78" i="2" s="1"/>
  <c r="FY110" i="2" a="1"/>
  <c r="FY110" i="2" s="1"/>
  <c r="AH62" i="2" a="1"/>
  <c r="AH62" i="2" s="1"/>
  <c r="FY190" i="2" a="1"/>
  <c r="FY190" i="2" s="1"/>
  <c r="FY22" i="2" a="1"/>
  <c r="FY22" i="2" s="1"/>
  <c r="CS134" i="2" a="1"/>
  <c r="CS134" i="2" s="1"/>
  <c r="CS185" i="2" a="1"/>
  <c r="CS185" i="2" s="1"/>
  <c r="FD189" i="2" a="1"/>
  <c r="FD189" i="2" s="1"/>
  <c r="FY196" i="2" a="1"/>
  <c r="FY196" i="2" s="1"/>
  <c r="AH166" i="2" a="1"/>
  <c r="AH166" i="2" s="1"/>
  <c r="FD21" i="2" a="1"/>
  <c r="FD21" i="2" s="1"/>
  <c r="AH92" i="2" a="1"/>
  <c r="AH92" i="2" s="1"/>
  <c r="FY73" i="2" a="1"/>
  <c r="FY73" i="2" s="1"/>
  <c r="FY120" i="2" a="1"/>
  <c r="FY120" i="2" s="1"/>
  <c r="FY57" i="2" a="1"/>
  <c r="FY57" i="2" s="1"/>
  <c r="FY34" i="2" a="1"/>
  <c r="FY34" i="2" s="1"/>
  <c r="FY109" i="2" a="1"/>
  <c r="FY109" i="2" s="1"/>
  <c r="FY86" i="2" a="1"/>
  <c r="FY86" i="2" s="1"/>
  <c r="FY164" i="2" a="1"/>
  <c r="FY164" i="2" s="1"/>
  <c r="FY159" i="2" a="1"/>
  <c r="FY159" i="2" s="1"/>
  <c r="FY58" i="2" a="1"/>
  <c r="FY58" i="2" s="1"/>
  <c r="FY149" i="2" a="1"/>
  <c r="FY149" i="2" s="1"/>
  <c r="FY29" i="2" a="1"/>
  <c r="FY29" i="2" s="1"/>
  <c r="FY191" i="2" a="1"/>
  <c r="FY191" i="2" s="1"/>
  <c r="CS137" i="2" a="1"/>
  <c r="CS137" i="2" s="1"/>
  <c r="FY174" i="2" a="1"/>
  <c r="FY174" i="2" s="1"/>
  <c r="FY142" i="2" a="1"/>
  <c r="FY142" i="2" s="1"/>
  <c r="CS56" i="2" a="1"/>
  <c r="CS56" i="2" s="1"/>
  <c r="FY30" i="2" a="1"/>
  <c r="FY30" i="2" s="1"/>
  <c r="FY92" i="2" a="1"/>
  <c r="FY92" i="2" s="1"/>
  <c r="CS24" i="2" a="1"/>
  <c r="CS24" i="2" s="1"/>
  <c r="FD187" i="2" a="1"/>
  <c r="FD187" i="2" s="1"/>
  <c r="FD14" i="2" a="1"/>
  <c r="FD14" i="2" s="1"/>
  <c r="FY82" i="2" a="1"/>
  <c r="FY82" i="2" s="1"/>
  <c r="AH19" i="2" a="1"/>
  <c r="AH19" i="2" s="1"/>
  <c r="FY172" i="2" a="1"/>
  <c r="FY172" i="2" s="1"/>
  <c r="FY178" i="2" a="1"/>
  <c r="FY178" i="2" s="1"/>
  <c r="FY152" i="2" a="1"/>
  <c r="FY152" i="2" s="1"/>
  <c r="FY71" i="2" a="1"/>
  <c r="FY71" i="2" s="1"/>
  <c r="FY54" i="2" a="1"/>
  <c r="FY54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DI203" i="2"/>
  <c r="CN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CD179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D133" i="2" l="1"/>
  <c r="CD90" i="2"/>
  <c r="CD36" i="2"/>
  <c r="CD15" i="2"/>
  <c r="CD116" i="2"/>
  <c r="CD96" i="2"/>
  <c r="CD16" i="2"/>
  <c r="CD143" i="2"/>
  <c r="CD37" i="2"/>
  <c r="CD70" i="2"/>
  <c r="CD137" i="2"/>
  <c r="CD169" i="2"/>
  <c r="CD83" i="2"/>
  <c r="CD159" i="2"/>
  <c r="CD103" i="2"/>
  <c r="CD164" i="2"/>
  <c r="CD183" i="2"/>
  <c r="CD172" i="2"/>
  <c r="CD30" i="2"/>
  <c r="CD180" i="2"/>
  <c r="CD39" i="2"/>
  <c r="CD40" i="2"/>
  <c r="CD60" i="2"/>
  <c r="CD115" i="2"/>
  <c r="CD33" i="2"/>
  <c r="CD144" i="2"/>
  <c r="CD75" i="2"/>
  <c r="CD145" i="2"/>
  <c r="CD194" i="2"/>
  <c r="CD106" i="2"/>
  <c r="CD126" i="2"/>
  <c r="CD151" i="2"/>
  <c r="CD97" i="2"/>
  <c r="CD176" i="2"/>
  <c r="CD69" i="2"/>
  <c r="CD59" i="2"/>
  <c r="CD32" i="2"/>
  <c r="CD58" i="2"/>
  <c r="CD177" i="2"/>
  <c r="CD136" i="2"/>
  <c r="CD82" i="2"/>
  <c r="CD101" i="2"/>
  <c r="CD134" i="2"/>
  <c r="CD57" i="2"/>
  <c r="CD192" i="2"/>
  <c r="CD122" i="2"/>
  <c r="CD38" i="2"/>
  <c r="CD118" i="2"/>
  <c r="CD46" i="2"/>
  <c r="CD43" i="2"/>
  <c r="CD199" i="2"/>
  <c r="CD35" i="2"/>
  <c r="CD45" i="2"/>
  <c r="CD152" i="2"/>
  <c r="CD187" i="2"/>
  <c r="CD155" i="2"/>
  <c r="CD141" i="2"/>
  <c r="CD117" i="2"/>
  <c r="CD63" i="2"/>
  <c r="CD76" i="2"/>
  <c r="CD93" i="2"/>
  <c r="CD113" i="2"/>
  <c r="CD162" i="2"/>
  <c r="CD7" i="2"/>
  <c r="CD25" i="2"/>
  <c r="CD110" i="2"/>
  <c r="CD140" i="2"/>
  <c r="CD105" i="2"/>
  <c r="CD91" i="2"/>
  <c r="CD34" i="2"/>
  <c r="CD166" i="2"/>
  <c r="CD127" i="2"/>
  <c r="CD9" i="2"/>
  <c r="CD195" i="2"/>
  <c r="CD171" i="2"/>
  <c r="CD31" i="2"/>
  <c r="CD170" i="2"/>
  <c r="CD193" i="2"/>
  <c r="CD132" i="2"/>
  <c r="CD85" i="2"/>
  <c r="CD157" i="2"/>
  <c r="CD153" i="2"/>
  <c r="CD129" i="2"/>
  <c r="CD135" i="2"/>
  <c r="CD84" i="2"/>
  <c r="CD148" i="2"/>
  <c r="CD139" i="2"/>
  <c r="CD201" i="2"/>
  <c r="CD100" i="2"/>
  <c r="CD24" i="2"/>
  <c r="CD12" i="2"/>
  <c r="CD203" i="2"/>
  <c r="CD87" i="2"/>
  <c r="CD51" i="2"/>
  <c r="CD65" i="2"/>
  <c r="CD184" i="2"/>
  <c r="CD102" i="2"/>
  <c r="CD88" i="2"/>
  <c r="CD149" i="2"/>
  <c r="CD27" i="2"/>
  <c r="CD11" i="2"/>
  <c r="CD178" i="2"/>
  <c r="CD18" i="2"/>
  <c r="CD158" i="2"/>
  <c r="CD119" i="2"/>
  <c r="CD48" i="2"/>
  <c r="CD181" i="2"/>
  <c r="CD67" i="2"/>
  <c r="CD168" i="2"/>
  <c r="CD8" i="2"/>
  <c r="CD81" i="2"/>
  <c r="CD154" i="2"/>
  <c r="CD98" i="2"/>
  <c r="CD62" i="2"/>
  <c r="CD131" i="2"/>
  <c r="CD182" i="2"/>
  <c r="CD72" i="2"/>
  <c r="CD112" i="2"/>
  <c r="CD160" i="2"/>
  <c r="CD10" i="2"/>
  <c r="CD156" i="2"/>
  <c r="CD28" i="2"/>
  <c r="CD68" i="2"/>
  <c r="CD80" i="2"/>
  <c r="CD41" i="2"/>
  <c r="CD198" i="2"/>
  <c r="CD42" i="2"/>
  <c r="CD114" i="2"/>
  <c r="CD138" i="2"/>
  <c r="CD99" i="2"/>
  <c r="CD44" i="2"/>
  <c r="CD52" i="2"/>
  <c r="CD17" i="2"/>
  <c r="CD6" i="2"/>
  <c r="CD142" i="2"/>
  <c r="CD14" i="2"/>
  <c r="CD146" i="2"/>
  <c r="CD130" i="2"/>
  <c r="CD54" i="2"/>
  <c r="CD73" i="2"/>
  <c r="CD71" i="2"/>
  <c r="CD23" i="2"/>
  <c r="CD200" i="2"/>
  <c r="CD4" i="2"/>
  <c r="CD64" i="2"/>
  <c r="CD13" i="2"/>
  <c r="CD167" i="2"/>
  <c r="CD175" i="2"/>
  <c r="CD128" i="2"/>
  <c r="CD95" i="2"/>
  <c r="CD161" i="2"/>
  <c r="CD22" i="2"/>
  <c r="CD109" i="2"/>
  <c r="CD29" i="2"/>
  <c r="CD108" i="2"/>
  <c r="CD111" i="2"/>
  <c r="CD47" i="2"/>
  <c r="CD21" i="2"/>
  <c r="CD53" i="2"/>
  <c r="CD125" i="2"/>
  <c r="CD19" i="2"/>
  <c r="CD86" i="2"/>
  <c r="CD104" i="2"/>
  <c r="CD89" i="2"/>
  <c r="CD188" i="2"/>
  <c r="CD5" i="2"/>
  <c r="CD78" i="2"/>
  <c r="CD174" i="2"/>
  <c r="CD107" i="2"/>
  <c r="CD61" i="2"/>
  <c r="CD120" i="2"/>
  <c r="CD163" i="2"/>
  <c r="CD55" i="2"/>
  <c r="CD77" i="2"/>
  <c r="CD49" i="2"/>
  <c r="CD26" i="2"/>
  <c r="CD66" i="2"/>
  <c r="CD147" i="2"/>
  <c r="CD165" i="2"/>
  <c r="CD191" i="2"/>
  <c r="CD202" i="2"/>
  <c r="CD94" i="2"/>
  <c r="CD185" i="2"/>
  <c r="CD74" i="2"/>
  <c r="CD124" i="2"/>
  <c r="CD190" i="2"/>
  <c r="CD186" i="2"/>
  <c r="CD79" i="2"/>
  <c r="CD123" i="2"/>
  <c r="CD20" i="2"/>
  <c r="CD92" i="2"/>
  <c r="CD150" i="2"/>
  <c r="CD50" i="2"/>
  <c r="CD196" i="2"/>
  <c r="CD56" i="2"/>
  <c r="CD121" i="2"/>
  <c r="CD189" i="2"/>
  <c r="CD197" i="2"/>
  <c r="CD3" i="2"/>
  <c r="C9" i="4" s="1"/>
  <c r="E9" i="4" s="1"/>
  <c r="F9" i="4" s="1"/>
  <c r="G9" i="4" s="1"/>
  <c r="L9" i="4" s="1"/>
  <c r="CD173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CY28" i="2" l="1"/>
  <c r="CY24" i="2"/>
  <c r="CY14" i="2"/>
  <c r="CY116" i="2"/>
  <c r="CY18" i="2"/>
  <c r="CY163" i="2"/>
  <c r="CY197" i="2"/>
  <c r="CY154" i="2"/>
  <c r="CY126" i="2"/>
  <c r="CY102" i="2"/>
  <c r="CY107" i="2"/>
  <c r="CY199" i="2"/>
  <c r="CY185" i="2"/>
  <c r="CY141" i="2"/>
  <c r="CY35" i="2"/>
  <c r="CY155" i="2"/>
  <c r="CY196" i="2"/>
  <c r="CY23" i="2"/>
  <c r="CY127" i="2"/>
  <c r="CY97" i="2"/>
  <c r="CY148" i="2"/>
  <c r="CY59" i="2"/>
  <c r="CY124" i="2"/>
  <c r="CY33" i="2"/>
  <c r="CY123" i="2"/>
  <c r="CY152" i="2"/>
  <c r="CY93" i="2"/>
  <c r="CY134" i="2"/>
  <c r="CY82" i="2"/>
  <c r="CY80" i="2"/>
  <c r="CY108" i="2"/>
  <c r="CY56" i="2"/>
  <c r="CY74" i="2"/>
  <c r="CY65" i="2"/>
  <c r="CY83" i="2"/>
  <c r="CY61" i="2"/>
  <c r="CY140" i="2"/>
  <c r="CY66" i="2"/>
  <c r="CY89" i="2"/>
  <c r="CY73" i="2"/>
  <c r="CY109" i="2"/>
  <c r="CY167" i="2"/>
  <c r="CY58" i="2"/>
  <c r="CY47" i="2"/>
  <c r="CY49" i="2"/>
  <c r="CY190" i="2"/>
  <c r="CY4" i="2"/>
  <c r="CY146" i="2"/>
  <c r="CY19" i="2"/>
  <c r="CY182" i="2"/>
  <c r="CY133" i="2"/>
  <c r="CY90" i="2"/>
  <c r="CY131" i="2"/>
  <c r="CY180" i="2"/>
  <c r="CY50" i="2"/>
  <c r="CY198" i="2"/>
  <c r="CY151" i="2"/>
  <c r="CY142" i="2"/>
  <c r="CY13" i="2"/>
  <c r="CY54" i="2"/>
  <c r="CY165" i="2"/>
  <c r="CY118" i="2"/>
  <c r="CY15" i="2"/>
  <c r="CY9" i="2"/>
  <c r="CY3" i="2"/>
  <c r="C10" i="4" s="1"/>
  <c r="E10" i="4" s="1"/>
  <c r="F10" i="4" s="1"/>
  <c r="G10" i="4" s="1"/>
  <c r="L10" i="4" s="1"/>
  <c r="CY8" i="2"/>
  <c r="CY84" i="2"/>
  <c r="CY200" i="2"/>
  <c r="CY189" i="2"/>
  <c r="CY52" i="2"/>
  <c r="CY7" i="2"/>
  <c r="CY169" i="2"/>
  <c r="CY125" i="2"/>
  <c r="CY55" i="2"/>
  <c r="CY188" i="2"/>
  <c r="CY130" i="2"/>
  <c r="CY168" i="2"/>
  <c r="CY67" i="2"/>
  <c r="CY175" i="2"/>
  <c r="CY30" i="2"/>
  <c r="CY51" i="2"/>
  <c r="CY173" i="2"/>
  <c r="CY6" i="2"/>
  <c r="CY161" i="2"/>
  <c r="CY100" i="2"/>
  <c r="CY91" i="2"/>
  <c r="CY95" i="2"/>
  <c r="CY27" i="2"/>
  <c r="CY68" i="2"/>
  <c r="CY98" i="2"/>
  <c r="CY42" i="2"/>
  <c r="CY202" i="2"/>
  <c r="CY144" i="2"/>
  <c r="CY112" i="2"/>
  <c r="CY132" i="2"/>
  <c r="CY43" i="2"/>
  <c r="CY137" i="2"/>
  <c r="CY113" i="2"/>
  <c r="CY203" i="2"/>
  <c r="CY78" i="2"/>
  <c r="CY193" i="2"/>
  <c r="CY191" i="2"/>
  <c r="CY29" i="2"/>
  <c r="CY46" i="2"/>
  <c r="CY115" i="2"/>
  <c r="CY121" i="2"/>
  <c r="CY17" i="2"/>
  <c r="CY135" i="2"/>
  <c r="CY31" i="2"/>
  <c r="CY22" i="2"/>
  <c r="CY174" i="2"/>
  <c r="CY63" i="2"/>
  <c r="CY104" i="2"/>
  <c r="CY179" i="2"/>
  <c r="CY139" i="2"/>
  <c r="CY37" i="2"/>
  <c r="CY72" i="2"/>
  <c r="CY195" i="2"/>
  <c r="CY186" i="2"/>
  <c r="CY138" i="2"/>
  <c r="CY101" i="2"/>
  <c r="CY192" i="2"/>
  <c r="CY12" i="2"/>
  <c r="CY71" i="2"/>
  <c r="CY114" i="2"/>
  <c r="CY117" i="2"/>
  <c r="CY187" i="2"/>
  <c r="CY170" i="2"/>
  <c r="CY149" i="2"/>
  <c r="CY48" i="2"/>
  <c r="CY76" i="2"/>
  <c r="CY122" i="2"/>
  <c r="CY156" i="2"/>
  <c r="CY32" i="2"/>
  <c r="CY136" i="2"/>
  <c r="CY99" i="2"/>
  <c r="CY110" i="2"/>
  <c r="CY157" i="2"/>
  <c r="CY178" i="2"/>
  <c r="CY57" i="2"/>
  <c r="CY45" i="2"/>
  <c r="CY172" i="2"/>
  <c r="CY44" i="2"/>
  <c r="CY38" i="2"/>
  <c r="CY106" i="2"/>
  <c r="CY150" i="2"/>
  <c r="CY21" i="2"/>
  <c r="CY81" i="2"/>
  <c r="CY105" i="2"/>
  <c r="CY194" i="2"/>
  <c r="CY94" i="2"/>
  <c r="CY153" i="2"/>
  <c r="CY53" i="2"/>
  <c r="CY69" i="2"/>
  <c r="CY103" i="2"/>
  <c r="CY86" i="2"/>
  <c r="CY160" i="2"/>
  <c r="CY26" i="2"/>
  <c r="CY36" i="2"/>
  <c r="CY184" i="2"/>
  <c r="CY111" i="2"/>
  <c r="CY183" i="2"/>
  <c r="CY16" i="2"/>
  <c r="CY177" i="2"/>
  <c r="CY5" i="2"/>
  <c r="CY171" i="2"/>
  <c r="CY164" i="2"/>
  <c r="CY41" i="2"/>
  <c r="CY129" i="2"/>
  <c r="CY34" i="2"/>
  <c r="CY147" i="2"/>
  <c r="CY10" i="2"/>
  <c r="CY181" i="2"/>
  <c r="CY62" i="2"/>
  <c r="CY39" i="2"/>
  <c r="CY85" i="2"/>
  <c r="CY88" i="2"/>
  <c r="CY77" i="2"/>
  <c r="CY11" i="2"/>
  <c r="CY143" i="2"/>
  <c r="CY162" i="2"/>
  <c r="CY159" i="2"/>
  <c r="CY119" i="2"/>
  <c r="CY64" i="2"/>
  <c r="CY25" i="2"/>
  <c r="CY158" i="2"/>
  <c r="CY40" i="2"/>
  <c r="CY79" i="2"/>
  <c r="CY87" i="2"/>
  <c r="CY201" i="2"/>
  <c r="CY120" i="2"/>
  <c r="CY176" i="2"/>
  <c r="CY166" i="2"/>
  <c r="CY128" i="2"/>
  <c r="CY92" i="2"/>
  <c r="CY20" i="2"/>
  <c r="CY75" i="2"/>
  <c r="CY60" i="2"/>
  <c r="CY145" i="2"/>
  <c r="CY70" i="2"/>
  <c r="CY96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BI167" i="2" l="1"/>
  <c r="BI59" i="2"/>
  <c r="BI170" i="2"/>
  <c r="BI199" i="2"/>
  <c r="BI129" i="2"/>
  <c r="BI100" i="2"/>
  <c r="BI103" i="2"/>
  <c r="BI104" i="2"/>
  <c r="BI55" i="2"/>
  <c r="BI126" i="2"/>
  <c r="BI187" i="2"/>
  <c r="BI180" i="2"/>
  <c r="BI115" i="2"/>
  <c r="BI168" i="2"/>
  <c r="BI31" i="2"/>
  <c r="BI175" i="2"/>
  <c r="BI13" i="2"/>
  <c r="BI60" i="2"/>
  <c r="BI109" i="2"/>
  <c r="BI66" i="2"/>
  <c r="BI39" i="2"/>
  <c r="BI142" i="2"/>
  <c r="BI86" i="2"/>
  <c r="BI35" i="2"/>
  <c r="BI16" i="2"/>
  <c r="BI49" i="2"/>
  <c r="BI183" i="2"/>
  <c r="BI195" i="2"/>
  <c r="BI93" i="2"/>
  <c r="BI12" i="2"/>
  <c r="BI190" i="2"/>
  <c r="BI46" i="2"/>
  <c r="BI173" i="2"/>
  <c r="BI21" i="2"/>
  <c r="BI81" i="2"/>
  <c r="BI54" i="2"/>
  <c r="BI124" i="2"/>
  <c r="BI92" i="2"/>
  <c r="BI40" i="2"/>
  <c r="BI72" i="2"/>
  <c r="BI196" i="2"/>
  <c r="BI148" i="2"/>
  <c r="BI178" i="2"/>
  <c r="BI194" i="2"/>
  <c r="BI151" i="2"/>
  <c r="BI181" i="2"/>
  <c r="BI158" i="2"/>
  <c r="BI143" i="2"/>
  <c r="BI189" i="2"/>
  <c r="BI95" i="2"/>
  <c r="BI91" i="2"/>
  <c r="BI76" i="2"/>
  <c r="BI73" i="2"/>
  <c r="BI179" i="2"/>
  <c r="FE200" i="2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I88" i="2" s="1"/>
  <c r="BE113" i="2"/>
  <c r="BS111" i="2"/>
  <c r="BI201" i="2" l="1"/>
  <c r="BI121" i="2"/>
  <c r="BI64" i="2"/>
  <c r="BI23" i="2"/>
  <c r="BI84" i="2"/>
  <c r="BI132" i="2"/>
  <c r="BI184" i="2"/>
  <c r="BI119" i="2"/>
  <c r="BI45" i="2"/>
  <c r="BI136" i="2"/>
  <c r="BI192" i="2"/>
  <c r="BI90" i="2"/>
  <c r="BI140" i="2"/>
  <c r="BI19" i="2"/>
  <c r="BI163" i="2"/>
  <c r="BI105" i="2"/>
  <c r="BI197" i="2"/>
  <c r="BI77" i="2"/>
  <c r="BI82" i="2"/>
  <c r="BI145" i="2"/>
  <c r="BI133" i="2"/>
  <c r="BI5" i="2"/>
  <c r="BI24" i="2"/>
  <c r="BI70" i="2"/>
  <c r="BI57" i="2"/>
  <c r="BI18" i="2"/>
  <c r="BI127" i="2"/>
  <c r="BI111" i="2"/>
  <c r="BI98" i="2"/>
  <c r="BI122" i="2"/>
  <c r="BI74" i="2"/>
  <c r="BI47" i="2"/>
  <c r="BI117" i="2"/>
  <c r="BI52" i="2"/>
  <c r="BI79" i="2"/>
  <c r="BI78" i="2"/>
  <c r="BI32" i="2"/>
  <c r="BI128" i="2"/>
  <c r="BI118" i="2"/>
  <c r="BI160" i="2"/>
  <c r="BI166" i="2"/>
  <c r="BI56" i="2"/>
  <c r="BI8" i="2"/>
  <c r="BI138" i="2"/>
  <c r="BI34" i="2"/>
  <c r="BI110" i="2"/>
  <c r="BI69" i="2"/>
  <c r="BI85" i="2"/>
  <c r="BI159" i="2"/>
  <c r="BI113" i="2"/>
  <c r="BI11" i="2"/>
  <c r="BI7" i="2"/>
  <c r="BI83" i="2"/>
  <c r="BI131" i="2"/>
  <c r="BI147" i="2"/>
  <c r="BI15" i="2"/>
  <c r="BI186" i="2"/>
  <c r="BI22" i="2"/>
  <c r="BI176" i="2"/>
  <c r="BI96" i="2"/>
  <c r="BI108" i="2"/>
  <c r="BI29" i="2"/>
  <c r="BI97" i="2"/>
  <c r="BI116" i="2"/>
  <c r="BI154" i="2"/>
  <c r="BI4" i="2"/>
  <c r="BI202" i="2"/>
  <c r="BI146" i="2"/>
  <c r="BI169" i="2"/>
  <c r="BI134" i="2"/>
  <c r="BI156" i="2"/>
  <c r="BI102" i="2"/>
  <c r="BI80" i="2"/>
  <c r="BI144" i="2"/>
  <c r="BI33" i="2"/>
  <c r="BI67" i="2"/>
  <c r="BI71" i="2"/>
  <c r="BI10" i="2"/>
  <c r="BI101" i="2"/>
  <c r="BI106" i="2"/>
  <c r="BI51" i="2"/>
  <c r="BI141" i="2"/>
  <c r="BI165" i="2"/>
  <c r="BI137" i="2"/>
  <c r="BI171" i="2"/>
  <c r="BI42" i="2"/>
  <c r="BI14" i="2"/>
  <c r="BI50" i="2"/>
  <c r="BI153" i="2"/>
  <c r="BI191" i="2"/>
  <c r="BI188" i="2"/>
  <c r="BI125" i="2"/>
  <c r="BI149" i="2"/>
  <c r="BI99" i="2"/>
  <c r="BI48" i="2"/>
  <c r="BI44" i="2"/>
  <c r="BI177" i="2"/>
  <c r="BI6" i="2"/>
  <c r="BI193" i="2"/>
  <c r="BI65" i="2"/>
  <c r="BI38" i="2"/>
  <c r="BI162" i="2"/>
  <c r="BI36" i="2"/>
  <c r="BI130" i="2"/>
  <c r="BI62" i="2"/>
  <c r="BI17" i="2"/>
  <c r="BI120" i="2"/>
  <c r="BI157" i="2"/>
  <c r="BI123" i="2"/>
  <c r="BI114" i="2"/>
  <c r="BI172" i="2"/>
  <c r="BI150" i="2"/>
  <c r="BI198" i="2"/>
  <c r="BI30" i="2"/>
  <c r="BI27" i="2"/>
  <c r="BI3" i="2"/>
  <c r="C8" i="4" s="1"/>
  <c r="E8" i="4" s="1"/>
  <c r="F8" i="4" s="1"/>
  <c r="G8" i="4" s="1"/>
  <c r="L8" i="4" s="1"/>
  <c r="BI182" i="2"/>
  <c r="BI139" i="2"/>
  <c r="BI89" i="2"/>
  <c r="BI26" i="2"/>
  <c r="BI94" i="2"/>
  <c r="BI161" i="2"/>
  <c r="BI41" i="2"/>
  <c r="BI75" i="2"/>
  <c r="BI164" i="2"/>
  <c r="BI174" i="2"/>
  <c r="BI155" i="2"/>
  <c r="BI58" i="2"/>
  <c r="BI63" i="2"/>
  <c r="BI200" i="2"/>
  <c r="BI20" i="2"/>
  <c r="BI107" i="2"/>
  <c r="BI203" i="2"/>
  <c r="BI25" i="2"/>
  <c r="BI37" i="2"/>
  <c r="BI53" i="2"/>
  <c r="BI185" i="2"/>
  <c r="BI112" i="2"/>
  <c r="BI9" i="2"/>
  <c r="BI61" i="2"/>
  <c r="BI68" i="2"/>
  <c r="BI28" i="2"/>
  <c r="BI135" i="2"/>
  <c r="BI87" i="2"/>
  <c r="BI152" i="2"/>
  <c r="BI43" i="2"/>
  <c r="FE201" i="2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tc={37DF1CE1-C1ED-4E3C-9938-E9AB7BD8DC56}</author>
    <author>tc={E7305E99-27F8-4AD4-9179-6EF9EC9792AA}</author>
    <author>tc={4BF06743-82D1-42EE-9F68-33610755D54A}</author>
    <author>tc={801A85C5-D96B-4E57-BE2C-7B29B9334378}</author>
    <author>tc={F187B2B3-7790-4458-87BB-1593E55EE875}</author>
    <author>tc={1A05DB4A-C42E-4F24-8AEE-3BC6EA7885A0}</author>
    <author>tc={914FE4D7-91E7-4A45-9BF4-246EBFA7E90F}</author>
    <author>tc={54DF6918-1763-40F6-9C0D-62AEB75942A6}</author>
    <author>tc={3B580D44-ECF9-4646-BD5D-6E063D1620A3}</author>
    <author>tc={742C818A-04EB-4A55-B9BF-70EF91B17C6D}</author>
    <author>tc={783A5B26-AF73-4BEC-9016-B4EB7C3A091F}</author>
    <author>tc={610C43A4-7CD5-46C9-BE20-A63948D64067}</author>
    <author>tc={BD354298-16B9-4C78-9AD0-80E3FC3AFB09}</author>
    <author>tc={A9BF3213-F05E-4AAB-AA2A-DB3CFCFF0518}</author>
    <author>tc={4C799F11-9825-4D2B-87C7-D062B18F155F}</author>
  </authors>
  <commentList>
    <comment ref="E17" authorId="0" shapeId="0" xr:uid="{37DF1CE1-C1ED-4E3C-9938-E9AB7BD8DC56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Fourniture arbre</t>
      </text>
    </comment>
    <comment ref="E18" authorId="1" shapeId="0" xr:uid="{E7305E99-27F8-4AD4-9179-6EF9EC9792AA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Opération de plantation</t>
      </text>
    </comment>
    <comment ref="I20" authorId="2" shapeId="0" xr:uid="{4BF06743-82D1-42EE-9F68-33610755D54A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Préparation du sol</t>
      </text>
    </comment>
    <comment ref="I21" authorId="3" shapeId="0" xr:uid="{801A85C5-D96B-4E57-BE2C-7B29B9334378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Travaux de dégagement</t>
      </text>
    </comment>
    <comment ref="I22" authorId="4" shapeId="0" xr:uid="{F187B2B3-7790-4458-87BB-1593E55EE875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Travaux de reboisement</t>
      </text>
    </comment>
    <comment ref="E48" authorId="5" shapeId="0" xr:uid="{1A05DB4A-C42E-4F24-8AEE-3BC6EA7885A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Fourniture arbre</t>
      </text>
    </comment>
    <comment ref="E49" authorId="6" shapeId="0" xr:uid="{914FE4D7-91E7-4A45-9BF4-246EBFA7E90F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Opération de plantation</t>
      </text>
    </comment>
    <comment ref="E79" authorId="7" shapeId="0" xr:uid="{54DF6918-1763-40F6-9C0D-62AEB75942A6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Fourniture arbre</t>
      </text>
    </comment>
    <comment ref="E80" authorId="8" shapeId="0" xr:uid="{3B580D44-ECF9-4646-BD5D-6E063D1620A3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Opération de plantation</t>
      </text>
    </comment>
    <comment ref="E110" authorId="9" shapeId="0" xr:uid="{742C818A-04EB-4A55-B9BF-70EF91B17C6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Fourniture arbre</t>
      </text>
    </comment>
    <comment ref="E111" authorId="10" shapeId="0" xr:uid="{783A5B26-AF73-4BEC-9016-B4EB7C3A091F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Opération de plantation</t>
      </text>
    </comment>
    <comment ref="E141" authorId="11" shapeId="0" xr:uid="{610C43A4-7CD5-46C9-BE20-A63948D64067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Fourniture arbre</t>
      </text>
    </comment>
    <comment ref="E142" authorId="12" shapeId="0" xr:uid="{BD354298-16B9-4C78-9AD0-80E3FC3AFB09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Opération de plantation</t>
      </text>
    </comment>
    <comment ref="E172" authorId="13" shapeId="0" xr:uid="{A9BF3213-F05E-4AAB-AA2A-DB3CFCFF0518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Fourniture arbre</t>
      </text>
    </comment>
    <comment ref="E173" authorId="14" shapeId="0" xr:uid="{4C799F11-9825-4D2B-87C7-D062B18F155F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Opération de plantation</t>
      </text>
    </comment>
  </commentList>
</comments>
</file>

<file path=xl/sharedStrings.xml><?xml version="1.0" encoding="utf-8"?>
<sst xmlns="http://schemas.openxmlformats.org/spreadsheetml/2006/main" count="1171" uniqueCount="326">
  <si>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</si>
  <si>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</si>
  <si>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</si>
  <si>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</si>
  <si>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</si>
  <si>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</si>
  <si>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</si>
  <si>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</si>
  <si>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</si>
  <si>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</si>
  <si>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</si>
  <si>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</si>
  <si>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</si>
  <si>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</si>
  <si>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</si>
  <si>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</si>
  <si>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</si>
  <si>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</si>
  <si>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</si>
  <si>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</si>
  <si>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</si>
  <si>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</si>
  <si>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</si>
  <si>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</si>
  <si>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</si>
  <si>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</si>
  <si>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</si>
  <si>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</si>
  <si>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</si>
  <si>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</si>
  <si>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</si>
  <si>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</si>
  <si>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</si>
  <si>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</si>
  <si>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</si>
  <si>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</si>
  <si>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</si>
  <si>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</si>
  <si>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</si>
  <si>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</si>
  <si>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</si>
  <si>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</si>
  <si>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</si>
  <si>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</si>
  <si>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</si>
  <si>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</si>
  <si>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</si>
  <si>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</si>
  <si>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</si>
  <si>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</si>
  <si>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</si>
  <si>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</si>
  <si>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</si>
  <si>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na</t>
  </si>
  <si>
    <t>CR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</si>
  <si>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</si>
  <si>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</si>
  <si>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</si>
  <si>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</si>
  <si>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</si>
  <si>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</si>
  <si>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</si>
  <si>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</si>
  <si>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</si>
  <si>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</si>
  <si>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</si>
  <si>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</si>
  <si>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</si>
  <si>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</si>
  <si>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Epicéa de Sitka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</si>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</sst>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1.9203140204213316</c:v>
                </c:pt>
                <c:pt idx="2">
                  <c:v>2.5373503253048804</c:v>
                </c:pt>
                <c:pt idx="3">
                  <c:v>3.3534746967259621</c:v>
                </c:pt>
                <c:pt idx="4">
                  <c:v>4.4331733568356464</c:v>
                </c:pt>
                <c:pt idx="5">
                  <c:v>5.8618959086463436</c:v>
                </c:pt>
                <c:pt idx="6">
                  <c:v>7.7528930524348363</c:v>
                </c:pt>
                <c:pt idx="7">
                  <c:v>10.256291470438329</c:v>
                </c:pt>
                <c:pt idx="8">
                  <c:v>13.571139900733398</c:v>
                </c:pt>
                <c:pt idx="9">
                  <c:v>17.961401871893774</c:v>
                </c:pt>
                <c:pt idx="10">
                  <c:v>23.777191627870639</c:v>
                </c:pt>
                <c:pt idx="11">
                  <c:v>31.482976738898202</c:v>
                </c:pt>
                <c:pt idx="12">
                  <c:v>41.695038776362409</c:v>
                </c:pt>
                <c:pt idx="13">
                  <c:v>55.231238827136707</c:v>
                </c:pt>
                <c:pt idx="14">
                  <c:v>73.177139572871184</c:v>
                </c:pt>
                <c:pt idx="15">
                  <c:v>96.97387275850123</c:v>
                </c:pt>
                <c:pt idx="16">
                  <c:v>128.53492010151578</c:v>
                </c:pt>
                <c:pt idx="17">
                  <c:v>170.40134350425296</c:v>
                </c:pt>
                <c:pt idx="18">
                  <c:v>225.9481518705777</c:v>
                </c:pt>
                <c:pt idx="19">
                  <c:v>167.1629650420995</c:v>
                </c:pt>
                <c:pt idx="20">
                  <c:v>192.18884671776516</c:v>
                </c:pt>
                <c:pt idx="21">
                  <c:v>217.13883006272945</c:v>
                </c:pt>
                <c:pt idx="22">
                  <c:v>242.02286551975575</c:v>
                </c:pt>
                <c:pt idx="23">
                  <c:v>266.84868654930165</c:v>
                </c:pt>
                <c:pt idx="24">
                  <c:v>291.62246862735793</c:v>
                </c:pt>
                <c:pt idx="25">
                  <c:v>267.83973843136442</c:v>
                </c:pt>
                <c:pt idx="26">
                  <c:v>295.20984437767919</c:v>
                </c:pt>
                <c:pt idx="27">
                  <c:v>322.52334410117277</c:v>
                </c:pt>
                <c:pt idx="28">
                  <c:v>349.785701644997</c:v>
                </c:pt>
                <c:pt idx="29">
                  <c:v>377.00145984165829</c:v>
                </c:pt>
                <c:pt idx="30">
                  <c:v>404.17445231612891</c:v>
                </c:pt>
                <c:pt idx="31">
                  <c:v>353.21192910385736</c:v>
                </c:pt>
                <c:pt idx="32">
                  <c:v>380.48929393712291</c:v>
                </c:pt>
                <c:pt idx="33">
                  <c:v>407.72413216850504</c:v>
                </c:pt>
                <c:pt idx="34">
                  <c:v>434.91968079517784</c:v>
                </c:pt>
                <c:pt idx="35">
                  <c:v>462.07873925701483</c:v>
                </c:pt>
                <c:pt idx="36">
                  <c:v>489.20375134717256</c:v>
                </c:pt>
                <c:pt idx="37">
                  <c:v>433.59961838636042</c:v>
                </c:pt>
                <c:pt idx="38">
                  <c:v>460.20839311111928</c:v>
                </c:pt>
                <c:pt idx="39">
                  <c:v>486.78434108389075</c:v>
                </c:pt>
                <c:pt idx="40">
                  <c:v>513.32950438861235</c:v>
                </c:pt>
                <c:pt idx="41">
                  <c:v>539.8456968976792</c:v>
                </c:pt>
                <c:pt idx="42">
                  <c:v>566.33453995655509</c:v>
                </c:pt>
                <c:pt idx="43">
                  <c:v>505.1294376134187</c:v>
                </c:pt>
                <c:pt idx="44">
                  <c:v>530.71596265986352</c:v>
                </c:pt>
                <c:pt idx="45">
                  <c:v>556.27653997817106</c:v>
                </c:pt>
                <c:pt idx="46">
                  <c:v>581.81252811346246</c:v>
                </c:pt>
                <c:pt idx="47">
                  <c:v>607.32515676835726</c:v>
                </c:pt>
                <c:pt idx="48">
                  <c:v>632.81554402908364</c:v>
                </c:pt>
                <c:pt idx="49">
                  <c:v>561.06523629540254</c:v>
                </c:pt>
                <c:pt idx="50">
                  <c:v>585.27746751979453</c:v>
                </c:pt>
                <c:pt idx="51">
                  <c:v>609.46883490395464</c:v>
                </c:pt>
                <c:pt idx="52">
                  <c:v>633.64028211551329</c:v>
                </c:pt>
                <c:pt idx="53">
                  <c:v>657.79267504043685</c:v>
                </c:pt>
                <c:pt idx="54">
                  <c:v>681.92681087155927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1.4414793496856533</c:v>
                </c:pt>
                <c:pt idx="2">
                  <c:v>1.6957472082081553</c:v>
                </c:pt>
                <c:pt idx="3">
                  <c:v>1.9950357923280386</c:v>
                </c:pt>
                <c:pt idx="4">
                  <c:v>2.347344939891443</c:v>
                </c:pt>
                <c:pt idx="5">
                  <c:v>2.7621007590314162</c:v>
                </c:pt>
                <c:pt idx="6">
                  <c:v>3.2504107076792792</c:v>
                </c:pt>
                <c:pt idx="7">
                  <c:v>3.825364424271148</c:v>
                </c:pt>
                <c:pt idx="8">
                  <c:v>4.5023885374392192</c:v>
                </c:pt>
                <c:pt idx="9">
                  <c:v>5.2996651657492606</c:v>
                </c:pt>
                <c:pt idx="10">
                  <c:v>6.2386255698093906</c:v>
                </c:pt>
                <c:pt idx="11">
                  <c:v>7.3445324868481237</c:v>
                </c:pt>
                <c:pt idx="12">
                  <c:v>8.6471671194582758</c:v>
                </c:pt>
                <c:pt idx="13">
                  <c:v>10.181639633343407</c:v>
                </c:pt>
                <c:pt idx="14">
                  <c:v>11.989345423586537</c:v>
                </c:pt>
                <c:pt idx="15">
                  <c:v>14.119093429711674</c:v>
                </c:pt>
                <c:pt idx="16">
                  <c:v>16.628437528309927</c:v>
                </c:pt>
                <c:pt idx="17">
                  <c:v>19.585247640219709</c:v>
                </c:pt>
                <c:pt idx="18">
                  <c:v>23.06956381311781</c:v>
                </c:pt>
                <c:pt idx="19">
                  <c:v>27.175784364159011</c:v>
                </c:pt>
                <c:pt idx="20">
                  <c:v>32.01524840874319</c:v>
                </c:pt>
                <c:pt idx="21">
                  <c:v>37.719284017914553</c:v>
                </c:pt>
                <c:pt idx="22">
                  <c:v>44.442806142411648</c:v>
                </c:pt>
                <c:pt idx="23">
                  <c:v>52.36856367539125</c:v>
                </c:pt>
                <c:pt idx="24">
                  <c:v>61.712153023110119</c:v>
                </c:pt>
                <c:pt idx="25">
                  <c:v>72.727936815402572</c:v>
                </c:pt>
                <c:pt idx="26">
                  <c:v>85.716031509021889</c:v>
                </c:pt>
                <c:pt idx="27">
                  <c:v>101.03055731818506</c:v>
                </c:pt>
                <c:pt idx="28">
                  <c:v>119.08937897700982</c:v>
                </c:pt>
                <c:pt idx="29">
                  <c:v>140.38560727791869</c:v>
                </c:pt>
                <c:pt idx="30">
                  <c:v>165.50118029691697</c:v>
                </c:pt>
                <c:pt idx="31">
                  <c:v>180.41301367579672</c:v>
                </c:pt>
                <c:pt idx="32">
                  <c:v>195.29598805327001</c:v>
                </c:pt>
                <c:pt idx="33">
                  <c:v>210.1526132781556</c:v>
                </c:pt>
                <c:pt idx="34">
                  <c:v>224.98501498915437</c:v>
                </c:pt>
                <c:pt idx="35">
                  <c:v>239.79501543626409</c:v>
                </c:pt>
                <c:pt idx="36">
                  <c:v>254.5841932521862</c:v>
                </c:pt>
                <c:pt idx="37">
                  <c:v>269.35392858613005</c:v>
                </c:pt>
                <c:pt idx="38">
                  <c:v>284.10543780737447</c:v>
                </c:pt>
                <c:pt idx="39">
                  <c:v>298.83980061653057</c:v>
                </c:pt>
                <c:pt idx="40">
                  <c:v>313.55798152562414</c:v>
                </c:pt>
                <c:pt idx="41">
                  <c:v>328.26084709143441</c:v>
                </c:pt>
                <c:pt idx="42">
                  <c:v>342.94917989816844</c:v>
                </c:pt>
                <c:pt idx="43">
                  <c:v>252.71994626026705</c:v>
                </c:pt>
                <c:pt idx="44">
                  <c:v>267.79257121881375</c:v>
                </c:pt>
                <c:pt idx="45">
                  <c:v>282.84609321014727</c:v>
                </c:pt>
                <c:pt idx="46">
                  <c:v>297.88167215147729</c:v>
                </c:pt>
                <c:pt idx="47">
                  <c:v>312.90034127889936</c:v>
                </c:pt>
                <c:pt idx="48">
                  <c:v>327.90302652784436</c:v>
                </c:pt>
                <c:pt idx="49">
                  <c:v>342.8905621791684</c:v>
                </c:pt>
                <c:pt idx="50">
                  <c:v>357.86370362552151</c:v>
                </c:pt>
                <c:pt idx="51">
                  <c:v>271.33141993969394</c:v>
                </c:pt>
                <c:pt idx="52">
                  <c:v>285.64350217632511</c:v>
                </c:pt>
                <c:pt idx="53">
                  <c:v>299.93953975338138</c:v>
                </c:pt>
                <c:pt idx="54">
                  <c:v>314.22040519191495</c:v>
                </c:pt>
                <c:pt idx="55">
                  <c:v>328.48688521232657</c:v>
                </c:pt>
                <c:pt idx="56">
                  <c:v>342.73969261037996</c:v>
                </c:pt>
                <c:pt idx="57">
                  <c:v>356.9794760536858</c:v>
                </c:pt>
                <c:pt idx="58">
                  <c:v>371.2068282328928</c:v>
                </c:pt>
                <c:pt idx="59">
                  <c:v>304.63146188182708</c:v>
                </c:pt>
                <c:pt idx="60">
                  <c:v>318.37525477311118</c:v>
                </c:pt>
                <c:pt idx="61">
                  <c:v>332.1059147923591</c:v>
                </c:pt>
                <c:pt idx="62">
                  <c:v>345.82406144357356</c:v>
                </c:pt>
                <c:pt idx="63">
                  <c:v>359.53026106340167</c:v>
                </c:pt>
                <c:pt idx="64">
                  <c:v>373.22503327978126</c:v>
                </c:pt>
                <c:pt idx="65">
                  <c:v>386.90885647290816</c:v>
                </c:pt>
                <c:pt idx="66">
                  <c:v>400.58217242318597</c:v>
                </c:pt>
                <c:pt idx="67">
                  <c:v>334.57943775385905</c:v>
                </c:pt>
                <c:pt idx="68">
                  <c:v>347.60031495364598</c:v>
                </c:pt>
                <c:pt idx="69">
                  <c:v>360.61048905039701</c:v>
                </c:pt>
                <c:pt idx="70">
                  <c:v>373.61040064115809</c:v>
                </c:pt>
                <c:pt idx="71">
                  <c:v>386.60045715553883</c:v>
                </c:pt>
                <c:pt idx="72">
                  <c:v>399.58103640661653</c:v>
                </c:pt>
                <c:pt idx="73">
                  <c:v>412.5524896562884</c:v>
                </c:pt>
                <c:pt idx="74">
                  <c:v>425.51514427495431</c:v>
                </c:pt>
                <c:pt idx="75">
                  <c:v>438.46930606018981</c:v>
                </c:pt>
                <c:pt idx="76">
                  <c:v>372.70132047572787</c:v>
                </c:pt>
                <c:pt idx="77">
                  <c:v>384.92674377589583</c:v>
                </c:pt>
                <c:pt idx="78">
                  <c:v>397.14373241198672</c:v>
                </c:pt>
                <c:pt idx="79">
                  <c:v>409.35258244760695</c:v>
                </c:pt>
                <c:pt idx="80">
                  <c:v>421.55357084347224</c:v>
                </c:pt>
                <c:pt idx="81">
                  <c:v>433.746957218918</c:v>
                </c:pt>
                <c:pt idx="82">
                  <c:v>445.93298540499927</c:v>
                </c:pt>
                <c:pt idx="83">
                  <c:v>458.11188481896812</c:v>
                </c:pt>
                <c:pt idx="84">
                  <c:v>390.08859442874746</c:v>
                </c:pt>
                <c:pt idx="85">
                  <c:v>401.37512564200051</c:v>
                </c:pt>
                <c:pt idx="86">
                  <c:v>412.65479104239301</c:v>
                </c:pt>
                <c:pt idx="87">
                  <c:v>423.92780479021536</c:v>
                </c:pt>
                <c:pt idx="88">
                  <c:v>435.19436872474421</c:v>
                </c:pt>
                <c:pt idx="89">
                  <c:v>446.45467338051259</c:v>
                </c:pt>
                <c:pt idx="90">
                  <c:v>457.70889889569997</c:v>
                </c:pt>
                <c:pt idx="91">
                  <c:v>468.95721582652214</c:v>
                </c:pt>
                <c:pt idx="92">
                  <c:v>247.05717652444915</c:v>
                </c:pt>
                <c:pt idx="93">
                  <c:v>254.68402378773919</c:v>
                </c:pt>
                <c:pt idx="94">
                  <c:v>262.30570177112975</c:v>
                </c:pt>
                <c:pt idx="95">
                  <c:v>269.92238203666665</c:v>
                </c:pt>
                <c:pt idx="96">
                  <c:v>277.53422566245791</c:v>
                </c:pt>
                <c:pt idx="97">
                  <c:v>285.14138415968461</c:v>
                </c:pt>
                <c:pt idx="98">
                  <c:v>292.74400028654537</c:v>
                </c:pt>
                <c:pt idx="99">
                  <c:v>300.34220877315158</c:v>
                </c:pt>
                <c:pt idx="100">
                  <c:v>307.93613696916861</c:v>
                </c:pt>
                <c:pt idx="101">
                  <c:v>315.52590542418221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2.0795372090593456</c:v>
                </c:pt>
                <c:pt idx="2">
                  <c:v>2.6767360435395098</c:v>
                </c:pt>
                <c:pt idx="3">
                  <c:v>3.4461288787733699</c:v>
                </c:pt>
                <c:pt idx="4">
                  <c:v>4.4375534869622877</c:v>
                </c:pt>
                <c:pt idx="5">
                  <c:v>5.7153230288444377</c:v>
                </c:pt>
                <c:pt idx="6">
                  <c:v>7.3624441813975059</c:v>
                </c:pt>
                <c:pt idx="7">
                  <c:v>9.4860681256370967</c:v>
                </c:pt>
                <c:pt idx="8">
                  <c:v>12.224535721998178</c:v>
                </c:pt>
                <c:pt idx="9">
                  <c:v>15.75648436384756</c:v>
                </c:pt>
                <c:pt idx="10">
                  <c:v>20.312621425545984</c:v>
                </c:pt>
                <c:pt idx="11">
                  <c:v>26.1909471351813</c:v>
                </c:pt>
                <c:pt idx="12">
                  <c:v>33.776440055750776</c:v>
                </c:pt>
                <c:pt idx="13">
                  <c:v>43.566516638901568</c:v>
                </c:pt>
                <c:pt idx="14">
                  <c:v>56.203962590623313</c:v>
                </c:pt>
                <c:pt idx="15">
                  <c:v>72.519534065863823</c:v>
                </c:pt>
                <c:pt idx="16">
                  <c:v>93.587074695597963</c:v>
                </c:pt>
                <c:pt idx="17">
                  <c:v>120.79483383419057</c:v>
                </c:pt>
                <c:pt idx="18">
                  <c:v>155.93775882820458</c:v>
                </c:pt>
                <c:pt idx="19">
                  <c:v>153.22371186614836</c:v>
                </c:pt>
                <c:pt idx="20">
                  <c:v>177.61148225294494</c:v>
                </c:pt>
                <c:pt idx="21">
                  <c:v>201.92063702336623</c:v>
                </c:pt>
                <c:pt idx="22">
                  <c:v>188.42454454363443</c:v>
                </c:pt>
                <c:pt idx="23">
                  <c:v>210.0081668012941</c:v>
                </c:pt>
                <c:pt idx="24">
                  <c:v>231.54060536306486</c:v>
                </c:pt>
                <c:pt idx="25">
                  <c:v>211.57989792897527</c:v>
                </c:pt>
                <c:pt idx="26">
                  <c:v>230.64436776020281</c:v>
                </c:pt>
                <c:pt idx="27">
                  <c:v>249.67282178538531</c:v>
                </c:pt>
                <c:pt idx="28">
                  <c:v>268.6683907698814</c:v>
                </c:pt>
                <c:pt idx="29">
                  <c:v>287.63372643257628</c:v>
                </c:pt>
                <c:pt idx="30">
                  <c:v>306.57110217476503</c:v>
                </c:pt>
                <c:pt idx="31">
                  <c:v>252.80368978904474</c:v>
                </c:pt>
                <c:pt idx="32">
                  <c:v>270.00808353321963</c:v>
                </c:pt>
                <c:pt idx="33">
                  <c:v>287.18781271272866</c:v>
                </c:pt>
                <c:pt idx="34">
                  <c:v>304.34456023906205</c:v>
                </c:pt>
                <c:pt idx="35">
                  <c:v>321.47980377066716</c:v>
                </c:pt>
                <c:pt idx="36">
                  <c:v>338.5948505822164</c:v>
                </c:pt>
                <c:pt idx="37">
                  <c:v>271.12437982914275</c:v>
                </c:pt>
                <c:pt idx="38">
                  <c:v>286.51891307475506</c:v>
                </c:pt>
                <c:pt idx="39">
                  <c:v>301.89494535388923</c:v>
                </c:pt>
                <c:pt idx="40">
                  <c:v>317.25355162035777</c:v>
                </c:pt>
                <c:pt idx="41">
                  <c:v>332.59569423900763</c:v>
                </c:pt>
                <c:pt idx="42">
                  <c:v>347.92223953697521</c:v>
                </c:pt>
                <c:pt idx="43">
                  <c:v>272.68702100091008</c:v>
                </c:pt>
                <c:pt idx="44">
                  <c:v>286.96485004460743</c:v>
                </c:pt>
                <c:pt idx="45">
                  <c:v>301.22679191692959</c:v>
                </c:pt>
                <c:pt idx="46">
                  <c:v>315.47370483249205</c:v>
                </c:pt>
                <c:pt idx="47">
                  <c:v>329.70636314748066</c:v>
                </c:pt>
                <c:pt idx="48">
                  <c:v>343.92546889640715</c:v>
                </c:pt>
                <c:pt idx="49">
                  <c:v>270.11971783077774</c:v>
                </c:pt>
                <c:pt idx="50">
                  <c:v>283.1738887162237</c:v>
                </c:pt>
                <c:pt idx="51">
                  <c:v>296.21458319381429</c:v>
                </c:pt>
                <c:pt idx="52">
                  <c:v>309.24247828757859</c:v>
                </c:pt>
                <c:pt idx="53">
                  <c:v>322.25818930207646</c:v>
                </c:pt>
                <c:pt idx="54">
                  <c:v>335.2622777674473</c:v>
                </c:pt>
                <c:pt idx="55">
                  <c:v>348.25525808679203</c:v>
                </c:pt>
                <c:pt idx="56">
                  <c:v>361.2376031393249</c:v>
                </c:pt>
                <c:pt idx="57">
                  <c:v>374.20974903573409</c:v>
                </c:pt>
                <c:pt idx="58">
                  <c:v>387.17209917956257</c:v>
                </c:pt>
                <c:pt idx="59">
                  <c:v>400.12502775620351</c:v>
                </c:pt>
                <c:pt idx="60">
                  <c:v>413.06888274647389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1.9190286454012624</c:v>
                </c:pt>
                <c:pt idx="2">
                  <c:v>2.3745849545197242</c:v>
                </c:pt>
                <c:pt idx="3">
                  <c:v>2.938707459966293</c:v>
                </c:pt>
                <c:pt idx="4">
                  <c:v>3.6373642605922853</c:v>
                </c:pt>
                <c:pt idx="5">
                  <c:v>4.5027561309452855</c:v>
                </c:pt>
                <c:pt idx="6">
                  <c:v>5.5748172110080709</c:v>
                </c:pt>
                <c:pt idx="7">
                  <c:v>6.9030780907738958</c:v>
                </c:pt>
                <c:pt idx="8">
                  <c:v>8.5489790386098861</c:v>
                </c:pt>
                <c:pt idx="9">
                  <c:v>10.588742421786387</c:v>
                </c:pt>
                <c:pt idx="10">
                  <c:v>13.116939848545632</c:v>
                </c:pt>
                <c:pt idx="11">
                  <c:v>16.250922486723002</c:v>
                </c:pt>
                <c:pt idx="12">
                  <c:v>20.136323955741016</c:v>
                </c:pt>
                <c:pt idx="13">
                  <c:v>24.953896102189773</c:v>
                </c:pt>
                <c:pt idx="14">
                  <c:v>30.928001287430916</c:v>
                </c:pt>
                <c:pt idx="15">
                  <c:v>38.337163566726382</c:v>
                </c:pt>
                <c:pt idx="16">
                  <c:v>47.527179091678228</c:v>
                </c:pt>
                <c:pt idx="17">
                  <c:v>58.927407911319868</c:v>
                </c:pt>
                <c:pt idx="18">
                  <c:v>73.071020919484155</c:v>
                </c:pt>
                <c:pt idx="19">
                  <c:v>90.620164263085925</c:v>
                </c:pt>
                <c:pt idx="20">
                  <c:v>112.39723813230249</c:v>
                </c:pt>
                <c:pt idx="21">
                  <c:v>139.42377875850318</c:v>
                </c:pt>
                <c:pt idx="22">
                  <c:v>172.96879566591463</c:v>
                </c:pt>
                <c:pt idx="23">
                  <c:v>120.81303316585546</c:v>
                </c:pt>
                <c:pt idx="24">
                  <c:v>137.39493931950179</c:v>
                </c:pt>
                <c:pt idx="25">
                  <c:v>153.92869031769388</c:v>
                </c:pt>
                <c:pt idx="26">
                  <c:v>170.42019183619729</c:v>
                </c:pt>
                <c:pt idx="27">
                  <c:v>186.8741105331159</c:v>
                </c:pt>
                <c:pt idx="28">
                  <c:v>158.76051047616977</c:v>
                </c:pt>
                <c:pt idx="29">
                  <c:v>175.59896515661092</c:v>
                </c:pt>
                <c:pt idx="30">
                  <c:v>192.39950654022346</c:v>
                </c:pt>
                <c:pt idx="31">
                  <c:v>209.1659124742217</c:v>
                </c:pt>
                <c:pt idx="32">
                  <c:v>225.90130495746598</c:v>
                </c:pt>
                <c:pt idx="33">
                  <c:v>242.60830522574886</c:v>
                </c:pt>
                <c:pt idx="34">
                  <c:v>203.58097513744312</c:v>
                </c:pt>
                <c:pt idx="35">
                  <c:v>220.02792534458786</c:v>
                </c:pt>
                <c:pt idx="36">
                  <c:v>236.44664825214025</c:v>
                </c:pt>
                <c:pt idx="37">
                  <c:v>252.83938003643598</c:v>
                </c:pt>
                <c:pt idx="38">
                  <c:v>269.20804307840729</c:v>
                </c:pt>
                <c:pt idx="39">
                  <c:v>285.55430680854636</c:v>
                </c:pt>
                <c:pt idx="40">
                  <c:v>301.87963387321702</c:v>
                </c:pt>
                <c:pt idx="41">
                  <c:v>318.18531578207211</c:v>
                </c:pt>
                <c:pt idx="42">
                  <c:v>258.41598708702196</c:v>
                </c:pt>
                <c:pt idx="43">
                  <c:v>273.64897539352847</c:v>
                </c:pt>
                <c:pt idx="44">
                  <c:v>288.8629105041029</c:v>
                </c:pt>
                <c:pt idx="45">
                  <c:v>304.05893725366735</c:v>
                </c:pt>
                <c:pt idx="46">
                  <c:v>319.23807668113335</c:v>
                </c:pt>
                <c:pt idx="47">
                  <c:v>334.40124478994869</c:v>
                </c:pt>
                <c:pt idx="48">
                  <c:v>349.54926772624771</c:v>
                </c:pt>
                <c:pt idx="49">
                  <c:v>364.68289418741483</c:v>
                </c:pt>
                <c:pt idx="50">
                  <c:v>379.80280566271296</c:v>
                </c:pt>
                <c:pt idx="51">
                  <c:v>322.84049712168786</c:v>
                </c:pt>
                <c:pt idx="52">
                  <c:v>336.4690093627658</c:v>
                </c:pt>
                <c:pt idx="53">
                  <c:v>350.08536930552191</c:v>
                </c:pt>
                <c:pt idx="54">
                  <c:v>363.69011622210314</c:v>
                </c:pt>
                <c:pt idx="55">
                  <c:v>377.28374574247232</c:v>
                </c:pt>
                <c:pt idx="56">
                  <c:v>390.8667148646162</c:v>
                </c:pt>
                <c:pt idx="57">
                  <c:v>404.43944623185251</c:v>
                </c:pt>
                <c:pt idx="58">
                  <c:v>418.00233180594455</c:v>
                </c:pt>
                <c:pt idx="59">
                  <c:v>431.55573603859693</c:v>
                </c:pt>
                <c:pt idx="60">
                  <c:v>445.09999862375895</c:v>
                </c:pt>
                <c:pt idx="61">
                  <c:v>387.77711671492483</c:v>
                </c:pt>
                <c:pt idx="62">
                  <c:v>399.46857547560194</c:v>
                </c:pt>
                <c:pt idx="63">
                  <c:v>411.15262834415716</c:v>
                </c:pt>
                <c:pt idx="64">
                  <c:v>422.82951547202782</c:v>
                </c:pt>
                <c:pt idx="65">
                  <c:v>434.49946266268313</c:v>
                </c:pt>
                <c:pt idx="66">
                  <c:v>446.16268259938062</c:v>
                </c:pt>
                <c:pt idx="67">
                  <c:v>457.81937593784545</c:v>
                </c:pt>
                <c:pt idx="68">
                  <c:v>469.46973228186403</c:v>
                </c:pt>
                <c:pt idx="69">
                  <c:v>481.11393105699318</c:v>
                </c:pt>
                <c:pt idx="70">
                  <c:v>492.75214229528297</c:v>
                </c:pt>
                <c:pt idx="71">
                  <c:v>435.52165251525474</c:v>
                </c:pt>
                <c:pt idx="72">
                  <c:v>445.12148725674382</c:v>
                </c:pt>
                <c:pt idx="73">
                  <c:v>454.71688879830617</c:v>
                </c:pt>
                <c:pt idx="74">
                  <c:v>464.30796390444101</c:v>
                </c:pt>
                <c:pt idx="75">
                  <c:v>473.89481456791827</c:v>
                </c:pt>
                <c:pt idx="76">
                  <c:v>483.47753831734173</c:v>
                </c:pt>
                <c:pt idx="77">
                  <c:v>493.05622849905473</c:v>
                </c:pt>
                <c:pt idx="78">
                  <c:v>502.63097453599795</c:v>
                </c:pt>
                <c:pt idx="79">
                  <c:v>512.20186216581476</c:v>
                </c:pt>
                <c:pt idx="80">
                  <c:v>521.76897366023286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klima1.sharepoint.com/sites/TeamOklima/Shared%20Documents/03%20-%20D&#233;veloppement/1%20-%20FORET/1%20-%20PROJETS/Alain_BARBE/Fougax-et-barrineuf/1.Dossier_en_cours/Calculateur_RE_OKLIMA_v4.1_AlainBarbe_Montbrun_Bocage.xlsx" TargetMode="External"/><Relationship Id="rId1" Type="http://schemas.openxmlformats.org/officeDocument/2006/relationships/externalLinkPath" Target="/Users/LouGabrigs/Desktop/Fougax-et-barrineuf/1.Dossier_en_cours/Calculateur_RE_OKLIMA_v4.1_AlainBarbe_Montbrun_Bocag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ez-moi"/>
      <sheetName val="Financement"/>
      <sheetName val="Communes Francaises"/>
      <sheetName val="CO2"/>
      <sheetName val="ECO"/>
      <sheetName val="&gt;"/>
      <sheetName val="Données projet"/>
      <sheetName val="Scénario référence"/>
      <sheetName val="Calculateur"/>
      <sheetName val="Paramètres"/>
      <sheetName val="REE"/>
      <sheetName val="VAN"/>
      <sheetName val="&gt;&gt;"/>
      <sheetName val="COUT"/>
      <sheetName val="Feuil2"/>
      <sheetName val="ESSENCES"/>
      <sheetName val="param"/>
    </sheetNames>
    <sheetDataSet>
      <sheetData sheetId="0" refreshError="1"/>
      <sheetData sheetId="1" refreshError="1"/>
      <sheetData sheetId="2" refreshError="1"/>
      <sheetData sheetId="3">
        <row r="34">
          <cell r="D34" t="str">
            <v>Douglas</v>
          </cell>
        </row>
        <row r="35">
          <cell r="D35" t="str">
            <v>Cèdre de l'Atlas</v>
          </cell>
        </row>
        <row r="36">
          <cell r="D36" t="str">
            <v>Mélèze d'Europe</v>
          </cell>
        </row>
        <row r="37">
          <cell r="D37" t="str">
            <v>Pin laricio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Lucie CAUCHOIS" id="{730A6408-5698-49C7-B1A6-419479B6812E}" userId="S::lucie.cauchois@oklima.fr::673eb329-28ae-4828-a327-67589683f74c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7" dT="2024-07-18T08:07:08.41" personId="{730A6408-5698-49C7-B1A6-419479B6812E}" id="{37DF1CE1-C1ED-4E3C-9938-E9AB7BD8DC56}">
    <text>Fourniture arbre</text>
  </threadedComment>
  <threadedComment ref="E18" dT="2024-07-18T08:09:22.50" personId="{730A6408-5698-49C7-B1A6-419479B6812E}" id="{E7305E99-27F8-4AD4-9179-6EF9EC9792AA}">
    <text>Opération de plantation</text>
  </threadedComment>
  <threadedComment ref="I20" dT="2024-07-22T09:42:30.50" personId="{730A6408-5698-49C7-B1A6-419479B6812E}" id="{4BF06743-82D1-42EE-9F68-33610755D54A}">
    <text>Préparation du sol</text>
  </threadedComment>
  <threadedComment ref="I21" dT="2024-07-22T09:43:21.22" personId="{730A6408-5698-49C7-B1A6-419479B6812E}" id="{801A85C5-D96B-4E57-BE2C-7B29B9334378}">
    <text>Travaux de dégagement</text>
  </threadedComment>
  <threadedComment ref="I22" dT="2024-07-22T09:53:10.35" personId="{730A6408-5698-49C7-B1A6-419479B6812E}" id="{F187B2B3-7790-4458-87BB-1593E55EE875}">
    <text>Travaux de reboisement</text>
  </threadedComment>
  <threadedComment ref="E48" dT="2024-07-18T08:07:20.67" personId="{730A6408-5698-49C7-B1A6-419479B6812E}" id="{1A05DB4A-C42E-4F24-8AEE-3BC6EA7885A0}">
    <text>Fourniture arbre</text>
  </threadedComment>
  <threadedComment ref="E49" dT="2024-07-18T08:09:22.50" personId="{730A6408-5698-49C7-B1A6-419479B6812E}" id="{914FE4D7-91E7-4A45-9BF4-246EBFA7E90F}">
    <text>Opération de plantation</text>
  </threadedComment>
  <threadedComment ref="E79" dT="2024-07-18T08:07:41.84" personId="{730A6408-5698-49C7-B1A6-419479B6812E}" id="{54DF6918-1763-40F6-9C0D-62AEB75942A6}">
    <text>Fourniture arbre</text>
  </threadedComment>
  <threadedComment ref="E80" dT="2024-07-18T08:09:22.50" personId="{730A6408-5698-49C7-B1A6-419479B6812E}" id="{3B580D44-ECF9-4646-BD5D-6E063D1620A3}">
    <text>Opération de plantation</text>
  </threadedComment>
  <threadedComment ref="E110" dT="2024-07-18T08:07:55.40" personId="{730A6408-5698-49C7-B1A6-419479B6812E}" id="{742C818A-04EB-4A55-B9BF-70EF91B17C6D}">
    <text>Fourniture arbre</text>
  </threadedComment>
  <threadedComment ref="E111" dT="2024-07-18T08:09:22.50" personId="{730A6408-5698-49C7-B1A6-419479B6812E}" id="{783A5B26-AF73-4BEC-9016-B4EB7C3A091F}">
    <text>Opération de plantation</text>
  </threadedComment>
  <threadedComment ref="E141" dT="2024-07-18T08:08:05.08" personId="{730A6408-5698-49C7-B1A6-419479B6812E}" id="{610C43A4-7CD5-46C9-BE20-A63948D64067}">
    <text>Fourniture arbre</text>
  </threadedComment>
  <threadedComment ref="E142" dT="2024-07-18T08:09:22.50" personId="{730A6408-5698-49C7-B1A6-419479B6812E}" id="{BD354298-16B9-4C78-9AD0-80E3FC3AFB09}">
    <text>Opération de plantation</text>
  </threadedComment>
  <threadedComment ref="E172" dT="2024-07-22T09:31:57.19" personId="{730A6408-5698-49C7-B1A6-419479B6812E}" id="{A9BF3213-F05E-4AAB-AA2A-DB3CFCFF0518}">
    <text>Fourniture arbre</text>
  </threadedComment>
  <threadedComment ref="E173" dT="2024-07-18T08:09:22.50" personId="{730A6408-5698-49C7-B1A6-419479B6812E}" id="{4C799F11-9825-4D2B-87C7-D062B18F155F}">
    <text>Opération de plantation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44" zoomScaleNormal="100" workbookViewId="0">
      <selection activeCell="C26" sqref="C26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2" t="s">
        <v>2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7</v>
      </c>
      <c r="B5" s="268"/>
      <c r="C5" s="24">
        <v>8.64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tr">
        <f>[1]CO2!D34</f>
        <v>Douglas</v>
      </c>
      <c r="C9" s="32">
        <v>0.32400000000000001</v>
      </c>
      <c r="D9" s="33">
        <f t="shared" ref="D9:D18" si="0">C9*$C$5</f>
        <v>2.7993600000000001</v>
      </c>
      <c r="E9" s="34">
        <f>MAX(A36:A55)</f>
        <v>54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17</v>
      </c>
      <c r="B10" s="31" t="str">
        <f>[1]CO2!D35</f>
        <v>Cèdre de l'Atlas</v>
      </c>
      <c r="C10" s="32">
        <v>0.28799999999999998</v>
      </c>
      <c r="D10" s="33">
        <f t="shared" si="0"/>
        <v>2.4883199999999999</v>
      </c>
      <c r="E10" s="34">
        <f>MAX(A62:A81)</f>
        <v>101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18</v>
      </c>
      <c r="B11" s="31" t="str">
        <f>[1]CO2!D36</f>
        <v>Mélèze d'Europe</v>
      </c>
      <c r="C11" s="32">
        <v>0.2029</v>
      </c>
      <c r="D11" s="33">
        <f t="shared" si="0"/>
        <v>1.7530560000000002</v>
      </c>
      <c r="E11" s="34">
        <f>MAX(A88:A107)</f>
        <v>60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19</v>
      </c>
      <c r="B12" s="31" t="str">
        <f>[1]CO2!D37</f>
        <v>Pin laricio</v>
      </c>
      <c r="C12" s="32">
        <v>0.1842</v>
      </c>
      <c r="D12" s="33">
        <f t="shared" si="0"/>
        <v>1.5914880000000002</v>
      </c>
      <c r="E12" s="34">
        <f>MAX(A114:A133)</f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20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21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22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23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24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25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26</v>
      </c>
      <c r="C19" s="37">
        <f>SUM(C9:C18)</f>
        <v>0.99909999999999999</v>
      </c>
      <c r="D19" s="38">
        <f>SUM(D9:D18)</f>
        <v>8.6322240000000008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27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28</v>
      </c>
      <c r="B24" s="42" t="s">
        <v>29</v>
      </c>
      <c r="C24" s="43">
        <v>0</v>
      </c>
      <c r="D24" s="44" t="s">
        <v>30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31</v>
      </c>
      <c r="B25" s="42" t="s">
        <v>32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33</v>
      </c>
      <c r="B26" s="42" t="s">
        <v>34</v>
      </c>
      <c r="C26" s="43">
        <v>0.05</v>
      </c>
      <c r="D26" s="44" t="s">
        <v>35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36</v>
      </c>
      <c r="B27" s="42" t="s">
        <v>37</v>
      </c>
      <c r="C27" s="43">
        <v>0</v>
      </c>
      <c r="D27" s="44" t="s">
        <v>38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39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Douglas</v>
      </c>
      <c r="D32" s="229" t="s">
        <v>40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41</v>
      </c>
      <c r="C34" s="258" t="s">
        <v>42</v>
      </c>
      <c r="D34" s="258"/>
      <c r="E34" s="259" t="s">
        <v>43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44</v>
      </c>
      <c r="B35" s="36" t="s">
        <v>45</v>
      </c>
      <c r="C35" s="48" t="s">
        <v>46</v>
      </c>
      <c r="D35" s="48" t="s">
        <v>47</v>
      </c>
      <c r="E35" s="36" t="s">
        <v>48</v>
      </c>
      <c r="F35" s="36" t="s">
        <v>49</v>
      </c>
      <c r="G35" s="36" t="s">
        <v>50</v>
      </c>
      <c r="H35" s="36" t="s">
        <v>51</v>
      </c>
      <c r="I35" s="48" t="s">
        <v>52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18</v>
      </c>
      <c r="B36" s="60">
        <v>182.89230769230767</v>
      </c>
      <c r="C36" s="60">
        <v>1</v>
      </c>
      <c r="D36" s="60">
        <v>69.284615384615378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10.16068376068376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24</v>
      </c>
      <c r="B37" s="60">
        <v>237.56153846153845</v>
      </c>
      <c r="C37" s="60">
        <v>2</v>
      </c>
      <c r="D37" s="60">
        <v>42.661538461538463</v>
      </c>
      <c r="E37" s="51">
        <v>0.7</v>
      </c>
      <c r="F37" s="51">
        <v>0.16800000000000001</v>
      </c>
      <c r="G37" s="51">
        <v>0.13200000000000001</v>
      </c>
      <c r="H37" s="51">
        <v>0</v>
      </c>
      <c r="I37" s="53">
        <f t="shared" ref="I37:I55" si="1">IF(A37&lt;&gt;0,(B37-(B36-D36))/(A37-A36),"")</f>
        <v>20.658974358974358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30</v>
      </c>
      <c r="B38" s="60">
        <v>331.86923076923074</v>
      </c>
      <c r="C38" s="60">
        <v>3</v>
      </c>
      <c r="D38" s="60">
        <v>65.669230769230765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22.828205128205127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36</v>
      </c>
      <c r="B39" s="60">
        <v>403.50769230769237</v>
      </c>
      <c r="C39" s="60">
        <v>4</v>
      </c>
      <c r="D39" s="60">
        <v>69.3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si="1"/>
        <v>22.884615384615397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42</v>
      </c>
      <c r="B40" s="60">
        <v>468.72307692307686</v>
      </c>
      <c r="C40" s="60">
        <v>5</v>
      </c>
      <c r="D40" s="60">
        <v>73.392307692307682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22.419230769230751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48</v>
      </c>
      <c r="B41" s="60">
        <v>525.0846153846154</v>
      </c>
      <c r="C41" s="60">
        <v>6</v>
      </c>
      <c r="D41" s="60">
        <v>81.330769230769235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21.625641025641034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54</v>
      </c>
      <c r="B42" s="60">
        <v>566.79999999999995</v>
      </c>
      <c r="C42" s="60">
        <v>7</v>
      </c>
      <c r="D42" s="60">
        <v>566.79999999999995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20.507692307692299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17</v>
      </c>
      <c r="B58" s="52" t="str">
        <f>IF(B10="","",B10)</f>
        <v>Cèdre de l'Atlas</v>
      </c>
      <c r="D58" s="229" t="s">
        <v>40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41</v>
      </c>
      <c r="C60" s="258" t="s">
        <v>42</v>
      </c>
      <c r="D60" s="258"/>
      <c r="E60" s="259" t="s">
        <v>43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44</v>
      </c>
      <c r="B61" s="36" t="s">
        <v>45</v>
      </c>
      <c r="C61" s="48" t="s">
        <v>46</v>
      </c>
      <c r="D61" s="48" t="s">
        <v>47</v>
      </c>
      <c r="E61" s="36" t="s">
        <v>48</v>
      </c>
      <c r="F61" s="36" t="s">
        <v>49</v>
      </c>
      <c r="G61" s="36" t="s">
        <v>50</v>
      </c>
      <c r="H61" s="36" t="s">
        <v>51</v>
      </c>
      <c r="I61" s="48" t="s">
        <v>52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30</v>
      </c>
      <c r="B62" s="60">
        <v>158.73846153846154</v>
      </c>
      <c r="C62" s="60" t="s">
        <v>53</v>
      </c>
      <c r="D62" s="60">
        <v>0</v>
      </c>
      <c r="E62" s="51">
        <v>0</v>
      </c>
      <c r="F62" s="51">
        <v>0</v>
      </c>
      <c r="G62" s="51">
        <v>0</v>
      </c>
      <c r="H62" s="51">
        <v>0</v>
      </c>
      <c r="I62" s="53">
        <f>IFERROR(B62/A62,"")</f>
        <v>5.2912820512820513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42</v>
      </c>
      <c r="B63" s="60">
        <v>335.02307692307687</v>
      </c>
      <c r="C63" s="60">
        <v>1</v>
      </c>
      <c r="D63" s="60">
        <v>104.98461538461537</v>
      </c>
      <c r="E63" s="51">
        <v>0</v>
      </c>
      <c r="F63" s="51">
        <v>0.56000000000000005</v>
      </c>
      <c r="G63" s="51">
        <v>0.44</v>
      </c>
      <c r="H63" s="51">
        <v>0</v>
      </c>
      <c r="I63" s="49">
        <f>IF(A63&lt;&gt;0,(B63-(B62-D62))/(A63-A62),"")</f>
        <v>14.690384615384611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50</v>
      </c>
      <c r="B64" s="60">
        <v>349.95384615384614</v>
      </c>
      <c r="C64" s="60">
        <v>2</v>
      </c>
      <c r="D64" s="60">
        <v>100.66923076923077</v>
      </c>
      <c r="E64" s="51">
        <v>0.7</v>
      </c>
      <c r="F64" s="51">
        <v>0.16800000000000001</v>
      </c>
      <c r="G64" s="51">
        <v>0.13200000000000001</v>
      </c>
      <c r="H64" s="51">
        <v>0</v>
      </c>
      <c r="I64" s="49">
        <f>IF(A64&lt;&gt;0,(B64-(B63-D63))/(A64-A63),"")</f>
        <v>14.989423076923082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58</v>
      </c>
      <c r="B65" s="60">
        <v>363.32307692307694</v>
      </c>
      <c r="C65" s="60">
        <v>3</v>
      </c>
      <c r="D65" s="60">
        <v>80.315384615384616</v>
      </c>
      <c r="E65" s="51">
        <v>0.7</v>
      </c>
      <c r="F65" s="51">
        <v>0.16800000000000001</v>
      </c>
      <c r="G65" s="51">
        <v>0.13200000000000001</v>
      </c>
      <c r="H65" s="51">
        <v>0</v>
      </c>
      <c r="I65" s="49">
        <f>IF(A65&lt;&gt;0,(B65-(B64-D64))/(A65-A64),"")</f>
        <v>14.254807692307693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66</v>
      </c>
      <c r="B66" s="60">
        <v>392.7923076923077</v>
      </c>
      <c r="C66" s="60">
        <v>4</v>
      </c>
      <c r="D66" s="60">
        <v>79.169230769230765</v>
      </c>
      <c r="E66" s="51">
        <v>0.7</v>
      </c>
      <c r="F66" s="51">
        <v>0.16800000000000001</v>
      </c>
      <c r="G66" s="51">
        <v>0.13200000000000001</v>
      </c>
      <c r="H66" s="51">
        <v>0</v>
      </c>
      <c r="I66" s="49">
        <f t="shared" ref="I66:I81" si="2">IF(A66&lt;&gt;0,(B66-(B65-D65))/(A66-A65),"")</f>
        <v>13.723076923076924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75</v>
      </c>
      <c r="B67" s="60">
        <v>430.86923076923074</v>
      </c>
      <c r="C67" s="60">
        <v>5</v>
      </c>
      <c r="D67" s="60">
        <v>78.307692307692307</v>
      </c>
      <c r="E67" s="51">
        <v>0.7</v>
      </c>
      <c r="F67" s="51">
        <v>0.16800000000000001</v>
      </c>
      <c r="G67" s="51">
        <v>0.13200000000000001</v>
      </c>
      <c r="H67" s="51">
        <v>0</v>
      </c>
      <c r="I67" s="49">
        <f t="shared" si="2"/>
        <v>13.02735042735042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83</v>
      </c>
      <c r="B68" s="60">
        <v>450.63846153846146</v>
      </c>
      <c r="C68" s="60">
        <v>6</v>
      </c>
      <c r="D68" s="60">
        <v>79.707692307692312</v>
      </c>
      <c r="E68" s="51">
        <v>0.7</v>
      </c>
      <c r="F68" s="51">
        <v>0.16800000000000001</v>
      </c>
      <c r="G68" s="51">
        <v>0.13200000000000001</v>
      </c>
      <c r="H68" s="51">
        <v>0</v>
      </c>
      <c r="I68" s="49">
        <f t="shared" si="2"/>
        <v>12.25961538461538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91</v>
      </c>
      <c r="B69" s="50">
        <v>461.56153846153842</v>
      </c>
      <c r="C69" s="50">
        <v>7</v>
      </c>
      <c r="D69" s="50">
        <v>229.73846153846154</v>
      </c>
      <c r="E69" s="51">
        <v>0.7</v>
      </c>
      <c r="F69" s="51">
        <v>0.16800000000000001</v>
      </c>
      <c r="G69" s="51">
        <v>0.13200000000000001</v>
      </c>
      <c r="H69" s="51">
        <v>0</v>
      </c>
      <c r="I69" s="49">
        <f t="shared" si="2"/>
        <v>11.328846153846158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101</v>
      </c>
      <c r="B70" s="50">
        <v>307.60769230769228</v>
      </c>
      <c r="C70" s="50">
        <v>8</v>
      </c>
      <c r="D70" s="50">
        <v>307.60769230769228</v>
      </c>
      <c r="E70" s="51">
        <v>0.7</v>
      </c>
      <c r="F70" s="51">
        <v>0.16800000000000001</v>
      </c>
      <c r="G70" s="51">
        <v>0.13200000000000001</v>
      </c>
      <c r="H70" s="51">
        <v>0</v>
      </c>
      <c r="I70" s="49">
        <f t="shared" si="2"/>
        <v>7.5784615384615392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18</v>
      </c>
      <c r="B84" s="52" t="str">
        <f>IF(B11="","",B11)</f>
        <v>Mélèze d'Europe</v>
      </c>
      <c r="D84" s="229" t="s">
        <v>40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41</v>
      </c>
      <c r="C86" s="258" t="s">
        <v>42</v>
      </c>
      <c r="D86" s="258"/>
      <c r="E86" s="259" t="s">
        <v>43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44</v>
      </c>
      <c r="B87" s="36" t="s">
        <v>45</v>
      </c>
      <c r="C87" s="48" t="s">
        <v>46</v>
      </c>
      <c r="D87" s="48" t="s">
        <v>47</v>
      </c>
      <c r="E87" s="36" t="s">
        <v>48</v>
      </c>
      <c r="F87" s="36" t="s">
        <v>49</v>
      </c>
      <c r="G87" s="36" t="s">
        <v>50</v>
      </c>
      <c r="H87" s="36" t="s">
        <v>51</v>
      </c>
      <c r="I87" s="48" t="s">
        <v>52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18</v>
      </c>
      <c r="B88" s="60">
        <v>112</v>
      </c>
      <c r="C88" s="60">
        <v>1</v>
      </c>
      <c r="D88" s="60">
        <v>20</v>
      </c>
      <c r="E88" s="51">
        <v>0</v>
      </c>
      <c r="F88" s="51">
        <v>0.7</v>
      </c>
      <c r="G88" s="51">
        <v>0</v>
      </c>
      <c r="H88" s="87">
        <v>0.3</v>
      </c>
      <c r="I88" s="53">
        <f>IFERROR(B88/A88,"")</f>
        <v>6.2222222222222223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21</v>
      </c>
      <c r="B89" s="60">
        <v>146</v>
      </c>
      <c r="C89" s="60">
        <v>2</v>
      </c>
      <c r="D89" s="60">
        <v>26</v>
      </c>
      <c r="E89" s="51">
        <v>0</v>
      </c>
      <c r="F89" s="51">
        <v>0.8</v>
      </c>
      <c r="G89" s="51">
        <v>0</v>
      </c>
      <c r="H89" s="87">
        <v>0.2</v>
      </c>
      <c r="I89" s="53">
        <f t="shared" ref="I89:I107" si="3">IF(A89&lt;&gt;0,(B89-(B88-D88))/(A89-A88),"")</f>
        <v>18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24</v>
      </c>
      <c r="B90" s="60">
        <v>168</v>
      </c>
      <c r="C90" s="60">
        <v>3</v>
      </c>
      <c r="D90" s="60">
        <v>29</v>
      </c>
      <c r="E90" s="87">
        <v>0</v>
      </c>
      <c r="F90" s="87">
        <v>0.8</v>
      </c>
      <c r="G90" s="87">
        <v>0</v>
      </c>
      <c r="H90" s="87">
        <v>0.2</v>
      </c>
      <c r="I90" s="53">
        <f t="shared" si="3"/>
        <v>16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30</v>
      </c>
      <c r="B91" s="60">
        <v>224</v>
      </c>
      <c r="C91" s="60">
        <v>4</v>
      </c>
      <c r="D91" s="60">
        <v>53</v>
      </c>
      <c r="E91" s="87">
        <v>0</v>
      </c>
      <c r="F91" s="87">
        <v>0.8</v>
      </c>
      <c r="G91" s="87">
        <v>0</v>
      </c>
      <c r="H91" s="87">
        <v>0.2</v>
      </c>
      <c r="I91" s="53">
        <f t="shared" si="3"/>
        <v>14.166666666666666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36</v>
      </c>
      <c r="B92" s="60">
        <v>248</v>
      </c>
      <c r="C92" s="60">
        <v>5</v>
      </c>
      <c r="D92" s="60">
        <v>62</v>
      </c>
      <c r="E92" s="87">
        <v>0.3</v>
      </c>
      <c r="F92" s="87">
        <v>0.6</v>
      </c>
      <c r="G92" s="87">
        <v>0</v>
      </c>
      <c r="H92" s="87">
        <v>0.1</v>
      </c>
      <c r="I92" s="53">
        <f t="shared" si="3"/>
        <v>12.833333333333334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42</v>
      </c>
      <c r="B93" s="60">
        <v>255</v>
      </c>
      <c r="C93" s="60">
        <v>6</v>
      </c>
      <c r="D93" s="60">
        <v>67</v>
      </c>
      <c r="E93" s="87">
        <v>0.3</v>
      </c>
      <c r="F93" s="87">
        <v>0.6</v>
      </c>
      <c r="G93" s="87">
        <v>0</v>
      </c>
      <c r="H93" s="87">
        <v>0.1</v>
      </c>
      <c r="I93" s="53">
        <f t="shared" si="3"/>
        <v>11.5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48</v>
      </c>
      <c r="B94" s="60">
        <v>252</v>
      </c>
      <c r="C94" s="60">
        <v>7</v>
      </c>
      <c r="D94" s="60">
        <v>65</v>
      </c>
      <c r="E94" s="87">
        <v>0.4</v>
      </c>
      <c r="F94" s="87">
        <v>0.6</v>
      </c>
      <c r="G94" s="87">
        <v>0</v>
      </c>
      <c r="H94" s="87">
        <v>0</v>
      </c>
      <c r="I94" s="53">
        <f t="shared" si="3"/>
        <v>10.666666666666666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60</v>
      </c>
      <c r="B95" s="60">
        <v>304</v>
      </c>
      <c r="C95" s="60" t="s">
        <v>54</v>
      </c>
      <c r="D95" s="60">
        <v>304</v>
      </c>
      <c r="E95" s="87">
        <v>0.4</v>
      </c>
      <c r="F95" s="87">
        <v>0.6</v>
      </c>
      <c r="G95" s="87">
        <v>0</v>
      </c>
      <c r="H95" s="87">
        <v>0</v>
      </c>
      <c r="I95" s="53">
        <f t="shared" si="3"/>
        <v>9.75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19</v>
      </c>
      <c r="B110" s="52" t="str">
        <f>IF(B12="","",B12)</f>
        <v>Pin laricio</v>
      </c>
      <c r="D110" s="229" t="s">
        <v>40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41</v>
      </c>
      <c r="C112" s="258" t="s">
        <v>42</v>
      </c>
      <c r="D112" s="258"/>
      <c r="E112" s="259" t="s">
        <v>43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44</v>
      </c>
      <c r="B113" s="36" t="s">
        <v>45</v>
      </c>
      <c r="C113" s="48" t="s">
        <v>46</v>
      </c>
      <c r="D113" s="48" t="s">
        <v>47</v>
      </c>
      <c r="E113" s="36" t="s">
        <v>48</v>
      </c>
      <c r="F113" s="36" t="s">
        <v>49</v>
      </c>
      <c r="G113" s="36" t="s">
        <v>50</v>
      </c>
      <c r="H113" s="36" t="s">
        <v>51</v>
      </c>
      <c r="I113" s="48" t="s">
        <v>52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>
        <v>22</v>
      </c>
      <c r="B114" s="60">
        <v>129.98461538461538</v>
      </c>
      <c r="C114" s="50">
        <v>1</v>
      </c>
      <c r="D114" s="60">
        <v>52.746153846153838</v>
      </c>
      <c r="E114" s="51">
        <v>0</v>
      </c>
      <c r="F114" s="51">
        <v>0.56000000000000005</v>
      </c>
      <c r="G114" s="51">
        <v>0.44</v>
      </c>
      <c r="H114" s="51">
        <v>0</v>
      </c>
      <c r="I114" s="53">
        <f>IFERROR(B114/A114,"")</f>
        <v>5.9083916083916082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>
        <v>27</v>
      </c>
      <c r="B115" s="60">
        <v>140.71538461538461</v>
      </c>
      <c r="C115" s="50">
        <v>2</v>
      </c>
      <c r="D115" s="60">
        <v>34.646153846153844</v>
      </c>
      <c r="E115" s="51">
        <v>0.7</v>
      </c>
      <c r="F115" s="51">
        <v>0.16800000000000001</v>
      </c>
      <c r="G115" s="51">
        <v>0.13200000000000001</v>
      </c>
      <c r="H115" s="51">
        <v>0</v>
      </c>
      <c r="I115" s="53">
        <f t="shared" ref="I115:I133" si="4">IF(A115&lt;&gt;0,(B115-(B114-D114))/(A115-A114),"")</f>
        <v>12.695384615384615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>
        <v>30</v>
      </c>
      <c r="B116" s="60">
        <v>144.98461538461538</v>
      </c>
      <c r="C116" s="50" t="s">
        <v>53</v>
      </c>
      <c r="D116" s="60">
        <v>0</v>
      </c>
      <c r="E116" s="51">
        <v>0</v>
      </c>
      <c r="F116" s="51">
        <v>0</v>
      </c>
      <c r="G116" s="51">
        <v>0</v>
      </c>
      <c r="H116" s="51">
        <v>0</v>
      </c>
      <c r="I116" s="53">
        <f t="shared" si="4"/>
        <v>12.971794871794875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>
        <v>33</v>
      </c>
      <c r="B117" s="60">
        <v>183.89999999999998</v>
      </c>
      <c r="C117" s="50">
        <v>3</v>
      </c>
      <c r="D117" s="60">
        <v>43.007692307692302</v>
      </c>
      <c r="E117" s="51">
        <v>0.7</v>
      </c>
      <c r="F117" s="51">
        <v>0.16800000000000001</v>
      </c>
      <c r="G117" s="51">
        <v>0.13200000000000001</v>
      </c>
      <c r="H117" s="51">
        <v>0</v>
      </c>
      <c r="I117" s="53">
        <f t="shared" si="4"/>
        <v>12.971794871794865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>
        <v>41</v>
      </c>
      <c r="B118" s="60">
        <v>242.81538461538457</v>
      </c>
      <c r="C118" s="50">
        <v>4</v>
      </c>
      <c r="D118" s="60">
        <v>58.484615384615381</v>
      </c>
      <c r="E118" s="51">
        <v>0.7</v>
      </c>
      <c r="F118" s="51">
        <v>0.16800000000000001</v>
      </c>
      <c r="G118" s="51">
        <v>0.13200000000000001</v>
      </c>
      <c r="H118" s="51">
        <v>0</v>
      </c>
      <c r="I118" s="53">
        <f t="shared" si="4"/>
        <v>12.740384615384613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>
        <v>50</v>
      </c>
      <c r="B119" s="60">
        <v>291.08461538461535</v>
      </c>
      <c r="C119" s="50">
        <v>5</v>
      </c>
      <c r="D119" s="60">
        <v>55.292307692307688</v>
      </c>
      <c r="E119" s="51">
        <v>0.7</v>
      </c>
      <c r="F119" s="51">
        <v>0.16800000000000001</v>
      </c>
      <c r="G119" s="51">
        <v>0.13200000000000001</v>
      </c>
      <c r="H119" s="51">
        <v>0</v>
      </c>
      <c r="I119" s="53">
        <f t="shared" si="4"/>
        <v>11.861538461538462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>
        <v>60</v>
      </c>
      <c r="B120" s="60">
        <v>342.42307692307696</v>
      </c>
      <c r="C120" s="60">
        <v>6</v>
      </c>
      <c r="D120" s="60">
        <v>54.261538461538464</v>
      </c>
      <c r="E120" s="87">
        <v>0.7</v>
      </c>
      <c r="F120" s="87">
        <v>0.16800000000000001</v>
      </c>
      <c r="G120" s="87">
        <v>0.13200000000000001</v>
      </c>
      <c r="H120" s="87">
        <v>0</v>
      </c>
      <c r="I120" s="53">
        <f t="shared" si="4"/>
        <v>10.663076923076932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>
        <v>70</v>
      </c>
      <c r="B121" s="60">
        <v>379.99230769230769</v>
      </c>
      <c r="C121" s="60">
        <v>7</v>
      </c>
      <c r="D121" s="60">
        <v>52.669230769230765</v>
      </c>
      <c r="E121" s="87">
        <v>0.7</v>
      </c>
      <c r="F121" s="87">
        <v>0.16800000000000001</v>
      </c>
      <c r="G121" s="87">
        <v>0.13200000000000001</v>
      </c>
      <c r="H121" s="87">
        <v>0</v>
      </c>
      <c r="I121" s="53">
        <f t="shared" si="4"/>
        <v>9.1830769230769196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>
        <v>80</v>
      </c>
      <c r="B122" s="60">
        <v>402.90769230769229</v>
      </c>
      <c r="C122" s="60">
        <v>8</v>
      </c>
      <c r="D122" s="60">
        <v>402.90769230769229</v>
      </c>
      <c r="E122" s="87">
        <v>0.7</v>
      </c>
      <c r="F122" s="87">
        <v>0.16800000000000001</v>
      </c>
      <c r="G122" s="87">
        <v>0.13200000000000001</v>
      </c>
      <c r="H122" s="87">
        <v>0</v>
      </c>
      <c r="I122" s="53">
        <f t="shared" si="4"/>
        <v>7.5584615384615343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20</v>
      </c>
      <c r="B136" s="52" t="str">
        <f>IF(B13="","",B13)</f>
        <v/>
      </c>
      <c r="D136" s="229" t="s">
        <v>40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41</v>
      </c>
      <c r="C138" s="258" t="s">
        <v>42</v>
      </c>
      <c r="D138" s="258"/>
      <c r="E138" s="259" t="s">
        <v>43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44</v>
      </c>
      <c r="B139" s="36" t="s">
        <v>45</v>
      </c>
      <c r="C139" s="48" t="s">
        <v>46</v>
      </c>
      <c r="D139" s="48" t="s">
        <v>47</v>
      </c>
      <c r="E139" s="36" t="s">
        <v>48</v>
      </c>
      <c r="F139" s="36" t="s">
        <v>49</v>
      </c>
      <c r="G139" s="36" t="s">
        <v>50</v>
      </c>
      <c r="H139" s="36" t="s">
        <v>51</v>
      </c>
      <c r="I139" s="48" t="s">
        <v>52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21</v>
      </c>
      <c r="B162" s="52" t="str">
        <f>IF(B14="","",B14)</f>
        <v/>
      </c>
      <c r="D162" s="229" t="s">
        <v>40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41</v>
      </c>
      <c r="C164" s="258" t="s">
        <v>42</v>
      </c>
      <c r="D164" s="258"/>
      <c r="E164" s="259" t="s">
        <v>43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44</v>
      </c>
      <c r="B165" s="36" t="s">
        <v>45</v>
      </c>
      <c r="C165" s="48" t="s">
        <v>46</v>
      </c>
      <c r="D165" s="48" t="s">
        <v>47</v>
      </c>
      <c r="E165" s="36" t="s">
        <v>48</v>
      </c>
      <c r="F165" s="36" t="s">
        <v>49</v>
      </c>
      <c r="G165" s="36" t="s">
        <v>50</v>
      </c>
      <c r="H165" s="36" t="s">
        <v>51</v>
      </c>
      <c r="I165" s="48" t="s">
        <v>52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22</v>
      </c>
      <c r="B188" s="52" t="str">
        <f>IF(B15="","",B15)</f>
        <v/>
      </c>
      <c r="D188" s="229" t="s">
        <v>40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41</v>
      </c>
      <c r="C190" s="258" t="s">
        <v>42</v>
      </c>
      <c r="D190" s="258"/>
      <c r="E190" s="259" t="s">
        <v>43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44</v>
      </c>
      <c r="B191" s="36" t="s">
        <v>45</v>
      </c>
      <c r="C191" s="48" t="s">
        <v>46</v>
      </c>
      <c r="D191" s="48" t="s">
        <v>47</v>
      </c>
      <c r="E191" s="36" t="s">
        <v>48</v>
      </c>
      <c r="F191" s="36" t="s">
        <v>49</v>
      </c>
      <c r="G191" s="36" t="s">
        <v>50</v>
      </c>
      <c r="H191" s="36" t="s">
        <v>51</v>
      </c>
      <c r="I191" s="48" t="s">
        <v>52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23</v>
      </c>
      <c r="B214" s="52" t="str">
        <f>IF(B16="","",B16)</f>
        <v/>
      </c>
      <c r="D214" s="229" t="s">
        <v>40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41</v>
      </c>
      <c r="C216" s="258" t="s">
        <v>42</v>
      </c>
      <c r="D216" s="258"/>
      <c r="E216" s="259" t="s">
        <v>43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44</v>
      </c>
      <c r="B217" s="36" t="s">
        <v>45</v>
      </c>
      <c r="C217" s="48" t="s">
        <v>46</v>
      </c>
      <c r="D217" s="48" t="s">
        <v>47</v>
      </c>
      <c r="E217" s="36" t="s">
        <v>48</v>
      </c>
      <c r="F217" s="36" t="s">
        <v>49</v>
      </c>
      <c r="G217" s="36" t="s">
        <v>50</v>
      </c>
      <c r="H217" s="36" t="s">
        <v>51</v>
      </c>
      <c r="I217" s="48" t="s">
        <v>52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24</v>
      </c>
      <c r="B240" s="52" t="str">
        <f>IF(B17="","",B17)</f>
        <v/>
      </c>
      <c r="D240" s="229" t="s">
        <v>40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41</v>
      </c>
      <c r="C242" s="258" t="s">
        <v>42</v>
      </c>
      <c r="D242" s="258"/>
      <c r="E242" s="259" t="s">
        <v>43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44</v>
      </c>
      <c r="B243" s="36" t="s">
        <v>45</v>
      </c>
      <c r="C243" s="48" t="s">
        <v>46</v>
      </c>
      <c r="D243" s="48" t="s">
        <v>47</v>
      </c>
      <c r="E243" s="36" t="s">
        <v>48</v>
      </c>
      <c r="F243" s="36" t="s">
        <v>49</v>
      </c>
      <c r="G243" s="36" t="s">
        <v>50</v>
      </c>
      <c r="H243" s="36" t="s">
        <v>51</v>
      </c>
      <c r="I243" s="48" t="s">
        <v>52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25</v>
      </c>
      <c r="B266" s="52" t="str">
        <f>IF(B18="","",B18)</f>
        <v/>
      </c>
      <c r="D266" s="229" t="s">
        <v>40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41</v>
      </c>
      <c r="C268" s="258" t="s">
        <v>42</v>
      </c>
      <c r="D268" s="258"/>
      <c r="E268" s="259" t="s">
        <v>43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44</v>
      </c>
      <c r="B269" s="36" t="s">
        <v>45</v>
      </c>
      <c r="C269" s="48" t="s">
        <v>46</v>
      </c>
      <c r="D269" s="48" t="s">
        <v>47</v>
      </c>
      <c r="E269" s="36" t="s">
        <v>48</v>
      </c>
      <c r="F269" s="36" t="s">
        <v>49</v>
      </c>
      <c r="G269" s="36" t="s">
        <v>50</v>
      </c>
      <c r="H269" s="36" t="s">
        <v>51</v>
      </c>
      <c r="I269" s="48" t="s">
        <v>52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90" zoomScaleNormal="100" workbookViewId="0">
      <selection activeCell="G19" sqref="G19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55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56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57</v>
      </c>
      <c r="C7" s="100" t="s">
        <v>58</v>
      </c>
      <c r="D7" s="215"/>
      <c r="E7" s="101"/>
      <c r="F7" s="26" t="s">
        <v>57</v>
      </c>
      <c r="G7" s="100" t="s">
        <v>59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60</v>
      </c>
      <c r="D8" s="23"/>
      <c r="E8" s="105">
        <v>4</v>
      </c>
      <c r="F8" s="61">
        <v>1</v>
      </c>
      <c r="G8" s="102" t="s">
        <v>61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62</v>
      </c>
      <c r="D9" s="23"/>
      <c r="E9" s="105">
        <v>5</v>
      </c>
      <c r="F9" s="61">
        <v>0</v>
      </c>
      <c r="G9" s="103" t="s">
        <v>63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64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65</v>
      </c>
      <c r="D13" s="216"/>
      <c r="E13" s="99"/>
      <c r="F13" s="107"/>
      <c r="G13" s="98" t="s">
        <v>66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67</v>
      </c>
      <c r="D14" s="216"/>
      <c r="E14" s="99"/>
      <c r="F14" s="107"/>
      <c r="G14" s="98" t="s">
        <v>68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57</v>
      </c>
      <c r="C15" s="4"/>
      <c r="D15" s="23"/>
      <c r="E15" s="4"/>
      <c r="F15" s="4"/>
      <c r="G15" s="2" t="s">
        <v>69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70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71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72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73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Cèdre de l'Atlas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Mélèze d'Europe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Pin laricio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74</v>
      </c>
      <c r="B2" s="72" t="s">
        <v>75</v>
      </c>
      <c r="C2" s="5" t="s">
        <v>76</v>
      </c>
      <c r="D2" s="5" t="s">
        <v>77</v>
      </c>
      <c r="E2" s="5" t="s">
        <v>78</v>
      </c>
      <c r="F2" s="5" t="s">
        <v>79</v>
      </c>
      <c r="G2" s="5" t="s">
        <v>80</v>
      </c>
      <c r="H2" s="66" t="s">
        <v>81</v>
      </c>
      <c r="I2" s="68" t="s">
        <v>78</v>
      </c>
      <c r="J2" s="69" t="s">
        <v>79</v>
      </c>
      <c r="K2" s="6" t="s">
        <v>82</v>
      </c>
      <c r="L2" s="6" t="s">
        <v>83</v>
      </c>
      <c r="M2" s="6" t="s">
        <v>83</v>
      </c>
      <c r="N2" s="6" t="s">
        <v>84</v>
      </c>
      <c r="O2" s="6" t="s">
        <v>85</v>
      </c>
      <c r="P2" s="6" t="s">
        <v>86</v>
      </c>
      <c r="Q2" s="6" t="s">
        <v>80</v>
      </c>
      <c r="R2" s="6" t="s">
        <v>87</v>
      </c>
      <c r="S2" s="6" t="s">
        <v>88</v>
      </c>
      <c r="T2" s="6" t="s">
        <v>89</v>
      </c>
      <c r="U2" s="7" t="s">
        <v>90</v>
      </c>
      <c r="V2" s="8" t="s">
        <v>91</v>
      </c>
      <c r="W2" s="7" t="s">
        <v>48</v>
      </c>
      <c r="X2" s="7" t="s">
        <v>49</v>
      </c>
      <c r="Y2" s="7" t="s">
        <v>92</v>
      </c>
      <c r="Z2" s="8" t="s">
        <v>93</v>
      </c>
      <c r="AA2" s="8" t="s">
        <v>94</v>
      </c>
      <c r="AB2" s="8" t="s">
        <v>95</v>
      </c>
      <c r="AC2" s="9" t="s">
        <v>96</v>
      </c>
      <c r="AD2" s="69" t="s">
        <v>78</v>
      </c>
      <c r="AE2" s="69" t="s">
        <v>79</v>
      </c>
      <c r="AF2" s="6" t="s">
        <v>82</v>
      </c>
      <c r="AG2" s="6" t="s">
        <v>83</v>
      </c>
      <c r="AH2" s="6" t="s">
        <v>83</v>
      </c>
      <c r="AI2" s="6" t="s">
        <v>84</v>
      </c>
      <c r="AJ2" s="6" t="s">
        <v>85</v>
      </c>
      <c r="AK2" s="6" t="s">
        <v>86</v>
      </c>
      <c r="AL2" s="6" t="s">
        <v>80</v>
      </c>
      <c r="AM2" s="6" t="s">
        <v>87</v>
      </c>
      <c r="AN2" s="6" t="s">
        <v>88</v>
      </c>
      <c r="AO2" s="6" t="s">
        <v>89</v>
      </c>
      <c r="AP2" s="7" t="s">
        <v>90</v>
      </c>
      <c r="AQ2" s="8" t="s">
        <v>91</v>
      </c>
      <c r="AR2" s="7" t="s">
        <v>48</v>
      </c>
      <c r="AS2" s="7" t="s">
        <v>49</v>
      </c>
      <c r="AT2" s="8" t="s">
        <v>97</v>
      </c>
      <c r="AU2" s="8" t="s">
        <v>93</v>
      </c>
      <c r="AV2" s="8" t="s">
        <v>94</v>
      </c>
      <c r="AW2" s="8" t="s">
        <v>95</v>
      </c>
      <c r="AX2" s="8" t="s">
        <v>96</v>
      </c>
      <c r="AY2" s="68" t="s">
        <v>78</v>
      </c>
      <c r="AZ2" s="69" t="s">
        <v>79</v>
      </c>
      <c r="BA2" s="6" t="s">
        <v>82</v>
      </c>
      <c r="BB2" s="6" t="s">
        <v>83</v>
      </c>
      <c r="BC2" s="6" t="s">
        <v>83</v>
      </c>
      <c r="BD2" s="6" t="s">
        <v>84</v>
      </c>
      <c r="BE2" s="6" t="s">
        <v>85</v>
      </c>
      <c r="BF2" s="6" t="s">
        <v>86</v>
      </c>
      <c r="BG2" s="6" t="s">
        <v>80</v>
      </c>
      <c r="BH2" s="6" t="s">
        <v>87</v>
      </c>
      <c r="BI2" s="6" t="s">
        <v>88</v>
      </c>
      <c r="BJ2" s="6" t="s">
        <v>89</v>
      </c>
      <c r="BK2" s="7" t="s">
        <v>90</v>
      </c>
      <c r="BL2" s="8" t="s">
        <v>91</v>
      </c>
      <c r="BM2" s="7" t="s">
        <v>48</v>
      </c>
      <c r="BN2" s="7" t="s">
        <v>49</v>
      </c>
      <c r="BO2" s="8" t="s">
        <v>97</v>
      </c>
      <c r="BP2" s="8" t="s">
        <v>93</v>
      </c>
      <c r="BQ2" s="8" t="s">
        <v>94</v>
      </c>
      <c r="BR2" s="8" t="s">
        <v>95</v>
      </c>
      <c r="BS2" s="9" t="s">
        <v>96</v>
      </c>
      <c r="BT2" s="68" t="s">
        <v>78</v>
      </c>
      <c r="BU2" s="69" t="s">
        <v>79</v>
      </c>
      <c r="BV2" s="6" t="s">
        <v>82</v>
      </c>
      <c r="BW2" s="6" t="s">
        <v>83</v>
      </c>
      <c r="BX2" s="6" t="s">
        <v>83</v>
      </c>
      <c r="BY2" s="6" t="s">
        <v>84</v>
      </c>
      <c r="BZ2" s="6" t="s">
        <v>85</v>
      </c>
      <c r="CA2" s="6" t="s">
        <v>86</v>
      </c>
      <c r="CB2" s="6" t="s">
        <v>80</v>
      </c>
      <c r="CC2" s="6" t="s">
        <v>87</v>
      </c>
      <c r="CD2" s="6" t="s">
        <v>88</v>
      </c>
      <c r="CE2" s="6" t="s">
        <v>89</v>
      </c>
      <c r="CF2" s="7" t="s">
        <v>90</v>
      </c>
      <c r="CG2" s="8" t="s">
        <v>91</v>
      </c>
      <c r="CH2" s="7" t="s">
        <v>48</v>
      </c>
      <c r="CI2" s="7" t="s">
        <v>49</v>
      </c>
      <c r="CJ2" s="8" t="s">
        <v>97</v>
      </c>
      <c r="CK2" s="8" t="s">
        <v>93</v>
      </c>
      <c r="CL2" s="8" t="s">
        <v>94</v>
      </c>
      <c r="CM2" s="8" t="s">
        <v>95</v>
      </c>
      <c r="CN2" s="9" t="s">
        <v>96</v>
      </c>
      <c r="CO2" s="68" t="s">
        <v>78</v>
      </c>
      <c r="CP2" s="69" t="s">
        <v>79</v>
      </c>
      <c r="CQ2" s="6" t="s">
        <v>82</v>
      </c>
      <c r="CR2" s="6" t="s">
        <v>83</v>
      </c>
      <c r="CS2" s="6" t="s">
        <v>83</v>
      </c>
      <c r="CT2" s="6" t="s">
        <v>84</v>
      </c>
      <c r="CU2" s="6" t="s">
        <v>85</v>
      </c>
      <c r="CV2" s="6" t="s">
        <v>86</v>
      </c>
      <c r="CW2" s="6" t="s">
        <v>80</v>
      </c>
      <c r="CX2" s="6" t="s">
        <v>87</v>
      </c>
      <c r="CY2" s="6" t="s">
        <v>88</v>
      </c>
      <c r="CZ2" s="6" t="s">
        <v>89</v>
      </c>
      <c r="DA2" s="7" t="s">
        <v>90</v>
      </c>
      <c r="DB2" s="8" t="s">
        <v>91</v>
      </c>
      <c r="DC2" s="7" t="s">
        <v>48</v>
      </c>
      <c r="DD2" s="7" t="s">
        <v>49</v>
      </c>
      <c r="DE2" s="8" t="s">
        <v>97</v>
      </c>
      <c r="DF2" s="8" t="s">
        <v>93</v>
      </c>
      <c r="DG2" s="8" t="s">
        <v>94</v>
      </c>
      <c r="DH2" s="8" t="s">
        <v>95</v>
      </c>
      <c r="DI2" s="9" t="s">
        <v>96</v>
      </c>
      <c r="DJ2" s="68" t="s">
        <v>78</v>
      </c>
      <c r="DK2" s="69" t="s">
        <v>79</v>
      </c>
      <c r="DL2" s="6" t="s">
        <v>82</v>
      </c>
      <c r="DM2" s="6" t="s">
        <v>83</v>
      </c>
      <c r="DN2" s="6" t="s">
        <v>83</v>
      </c>
      <c r="DO2" s="6" t="s">
        <v>84</v>
      </c>
      <c r="DP2" s="6" t="s">
        <v>85</v>
      </c>
      <c r="DQ2" s="6" t="s">
        <v>86</v>
      </c>
      <c r="DR2" s="6" t="s">
        <v>80</v>
      </c>
      <c r="DS2" s="6" t="s">
        <v>87</v>
      </c>
      <c r="DT2" s="6" t="s">
        <v>88</v>
      </c>
      <c r="DU2" s="6" t="s">
        <v>89</v>
      </c>
      <c r="DV2" s="7" t="s">
        <v>90</v>
      </c>
      <c r="DW2" s="8" t="s">
        <v>91</v>
      </c>
      <c r="DX2" s="7" t="s">
        <v>48</v>
      </c>
      <c r="DY2" s="7" t="s">
        <v>49</v>
      </c>
      <c r="DZ2" s="8" t="s">
        <v>97</v>
      </c>
      <c r="EA2" s="8" t="s">
        <v>93</v>
      </c>
      <c r="EB2" s="8" t="s">
        <v>94</v>
      </c>
      <c r="EC2" s="8" t="s">
        <v>95</v>
      </c>
      <c r="ED2" s="9" t="s">
        <v>96</v>
      </c>
      <c r="EE2" s="68" t="s">
        <v>78</v>
      </c>
      <c r="EF2" s="69" t="s">
        <v>79</v>
      </c>
      <c r="EG2" s="6" t="s">
        <v>82</v>
      </c>
      <c r="EH2" s="6" t="s">
        <v>83</v>
      </c>
      <c r="EI2" s="6" t="s">
        <v>83</v>
      </c>
      <c r="EJ2" s="6" t="s">
        <v>84</v>
      </c>
      <c r="EK2" s="6" t="s">
        <v>85</v>
      </c>
      <c r="EL2" s="6" t="s">
        <v>86</v>
      </c>
      <c r="EM2" s="6" t="s">
        <v>80</v>
      </c>
      <c r="EN2" s="6" t="s">
        <v>87</v>
      </c>
      <c r="EO2" s="6" t="s">
        <v>88</v>
      </c>
      <c r="EP2" s="6" t="s">
        <v>89</v>
      </c>
      <c r="EQ2" s="7" t="s">
        <v>90</v>
      </c>
      <c r="ER2" s="8" t="s">
        <v>91</v>
      </c>
      <c r="ES2" s="7" t="s">
        <v>48</v>
      </c>
      <c r="ET2" s="7" t="s">
        <v>49</v>
      </c>
      <c r="EU2" s="8" t="s">
        <v>97</v>
      </c>
      <c r="EV2" s="8" t="s">
        <v>93</v>
      </c>
      <c r="EW2" s="8" t="s">
        <v>94</v>
      </c>
      <c r="EX2" s="8" t="s">
        <v>95</v>
      </c>
      <c r="EY2" s="9" t="s">
        <v>96</v>
      </c>
      <c r="EZ2" s="68" t="s">
        <v>78</v>
      </c>
      <c r="FA2" s="69" t="s">
        <v>79</v>
      </c>
      <c r="FB2" s="6" t="s">
        <v>82</v>
      </c>
      <c r="FC2" s="6" t="s">
        <v>83</v>
      </c>
      <c r="FD2" s="6" t="s">
        <v>83</v>
      </c>
      <c r="FE2" s="6" t="s">
        <v>84</v>
      </c>
      <c r="FF2" s="6" t="s">
        <v>85</v>
      </c>
      <c r="FG2" s="6" t="s">
        <v>86</v>
      </c>
      <c r="FH2" s="6" t="s">
        <v>80</v>
      </c>
      <c r="FI2" s="6" t="s">
        <v>87</v>
      </c>
      <c r="FJ2" s="6" t="s">
        <v>88</v>
      </c>
      <c r="FK2" s="6" t="s">
        <v>89</v>
      </c>
      <c r="FL2" s="7" t="s">
        <v>90</v>
      </c>
      <c r="FM2" s="8" t="s">
        <v>91</v>
      </c>
      <c r="FN2" s="7" t="s">
        <v>48</v>
      </c>
      <c r="FO2" s="7" t="s">
        <v>49</v>
      </c>
      <c r="FP2" s="8" t="s">
        <v>98</v>
      </c>
      <c r="FQ2" s="8" t="s">
        <v>93</v>
      </c>
      <c r="FR2" s="8" t="s">
        <v>94</v>
      </c>
      <c r="FS2" s="8" t="s">
        <v>95</v>
      </c>
      <c r="FT2" s="9" t="s">
        <v>96</v>
      </c>
      <c r="FU2" s="68" t="s">
        <v>78</v>
      </c>
      <c r="FV2" s="69" t="s">
        <v>79</v>
      </c>
      <c r="FW2" s="6" t="s">
        <v>82</v>
      </c>
      <c r="FX2" s="6" t="s">
        <v>83</v>
      </c>
      <c r="FY2" s="6" t="s">
        <v>83</v>
      </c>
      <c r="FZ2" s="6" t="s">
        <v>84</v>
      </c>
      <c r="GA2" s="6" t="s">
        <v>85</v>
      </c>
      <c r="GB2" s="6" t="s">
        <v>86</v>
      </c>
      <c r="GC2" s="6" t="s">
        <v>80</v>
      </c>
      <c r="GD2" s="6" t="s">
        <v>87</v>
      </c>
      <c r="GE2" s="6" t="s">
        <v>88</v>
      </c>
      <c r="GF2" s="6" t="s">
        <v>89</v>
      </c>
      <c r="GG2" s="7" t="s">
        <v>90</v>
      </c>
      <c r="GH2" s="8" t="s">
        <v>91</v>
      </c>
      <c r="GI2" s="7" t="s">
        <v>48</v>
      </c>
      <c r="GJ2" s="7" t="s">
        <v>49</v>
      </c>
      <c r="GK2" s="8" t="s">
        <v>97</v>
      </c>
      <c r="GL2" s="8" t="s">
        <v>93</v>
      </c>
      <c r="GM2" s="8" t="s">
        <v>94</v>
      </c>
      <c r="GN2" s="8" t="s">
        <v>95</v>
      </c>
      <c r="GO2" s="8" t="s">
        <v>96</v>
      </c>
      <c r="GP2" s="68" t="s">
        <v>78</v>
      </c>
      <c r="GQ2" s="69" t="s">
        <v>79</v>
      </c>
      <c r="GR2" s="6" t="s">
        <v>82</v>
      </c>
      <c r="GS2" s="6" t="s">
        <v>83</v>
      </c>
      <c r="GT2" s="6" t="s">
        <v>83</v>
      </c>
      <c r="GU2" s="6" t="s">
        <v>84</v>
      </c>
      <c r="GV2" s="6" t="s">
        <v>85</v>
      </c>
      <c r="GW2" s="6" t="s">
        <v>86</v>
      </c>
      <c r="GX2" s="6" t="s">
        <v>80</v>
      </c>
      <c r="GY2" s="6" t="s">
        <v>87</v>
      </c>
      <c r="GZ2" s="6" t="s">
        <v>88</v>
      </c>
      <c r="HA2" s="6" t="s">
        <v>89</v>
      </c>
      <c r="HB2" s="7" t="s">
        <v>90</v>
      </c>
      <c r="HC2" s="8" t="s">
        <v>91</v>
      </c>
      <c r="HD2" s="7" t="s">
        <v>48</v>
      </c>
      <c r="HE2" s="7" t="s">
        <v>49</v>
      </c>
      <c r="HF2" s="8" t="s">
        <v>97</v>
      </c>
      <c r="HG2" s="8" t="s">
        <v>93</v>
      </c>
      <c r="HH2" s="8" t="s">
        <v>94</v>
      </c>
      <c r="HI2" s="8" t="s">
        <v>95</v>
      </c>
      <c r="HJ2" s="9" t="s">
        <v>96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279.32192402750189</v>
      </c>
      <c r="T3" s="59">
        <f>IF('Données projet'!E9&gt;30,$R$33-$H$33,LOOKUP('Données projet'!$E$9,$A$3:$A$203,R3:R203)-LOOKUP('Données projet'!$E$9,$A$3:$A$203,$H$3:$H$203))</f>
        <v>371.43572414443611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192.20041613277965</v>
      </c>
      <c r="AO3" s="59">
        <f>IF('Données projet'!E10&gt;30,$AM$33-$H$33,LOOKUP('Données projet'!$E$10,$A$3:$A$203,AM3:AM203)-LOOKUP('Données projet'!$E$10,$A$3:$A$203,$H$3:$H$203))</f>
        <v>132.76245212522417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180.31844548479722</v>
      </c>
      <c r="BJ3" s="59">
        <f>IF('Données projet'!E11&gt;30,$BH$33-$H$33,LOOKUP('Données projet'!$E$11,$A$3:$A$203,BH3:BH203)-LOOKUP('Données projet'!$E$11,$A$3:$A$203,$H$3:$H$203))</f>
        <v>273.83237400307223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214.34615950592251</v>
      </c>
      <c r="CE3" s="59">
        <f>IF('Données projet'!E12&gt;30,$CC$33-$H$33,LOOKUP('Données projet'!$E$12,$A$3:$A$203,CC3:CC203)-LOOKUP('Données projet'!$E$12,$A$3:$A$203,$H$3:$H$203))</f>
        <v>159.66077836853066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0.46799999999999997</v>
      </c>
      <c r="D4" s="11">
        <f>IFERROR(EXP(-1.0587+0.8836*LN(C4)+0.284),0)</f>
        <v>0.23560326283967137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5.431323432446586</v>
      </c>
      <c r="H4" s="67">
        <f t="shared" ref="H4:H67" si="1">(B4+E4+F4)*44/12+(C4+D4)*0.475*44/12</f>
        <v>294.55877568277907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10.16068376068376</v>
      </c>
      <c r="N4" s="13">
        <f>IF('Données projet'!$A$36&gt;35,N3+M4-V3,IF(A4&lt;'Données projet'!$A$36,$K$205^A4,IF(A4='Données projet'!$A$36,'Données projet'!$B$36,N3+M4-V3)))</f>
        <v>1.3356034260773062</v>
      </c>
      <c r="O4" s="13">
        <f>N4*VLOOKUP('Données projet'!$B$9,Paramètres!$A$1:$I$89,3,0)*VLOOKUP('Données projet'!$B$9,Paramètres!$A$1:$I$89,5,0)</f>
        <v>0.7466023151772142</v>
      </c>
      <c r="P4" s="13">
        <f>EXP(-1.0587+0.8836*LN(O4)+0.284)</f>
        <v>0.35597032812689977</v>
      </c>
      <c r="Q4" s="20">
        <f t="shared" ref="Q4:Q34" si="2">(O4+P4)*0.475*44/12</f>
        <v>1.9203140204213316</v>
      </c>
      <c r="R4" s="59">
        <f t="shared" si="0"/>
        <v>295.25364735375467</v>
      </c>
      <c r="S4" s="59">
        <f ca="1">AVERAGE(OFFSET($R$3,0,0,'Données projet'!$E$9+1,1))-AVERAGE(OFFSET($H$3,0,0,'Données projet'!$E$9+1,1))</f>
        <v>279.32192402750189</v>
      </c>
      <c r="T4" s="59">
        <f>$T$3</f>
        <v>371.43572414443611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5.2912820512820513</v>
      </c>
      <c r="AI4" s="13">
        <f>IF('Données projet'!$A$62&gt;35,AI3+AH4-AQ3,IF(A4&lt;'Données projet'!$A$62,$AF$205^A4,IF(A4='Données projet'!$A$62,'Données projet'!$B$62,AI3+AH4-AQ3)))</f>
        <v>1.1840119133911551</v>
      </c>
      <c r="AJ4" s="13">
        <f>AI4*VLOOKUP('Données projet'!$B$10,Paramètres!$A$1:$I$89,3,0)*VLOOKUP('Données projet'!$B$10,Paramètres!$A$1:$I$89,5,0)</f>
        <v>0.55411757546706064</v>
      </c>
      <c r="AK4" s="13">
        <f>EXP(-1.0587+0.8836*LN(AJ4)+0.284)</f>
        <v>0.27352607028546766</v>
      </c>
      <c r="AL4" s="20">
        <f t="shared" ref="AL4:AL67" si="4">(AJ4+AK4)*0.475*44/12</f>
        <v>1.4414793496856533</v>
      </c>
      <c r="AM4" s="59">
        <f t="shared" ref="AM4:AM67" si="5">AL4+(AD4+AE4)*44/12</f>
        <v>294.77481268301898</v>
      </c>
      <c r="AN4" s="59">
        <f ca="1">AVERAGE(OFFSET($AM$3,0,0,'Données projet'!$E$10+1,1))-AVERAGE(OFFSET($H$3,0,0,'Données projet'!$E$10+1,1))</f>
        <v>192.20041613277965</v>
      </c>
      <c r="AO4" s="59">
        <f>$AO$3</f>
        <v>132.76245212522417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6.2222222222222223</v>
      </c>
      <c r="BD4" s="12">
        <f>IF('Données projet'!$A$88&gt;35,BD3+BC4-BL3,IF(A4&lt;'Données projet'!$A$88,$BA$205^A4,IF(A4='Données projet'!$A$88,'Données projet'!$B$88,BD3+BC4-BL3)))</f>
        <v>1.2997069632623315</v>
      </c>
      <c r="BE4" s="13">
        <f>BD4*VLOOKUP('Données projet'!$B$11,Paramètres!$A$1:$I$89,3,0)*VLOOKUP('Données projet'!$B$11,Paramètres!$A$1:$I$89,5,0)</f>
        <v>0.81101714507569489</v>
      </c>
      <c r="BF4" s="13">
        <f>EXP(-1.0587+0.8836*LN(BE4)+0.284)</f>
        <v>0.38297551084354686</v>
      </c>
      <c r="BG4" s="20">
        <f t="shared" ref="BG4:BG67" si="7">(BE4+BF4)*0.475*44/12</f>
        <v>2.0795372090593456</v>
      </c>
      <c r="BH4" s="59">
        <f t="shared" ref="BH4:BH67" si="8">BG4+(AY4+AZ4)*44/12</f>
        <v>295.41287054239268</v>
      </c>
      <c r="BI4" s="59">
        <f ca="1">AVERAGE(OFFSET($BH$3,0,0,'Données projet'!$E$11+1,1))-AVERAGE(OFFSET($H$3,0,0,'Données projet'!$E$11+1,1))</f>
        <v>180.31844548479722</v>
      </c>
      <c r="BJ4" s="59">
        <f>$BJ$3</f>
        <v>273.83237400307223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5.9083916083916082</v>
      </c>
      <c r="BY4" s="12">
        <f>IF('Données projet'!$A$114&gt;35,BY3+BX4-CG3,IF(A4&lt;'Données projet'!$A$114,$BV$205^A4,IF(A4='Données projet'!$A$114,'Données projet'!$B$114,BY3+BX4-CG3)))</f>
        <v>1.2476305424001204</v>
      </c>
      <c r="BZ4" s="13">
        <f>BY4*VLOOKUP('Données projet'!$B$12,Paramètres!$A$1:$I$89,3,0)*VLOOKUP('Données projet'!$B$12,Paramètres!$A$1:$I$89,5,0)</f>
        <v>0.74608306435527205</v>
      </c>
      <c r="CA4" s="13">
        <f>EXP(-1.0587+0.8836*LN(BZ4)+0.284)</f>
        <v>0.35575156458325191</v>
      </c>
      <c r="CB4" s="20">
        <f t="shared" ref="CB4:CB67" si="10">(BZ4+CA4)*0.475*44/12</f>
        <v>1.9190286454012624</v>
      </c>
      <c r="CC4" s="59">
        <f t="shared" ref="CC4:CC67" si="11">CB4+(BT4+BU4)*44/12</f>
        <v>295.2523619787346</v>
      </c>
      <c r="CD4" s="59">
        <f ca="1">AVERAGE(OFFSET($CC$3,0,0,'Données projet'!$E$12+1,1))-AVERAGE(OFFSET($H$3,0,0,'Données projet'!$E$12+1,1))</f>
        <v>214.34615950592251</v>
      </c>
      <c r="CE4" s="59">
        <f>$CE$3</f>
        <v>159.66077836853066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0.93599999999999994</v>
      </c>
      <c r="D5" s="11">
        <f t="shared" ref="D5:D68" si="32">IFERROR(EXP(-1.0587+0.8836*LN(C5)+0.284),0)</f>
        <v>0.43468174797979486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10.58070121247561</v>
      </c>
      <c r="H5" s="67">
        <f t="shared" si="1"/>
        <v>295.7206040443981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10.16068376068376</v>
      </c>
      <c r="N5" s="13">
        <f>IF('Données projet'!$A$36&gt;35,N4+M5-V4,IF(A5&lt;'Données projet'!$A$36,$K$205^A5,IF(A5='Données projet'!$A$36,'Données projet'!$B$36,N4+M5-V4)))</f>
        <v>1.7838365117494384</v>
      </c>
      <c r="O5" s="13">
        <f>N5*VLOOKUP('Données projet'!$B$9,Paramètres!$A$1:$I$89,3,0)*VLOOKUP('Données projet'!$B$9,Paramètres!$A$1:$I$89,5,0)</f>
        <v>0.99716461006793611</v>
      </c>
      <c r="P5" s="13">
        <f t="shared" ref="P5:P68" si="33">EXP(-1.0587+0.8836*LN(O5)+0.284)</f>
        <v>0.4596872513511342</v>
      </c>
      <c r="Q5" s="20">
        <f t="shared" si="2"/>
        <v>2.5373503253048804</v>
      </c>
      <c r="R5" s="59">
        <f t="shared" si="0"/>
        <v>295.8706836586382</v>
      </c>
      <c r="S5" s="59">
        <f ca="1">AVERAGE(OFFSET($R$3,0,0,'Données projet'!$E$9+1,1))-AVERAGE(OFFSET($H$3,0,0,'Données projet'!$E$9+1,1))</f>
        <v>279.32192402750189</v>
      </c>
      <c r="T5" s="59">
        <f t="shared" ref="T5:T68" si="34">$T$3</f>
        <v>371.43572414443611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5.2912820512820513</v>
      </c>
      <c r="AI5" s="13">
        <f>IF('Données projet'!$A$62&gt;35,AI4+AH5-AQ4,IF(A5&lt;'Données projet'!$A$62,$AF$205^A5,IF(A5='Données projet'!$A$62,'Données projet'!$B$62,AI4+AH5-AQ4)))</f>
        <v>1.4018842110521841</v>
      </c>
      <c r="AJ5" s="13">
        <f>AI5*VLOOKUP('Données projet'!$B$10,Paramètres!$A$1:$I$89,3,0)*VLOOKUP('Données projet'!$B$10,Paramètres!$A$1:$I$89,5,0)</f>
        <v>0.65608181077242211</v>
      </c>
      <c r="AK5" s="13">
        <f t="shared" ref="AK5:AK68" si="35">EXP(-1.0587+0.8836*LN(AJ5)+0.284)</f>
        <v>0.31755294992125549</v>
      </c>
      <c r="AL5" s="20">
        <f t="shared" si="4"/>
        <v>1.6957472082081553</v>
      </c>
      <c r="AM5" s="59">
        <f t="shared" si="5"/>
        <v>295.02908054154148</v>
      </c>
      <c r="AN5" s="59">
        <f ca="1">AVERAGE(OFFSET($AM$3,0,0,'Données projet'!$E$10+1,1))-AVERAGE(OFFSET($H$3,0,0,'Données projet'!$E$10+1,1))</f>
        <v>192.20041613277965</v>
      </c>
      <c r="AO5" s="59">
        <f t="shared" ref="AO5:AO68" si="36">$AO$3</f>
        <v>132.76245212522417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6.2222222222222223</v>
      </c>
      <c r="BD5" s="12">
        <f>IF('Données projet'!$A$88&gt;35,BD4+BC5-BL4,IF(A5&lt;'Données projet'!$A$88,$BA$205^A5,IF(A5='Données projet'!$A$88,'Données projet'!$B$88,BD4+BC5-BL4)))</f>
        <v>1.6892381903525915</v>
      </c>
      <c r="BE5" s="13">
        <f>BD5*VLOOKUP('Données projet'!$B$11,Paramètres!$A$1:$I$89,3,0)*VLOOKUP('Données projet'!$B$11,Paramètres!$A$1:$I$89,5,0)</f>
        <v>1.0540846307800171</v>
      </c>
      <c r="BF5" s="13">
        <f t="shared" ref="BF5:BF68" si="37">EXP(-1.0587+0.8836*LN(BE5)+0.284)</f>
        <v>0.48279730809434274</v>
      </c>
      <c r="BG5" s="20">
        <f t="shared" si="7"/>
        <v>2.6767360435395098</v>
      </c>
      <c r="BH5" s="59">
        <f t="shared" si="8"/>
        <v>296.01006937687282</v>
      </c>
      <c r="BI5" s="59">
        <f ca="1">AVERAGE(OFFSET($BH$3,0,0,'Données projet'!$E$11+1,1))-AVERAGE(OFFSET($H$3,0,0,'Données projet'!$E$11+1,1))</f>
        <v>180.31844548479722</v>
      </c>
      <c r="BJ5" s="59">
        <f t="shared" ref="BJ5:BJ68" si="38">$BJ$3</f>
        <v>273.83237400307223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5.9083916083916082</v>
      </c>
      <c r="BY5" s="12">
        <f>IF('Données projet'!$A$114&gt;35,BY4+BX5-CG4,IF(A5&lt;'Données projet'!$A$114,$BV$205^A5,IF(A5='Données projet'!$A$114,'Données projet'!$B$114,BY4+BX5-CG4)))</f>
        <v>1.5565819703296186</v>
      </c>
      <c r="BZ5" s="13">
        <f>BY5*VLOOKUP('Données projet'!$B$12,Paramètres!$A$1:$I$89,3,0)*VLOOKUP('Données projet'!$B$12,Paramètres!$A$1:$I$89,5,0)</f>
        <v>0.93083601825711204</v>
      </c>
      <c r="CA5" s="13">
        <f t="shared" ref="CA5:CA68" si="39">EXP(-1.0587+0.8836*LN(BZ5)+0.284)</f>
        <v>0.43256204175421276</v>
      </c>
      <c r="CB5" s="20">
        <f t="shared" si="10"/>
        <v>2.3745849545197242</v>
      </c>
      <c r="CC5" s="59">
        <f t="shared" si="11"/>
        <v>295.70791828785303</v>
      </c>
      <c r="CD5" s="59">
        <f ca="1">AVERAGE(OFFSET($CC$3,0,0,'Données projet'!$E$12+1,1))-AVERAGE(OFFSET($H$3,0,0,'Données projet'!$E$12+1,1))</f>
        <v>214.34615950592251</v>
      </c>
      <c r="CE5" s="59">
        <f t="shared" ref="CE5:CE68" si="40">$CE$3</f>
        <v>159.66077836853066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1.4039999999999999</v>
      </c>
      <c r="D6" s="11">
        <f t="shared" si="32"/>
        <v>0.62196456335211292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15.639024699560167</v>
      </c>
      <c r="H6" s="67">
        <f t="shared" si="1"/>
        <v>296.86188828117156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10.16068376068376</v>
      </c>
      <c r="N6" s="13">
        <f>IF('Données projet'!$A$36&gt;35,N5+M6-V5,IF(A6&lt;'Données projet'!$A$36,$K$205^A6,IF(A6='Données projet'!$A$36,'Données projet'!$B$36,N5+M6-V5)))</f>
        <v>2.3824981566543406</v>
      </c>
      <c r="O6" s="13">
        <f>N6*VLOOKUP('Données projet'!$B$9,Paramètres!$A$1:$I$89,3,0)*VLOOKUP('Données projet'!$B$9,Paramètres!$A$1:$I$89,5,0)</f>
        <v>1.3318164695697763</v>
      </c>
      <c r="P6" s="13">
        <f t="shared" si="33"/>
        <v>0.59362354768914927</v>
      </c>
      <c r="Q6" s="20">
        <f t="shared" si="2"/>
        <v>3.3534746967259621</v>
      </c>
      <c r="R6" s="59">
        <f t="shared" si="0"/>
        <v>296.6868080300593</v>
      </c>
      <c r="S6" s="59">
        <f ca="1">AVERAGE(OFFSET($R$3,0,0,'Données projet'!$E$9+1,1))-AVERAGE(OFFSET($H$3,0,0,'Données projet'!$E$9+1,1))</f>
        <v>279.32192402750189</v>
      </c>
      <c r="T6" s="59">
        <f t="shared" si="34"/>
        <v>371.43572414443611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5.2912820512820513</v>
      </c>
      <c r="AI6" s="13">
        <f>IF('Données projet'!$A$62&gt;35,AI5+AH6-AQ5,IF(A6&lt;'Données projet'!$A$62,$AF$205^A6,IF(A6='Données projet'!$A$62,'Données projet'!$B$62,AI5+AH6-AQ5)))</f>
        <v>1.6598476070807464</v>
      </c>
      <c r="AJ6" s="13">
        <f>AI6*VLOOKUP('Données projet'!$B$10,Paramètres!$A$1:$I$89,3,0)*VLOOKUP('Données projet'!$B$10,Paramètres!$A$1:$I$89,5,0)</f>
        <v>0.77680868011378923</v>
      </c>
      <c r="AK6" s="13">
        <f t="shared" si="35"/>
        <v>0.36866641595972582</v>
      </c>
      <c r="AL6" s="20">
        <f t="shared" si="4"/>
        <v>1.9950357923280386</v>
      </c>
      <c r="AM6" s="59">
        <f t="shared" si="5"/>
        <v>295.32836912566137</v>
      </c>
      <c r="AN6" s="59">
        <f ca="1">AVERAGE(OFFSET($AM$3,0,0,'Données projet'!$E$10+1,1))-AVERAGE(OFFSET($H$3,0,0,'Données projet'!$E$10+1,1))</f>
        <v>192.20041613277965</v>
      </c>
      <c r="AO6" s="59">
        <f t="shared" si="36"/>
        <v>132.76245212522417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6.2222222222222223</v>
      </c>
      <c r="BD6" s="12">
        <f>IF('Données projet'!$A$88&gt;35,BD5+BC6-BL5,IF(A6&lt;'Données projet'!$A$88,$BA$205^A6,IF(A6='Données projet'!$A$88,'Données projet'!$B$88,BD5+BC6-BL5)))</f>
        <v>2.1955146386099229</v>
      </c>
      <c r="BE6" s="13">
        <f>BD6*VLOOKUP('Données projet'!$B$11,Paramètres!$A$1:$I$89,3,0)*VLOOKUP('Données projet'!$B$11,Paramètres!$A$1:$I$89,5,0)</f>
        <v>1.3700011344925918</v>
      </c>
      <c r="BF6" s="13">
        <f t="shared" si="37"/>
        <v>0.60863745619068288</v>
      </c>
      <c r="BG6" s="20">
        <f t="shared" si="7"/>
        <v>3.4461288787733699</v>
      </c>
      <c r="BH6" s="59">
        <f t="shared" si="8"/>
        <v>296.77946221210669</v>
      </c>
      <c r="BI6" s="59">
        <f ca="1">AVERAGE(OFFSET($BH$3,0,0,'Données projet'!$E$11+1,1))-AVERAGE(OFFSET($H$3,0,0,'Données projet'!$E$11+1,1))</f>
        <v>180.31844548479722</v>
      </c>
      <c r="BJ6" s="59">
        <f t="shared" si="38"/>
        <v>273.83237400307223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5.9083916083916082</v>
      </c>
      <c r="BY6" s="12">
        <f>IF('Données projet'!$A$114&gt;35,BY5+BX6-CG5,IF(A6&lt;'Données projet'!$A$114,$BV$205^A6,IF(A6='Données projet'!$A$114,'Données projet'!$B$114,BY5+BX6-CG5)))</f>
        <v>1.9420392079325903</v>
      </c>
      <c r="BZ6" s="13">
        <f>BY6*VLOOKUP('Données projet'!$B$12,Paramètres!$A$1:$I$89,3,0)*VLOOKUP('Données projet'!$B$12,Paramètres!$A$1:$I$89,5,0)</f>
        <v>1.1613394463436892</v>
      </c>
      <c r="CA6" s="13">
        <f t="shared" si="39"/>
        <v>0.52595670291925423</v>
      </c>
      <c r="CB6" s="20">
        <f t="shared" si="10"/>
        <v>2.938707459966293</v>
      </c>
      <c r="CC6" s="59">
        <f t="shared" si="11"/>
        <v>296.2720407932996</v>
      </c>
      <c r="CD6" s="59">
        <f ca="1">AVERAGE(OFFSET($CC$3,0,0,'Données projet'!$E$12+1,1))-AVERAGE(OFFSET($H$3,0,0,'Données projet'!$E$12+1,1))</f>
        <v>214.34615950592251</v>
      </c>
      <c r="CE6" s="59">
        <f t="shared" si="40"/>
        <v>159.66077836853066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1.8719999999999999</v>
      </c>
      <c r="D7" s="11">
        <f t="shared" si="32"/>
        <v>0.80197625342459555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20.641220201874074</v>
      </c>
      <c r="H7" s="67">
        <f t="shared" si="1"/>
        <v>297.99050864138115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10.16068376068376</v>
      </c>
      <c r="N7" s="13">
        <f>IF('Données projet'!$A$36&gt;35,N6+M7-V6,IF(A7&lt;'Données projet'!$A$36,$K$205^A7,IF(A7='Données projet'!$A$36,'Données projet'!$B$36,N6+M7-V6)))</f>
        <v>3.1820727006504042</v>
      </c>
      <c r="O7" s="13">
        <f>N7*VLOOKUP('Données projet'!$B$9,Paramètres!$A$1:$I$89,3,0)*VLOOKUP('Données projet'!$B$9,Paramètres!$A$1:$I$89,5,0)</f>
        <v>1.7787786396635761</v>
      </c>
      <c r="P7" s="13">
        <f t="shared" si="33"/>
        <v>0.76658405325641277</v>
      </c>
      <c r="Q7" s="20">
        <f t="shared" si="2"/>
        <v>4.4331733568356464</v>
      </c>
      <c r="R7" s="59">
        <f t="shared" si="0"/>
        <v>297.76650669016897</v>
      </c>
      <c r="S7" s="59">
        <f ca="1">AVERAGE(OFFSET($R$3,0,0,'Données projet'!$E$9+1,1))-AVERAGE(OFFSET($H$3,0,0,'Données projet'!$E$9+1,1))</f>
        <v>279.32192402750189</v>
      </c>
      <c r="T7" s="59">
        <f t="shared" si="34"/>
        <v>371.43572414443611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5.2912820512820513</v>
      </c>
      <c r="AI7" s="13">
        <f>IF('Données projet'!$A$62&gt;35,AI6+AH7-AQ6,IF(A7&lt;'Données projet'!$A$62,$AF$205^A7,IF(A7='Données projet'!$A$62,'Données projet'!$B$62,AI6+AH7-AQ6)))</f>
        <v>1.9652793411974046</v>
      </c>
      <c r="AJ7" s="13">
        <f>AI7*VLOOKUP('Données projet'!$B$10,Paramètres!$A$1:$I$89,3,0)*VLOOKUP('Données projet'!$B$10,Paramètres!$A$1:$I$89,5,0)</f>
        <v>0.91975073168038535</v>
      </c>
      <c r="AK7" s="13">
        <f t="shared" si="35"/>
        <v>0.42800712854436657</v>
      </c>
      <c r="AL7" s="20">
        <f t="shared" si="4"/>
        <v>2.347344939891443</v>
      </c>
      <c r="AM7" s="59">
        <f t="shared" si="5"/>
        <v>295.68067827322477</v>
      </c>
      <c r="AN7" s="59">
        <f ca="1">AVERAGE(OFFSET($AM$3,0,0,'Données projet'!$E$10+1,1))-AVERAGE(OFFSET($H$3,0,0,'Données projet'!$E$10+1,1))</f>
        <v>192.20041613277965</v>
      </c>
      <c r="AO7" s="59">
        <f t="shared" si="36"/>
        <v>132.76245212522417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6.2222222222222223</v>
      </c>
      <c r="BD7" s="12">
        <f>IF('Données projet'!$A$88&gt;35,BD6+BC7-BL6,IF(A7&lt;'Données projet'!$A$88,$BA$205^A7,IF(A7='Données projet'!$A$88,'Données projet'!$B$88,BD6+BC7-BL6)))</f>
        <v>2.8535256637456983</v>
      </c>
      <c r="BE7" s="13">
        <f>BD7*VLOOKUP('Données projet'!$B$11,Paramètres!$A$1:$I$89,3,0)*VLOOKUP('Données projet'!$B$11,Paramètres!$A$1:$I$89,5,0)</f>
        <v>1.7806000141773157</v>
      </c>
      <c r="BF7" s="13">
        <f t="shared" si="37"/>
        <v>0.76727758599241935</v>
      </c>
      <c r="BG7" s="20">
        <f t="shared" si="7"/>
        <v>4.4375534869622877</v>
      </c>
      <c r="BH7" s="59">
        <f t="shared" si="8"/>
        <v>297.77088682029563</v>
      </c>
      <c r="BI7" s="59">
        <f ca="1">AVERAGE(OFFSET($BH$3,0,0,'Données projet'!$E$11+1,1))-AVERAGE(OFFSET($H$3,0,0,'Données projet'!$E$11+1,1))</f>
        <v>180.31844548479722</v>
      </c>
      <c r="BJ7" s="59">
        <f t="shared" si="38"/>
        <v>273.83237400307223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5.9083916083916082</v>
      </c>
      <c r="BY7" s="12">
        <f>IF('Données projet'!$A$114&gt;35,BY6+BX7-CG6,IF(A7&lt;'Données projet'!$A$114,$BV$205^A7,IF(A7='Données projet'!$A$114,'Données projet'!$B$114,BY6+BX7-CG6)))</f>
        <v>2.4229474303552379</v>
      </c>
      <c r="BZ7" s="13">
        <f>BY7*VLOOKUP('Données projet'!$B$12,Paramètres!$A$1:$I$89,3,0)*VLOOKUP('Données projet'!$B$12,Paramètres!$A$1:$I$89,5,0)</f>
        <v>1.4489225633524323</v>
      </c>
      <c r="CA7" s="13">
        <f t="shared" si="39"/>
        <v>0.63951624655701411</v>
      </c>
      <c r="CB7" s="20">
        <f t="shared" si="10"/>
        <v>3.6373642605922853</v>
      </c>
      <c r="CC7" s="59">
        <f t="shared" si="11"/>
        <v>296.97069759392559</v>
      </c>
      <c r="CD7" s="59">
        <f ca="1">AVERAGE(OFFSET($CC$3,0,0,'Données projet'!$E$12+1,1))-AVERAGE(OFFSET($H$3,0,0,'Données projet'!$E$12+1,1))</f>
        <v>214.34615950592251</v>
      </c>
      <c r="CE7" s="59">
        <f t="shared" si="40"/>
        <v>159.66077836853066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2.34</v>
      </c>
      <c r="D8" s="11">
        <f t="shared" si="32"/>
        <v>0.97676749007450259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25.603117467241773</v>
      </c>
      <c r="H8" s="67">
        <f t="shared" si="1"/>
        <v>299.11003671187973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10.16068376068376</v>
      </c>
      <c r="N8" s="13">
        <f>IF('Données projet'!$A$36&gt;35,N7+M8-V7,IF(A8&lt;'Données projet'!$A$36,$K$205^A8,IF(A8='Données projet'!$A$36,'Données projet'!$B$36,N7+M8-V7)))</f>
        <v>4.2499872010157462</v>
      </c>
      <c r="O8" s="13">
        <f>N8*VLOOKUP('Données projet'!$B$9,Paramètres!$A$1:$I$89,3,0)*VLOOKUP('Données projet'!$B$9,Paramètres!$A$1:$I$89,5,0)</f>
        <v>2.3757428453678022</v>
      </c>
      <c r="P8" s="13">
        <f t="shared" si="33"/>
        <v>0.98993901605593615</v>
      </c>
      <c r="Q8" s="20">
        <f t="shared" si="2"/>
        <v>5.8618959086463436</v>
      </c>
      <c r="R8" s="59">
        <f t="shared" si="0"/>
        <v>299.19522924197963</v>
      </c>
      <c r="S8" s="59">
        <f ca="1">AVERAGE(OFFSET($R$3,0,0,'Données projet'!$E$9+1,1))-AVERAGE(OFFSET($H$3,0,0,'Données projet'!$E$9+1,1))</f>
        <v>279.32192402750189</v>
      </c>
      <c r="T8" s="59">
        <f t="shared" si="34"/>
        <v>371.43572414443611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5.2912820512820513</v>
      </c>
      <c r="AI8" s="13">
        <f>IF('Données projet'!$A$62&gt;35,AI7+AH8-AQ7,IF(A8&lt;'Données projet'!$A$62,$AF$205^A8,IF(A8='Données projet'!$A$62,'Données projet'!$B$62,AI7+AH8-AQ7)))</f>
        <v>2.3269141531192479</v>
      </c>
      <c r="AJ8" s="13">
        <f>AI8*VLOOKUP('Données projet'!$B$10,Paramètres!$A$1:$I$89,3,0)*VLOOKUP('Données projet'!$B$10,Paramètres!$A$1:$I$89,5,0)</f>
        <v>1.0889958236598081</v>
      </c>
      <c r="AK8" s="13">
        <f t="shared" si="35"/>
        <v>0.49689934898980909</v>
      </c>
      <c r="AL8" s="20">
        <f t="shared" si="4"/>
        <v>2.7621007590314162</v>
      </c>
      <c r="AM8" s="59">
        <f t="shared" si="5"/>
        <v>296.09543409236471</v>
      </c>
      <c r="AN8" s="59">
        <f ca="1">AVERAGE(OFFSET($AM$3,0,0,'Données projet'!$E$10+1,1))-AVERAGE(OFFSET($H$3,0,0,'Données projet'!$E$10+1,1))</f>
        <v>192.20041613277965</v>
      </c>
      <c r="AO8" s="59">
        <f t="shared" si="36"/>
        <v>132.76245212522417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6.2222222222222223</v>
      </c>
      <c r="BD8" s="12">
        <f>IF('Données projet'!$A$88&gt;35,BD7+BC8-BL7,IF(A8&lt;'Données projet'!$A$88,$BA$205^A8,IF(A8='Données projet'!$A$88,'Données projet'!$B$88,BD7+BC8-BL7)))</f>
        <v>3.7087471750180505</v>
      </c>
      <c r="BE8" s="13">
        <f>BD8*VLOOKUP('Données projet'!$B$11,Paramètres!$A$1:$I$89,3,0)*VLOOKUP('Données projet'!$B$11,Paramètres!$A$1:$I$89,5,0)</f>
        <v>2.3142582372112632</v>
      </c>
      <c r="BF8" s="13">
        <f t="shared" si="37"/>
        <v>0.96726694681425085</v>
      </c>
      <c r="BG8" s="20">
        <f t="shared" si="7"/>
        <v>5.7153230288444377</v>
      </c>
      <c r="BH8" s="59">
        <f t="shared" si="8"/>
        <v>299.04865636217778</v>
      </c>
      <c r="BI8" s="59">
        <f ca="1">AVERAGE(OFFSET($BH$3,0,0,'Données projet'!$E$11+1,1))-AVERAGE(OFFSET($H$3,0,0,'Données projet'!$E$11+1,1))</f>
        <v>180.31844548479722</v>
      </c>
      <c r="BJ8" s="59">
        <f t="shared" si="38"/>
        <v>273.83237400307223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5.9083916083916082</v>
      </c>
      <c r="BY8" s="12">
        <f>IF('Données projet'!$A$114&gt;35,BY7+BX8-CG7,IF(A8&lt;'Données projet'!$A$114,$BV$205^A8,IF(A8='Données projet'!$A$114,'Données projet'!$B$114,BY7+BX8-CG7)))</f>
        <v>3.0229432167410835</v>
      </c>
      <c r="BZ8" s="13">
        <f>BY8*VLOOKUP('Données projet'!$B$12,Paramètres!$A$1:$I$89,3,0)*VLOOKUP('Données projet'!$B$12,Paramètres!$A$1:$I$89,5,0)</f>
        <v>1.807720043611168</v>
      </c>
      <c r="CA8" s="13">
        <f t="shared" si="39"/>
        <v>0.7775944813334934</v>
      </c>
      <c r="CB8" s="20">
        <f t="shared" si="10"/>
        <v>4.5027561309452855</v>
      </c>
      <c r="CC8" s="59">
        <f t="shared" si="11"/>
        <v>297.83608946427859</v>
      </c>
      <c r="CD8" s="59">
        <f ca="1">AVERAGE(OFFSET($CC$3,0,0,'Données projet'!$E$12+1,1))-AVERAGE(OFFSET($H$3,0,0,'Données projet'!$E$12+1,1))</f>
        <v>214.34615950592251</v>
      </c>
      <c r="CE8" s="59">
        <f t="shared" si="40"/>
        <v>159.66077836853066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2.8079999999999998</v>
      </c>
      <c r="D9" s="11">
        <f t="shared" si="32"/>
        <v>1.1475080621585647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30.533746444732781</v>
      </c>
      <c r="H9" s="67">
        <f t="shared" si="1"/>
        <v>300.22250987492617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10.16068376068376</v>
      </c>
      <c r="N9" s="13">
        <f>IF('Données projet'!$A$36&gt;35,N8+M9-V8,IF(A9&lt;'Données projet'!$A$36,$K$205^A9,IF(A9='Données projet'!$A$36,'Données projet'!$B$36,N8+M9-V8)))</f>
        <v>5.6762974664613317</v>
      </c>
      <c r="O9" s="13">
        <f>N9*VLOOKUP('Données projet'!$B$9,Paramètres!$A$1:$I$89,3,0)*VLOOKUP('Données projet'!$B$9,Paramètres!$A$1:$I$89,5,0)</f>
        <v>3.1730502837518846</v>
      </c>
      <c r="P9" s="13">
        <f t="shared" si="33"/>
        <v>1.27837156453606</v>
      </c>
      <c r="Q9" s="20">
        <f t="shared" si="2"/>
        <v>7.7528930524348363</v>
      </c>
      <c r="R9" s="59">
        <f t="shared" si="0"/>
        <v>301.08622638576816</v>
      </c>
      <c r="S9" s="59">
        <f ca="1">AVERAGE(OFFSET($R$3,0,0,'Données projet'!$E$9+1,1))-AVERAGE(OFFSET($H$3,0,0,'Données projet'!$E$9+1,1))</f>
        <v>279.32192402750189</v>
      </c>
      <c r="T9" s="59">
        <f t="shared" si="34"/>
        <v>371.43572414443611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5.2912820512820513</v>
      </c>
      <c r="AI9" s="13">
        <f>IF('Données projet'!$A$62&gt;35,AI8+AH9-AQ8,IF(A9&lt;'Données projet'!$A$62,$AF$205^A9,IF(A9='Données projet'!$A$62,'Données projet'!$B$62,AI8+AH9-AQ8)))</f>
        <v>2.7550940787316796</v>
      </c>
      <c r="AJ9" s="13">
        <f>AI9*VLOOKUP('Données projet'!$B$10,Paramètres!$A$1:$I$89,3,0)*VLOOKUP('Données projet'!$B$10,Paramètres!$A$1:$I$89,5,0)</f>
        <v>1.289384028846426</v>
      </c>
      <c r="AK9" s="13">
        <f t="shared" si="35"/>
        <v>0.57688049230914107</v>
      </c>
      <c r="AL9" s="20">
        <f t="shared" si="4"/>
        <v>3.2504107076792792</v>
      </c>
      <c r="AM9" s="59">
        <f t="shared" si="5"/>
        <v>296.58374404101261</v>
      </c>
      <c r="AN9" s="59">
        <f ca="1">AVERAGE(OFFSET($AM$3,0,0,'Données projet'!$E$10+1,1))-AVERAGE(OFFSET($H$3,0,0,'Données projet'!$E$10+1,1))</f>
        <v>192.20041613277965</v>
      </c>
      <c r="AO9" s="59">
        <f t="shared" si="36"/>
        <v>132.76245212522417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6.2222222222222223</v>
      </c>
      <c r="BD9" s="12">
        <f>IF('Données projet'!$A$88&gt;35,BD8+BC9-BL8,IF(A9&lt;'Données projet'!$A$88,$BA$205^A9,IF(A9='Données projet'!$A$88,'Données projet'!$B$88,BD8+BC9-BL8)))</f>
        <v>4.8202845283504612</v>
      </c>
      <c r="BE9" s="13">
        <f>BD9*VLOOKUP('Données projet'!$B$11,Paramètres!$A$1:$I$89,3,0)*VLOOKUP('Données projet'!$B$11,Paramètres!$A$1:$I$89,5,0)</f>
        <v>3.0078575456906878</v>
      </c>
      <c r="BF9" s="13">
        <f t="shared" si="37"/>
        <v>1.2193831326236693</v>
      </c>
      <c r="BG9" s="20">
        <f t="shared" si="7"/>
        <v>7.3624441813975059</v>
      </c>
      <c r="BH9" s="59">
        <f t="shared" si="8"/>
        <v>300.69577751473082</v>
      </c>
      <c r="BI9" s="59">
        <f ca="1">AVERAGE(OFFSET($BH$3,0,0,'Données projet'!$E$11+1,1))-AVERAGE(OFFSET($H$3,0,0,'Données projet'!$E$11+1,1))</f>
        <v>180.31844548479722</v>
      </c>
      <c r="BJ9" s="59">
        <f t="shared" si="38"/>
        <v>273.83237400307223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5.9083916083916082</v>
      </c>
      <c r="BY9" s="12">
        <f>IF('Données projet'!$A$114&gt;35,BY8+BX9-CG8,IF(A9&lt;'Données projet'!$A$114,$BV$205^A9,IF(A9='Données projet'!$A$114,'Données projet'!$B$114,BY8+BX9-CG8)))</f>
        <v>3.7715162851474426</v>
      </c>
      <c r="BZ9" s="13">
        <f>BY9*VLOOKUP('Données projet'!$B$12,Paramètres!$A$1:$I$89,3,0)*VLOOKUP('Données projet'!$B$12,Paramètres!$A$1:$I$89,5,0)</f>
        <v>2.255366738518171</v>
      </c>
      <c r="CA9" s="13">
        <f t="shared" si="39"/>
        <v>0.9454852486634967</v>
      </c>
      <c r="CB9" s="20">
        <f t="shared" si="10"/>
        <v>5.5748172110080709</v>
      </c>
      <c r="CC9" s="59">
        <f t="shared" si="11"/>
        <v>298.90815054434137</v>
      </c>
      <c r="CD9" s="59">
        <f ca="1">AVERAGE(OFFSET($CC$3,0,0,'Données projet'!$E$12+1,1))-AVERAGE(OFFSET($H$3,0,0,'Données projet'!$E$12+1,1))</f>
        <v>214.34615950592251</v>
      </c>
      <c r="CE9" s="59">
        <f t="shared" si="40"/>
        <v>159.66077836853066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3.2759999999999998</v>
      </c>
      <c r="D10" s="11">
        <f t="shared" si="32"/>
        <v>1.3149520873221709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35.438928393364129</v>
      </c>
      <c r="H10" s="67">
        <f t="shared" si="1"/>
        <v>301.3292415520861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10.16068376068376</v>
      </c>
      <c r="N10" s="13">
        <f>IF('Données projet'!$A$36&gt;35,N9+M10-V9,IF(A10&lt;'Données projet'!$A$36,$K$205^A10,IF(A10='Données projet'!$A$36,'Données projet'!$B$36,N9+M10-V9)))</f>
        <v>7.5812823436396872</v>
      </c>
      <c r="O10" s="13">
        <f>N10*VLOOKUP('Données projet'!$B$9,Paramètres!$A$1:$I$89,3,0)*VLOOKUP('Données projet'!$B$9,Paramètres!$A$1:$I$89,5,0)</f>
        <v>4.2379368300945854</v>
      </c>
      <c r="P10" s="13">
        <f t="shared" si="33"/>
        <v>1.6508429615446465</v>
      </c>
      <c r="Q10" s="20">
        <f t="shared" si="2"/>
        <v>10.256291470438329</v>
      </c>
      <c r="R10" s="59">
        <f t="shared" si="0"/>
        <v>303.58962480377164</v>
      </c>
      <c r="S10" s="59">
        <f ca="1">AVERAGE(OFFSET($R$3,0,0,'Données projet'!$E$9+1,1))-AVERAGE(OFFSET($H$3,0,0,'Données projet'!$E$9+1,1))</f>
        <v>279.32192402750189</v>
      </c>
      <c r="T10" s="59">
        <f t="shared" si="34"/>
        <v>371.43572414443611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5.2912820512820513</v>
      </c>
      <c r="AI10" s="13">
        <f>IF('Données projet'!$A$62&gt;35,AI9+AH10-AQ9,IF(A10&lt;'Données projet'!$A$62,$AF$205^A10,IF(A10='Données projet'!$A$62,'Données projet'!$B$62,AI9+AH10-AQ9)))</f>
        <v>3.2620642117317376</v>
      </c>
      <c r="AJ10" s="13">
        <f>AI10*VLOOKUP('Données projet'!$B$10,Paramètres!$A$1:$I$89,3,0)*VLOOKUP('Données projet'!$B$10,Paramètres!$A$1:$I$89,5,0)</f>
        <v>1.5266460510904531</v>
      </c>
      <c r="AK10" s="13">
        <f t="shared" si="35"/>
        <v>0.66973543652934475</v>
      </c>
      <c r="AL10" s="20">
        <f t="shared" si="4"/>
        <v>3.825364424271148</v>
      </c>
      <c r="AM10" s="59">
        <f t="shared" si="5"/>
        <v>297.15869775760444</v>
      </c>
      <c r="AN10" s="59">
        <f ca="1">AVERAGE(OFFSET($AM$3,0,0,'Données projet'!$E$10+1,1))-AVERAGE(OFFSET($H$3,0,0,'Données projet'!$E$10+1,1))</f>
        <v>192.20041613277965</v>
      </c>
      <c r="AO10" s="59">
        <f t="shared" si="36"/>
        <v>132.76245212522417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6.2222222222222223</v>
      </c>
      <c r="BD10" s="12">
        <f>IF('Données projet'!$A$88&gt;35,BD9+BC10-BL9,IF(A10&lt;'Données projet'!$A$88,$BA$205^A10,IF(A10='Données projet'!$A$88,'Données projet'!$B$88,BD9+BC10-BL9)))</f>
        <v>6.2649573664027773</v>
      </c>
      <c r="BE10" s="13">
        <f>BD10*VLOOKUP('Données projet'!$B$11,Paramètres!$A$1:$I$89,3,0)*VLOOKUP('Données projet'!$B$11,Paramètres!$A$1:$I$89,5,0)</f>
        <v>3.9093333966353332</v>
      </c>
      <c r="BF10" s="13">
        <f t="shared" si="37"/>
        <v>1.5372128955964925</v>
      </c>
      <c r="BG10" s="20">
        <f t="shared" si="7"/>
        <v>9.4860681256370967</v>
      </c>
      <c r="BH10" s="59">
        <f t="shared" si="8"/>
        <v>302.81940145897039</v>
      </c>
      <c r="BI10" s="59">
        <f ca="1">AVERAGE(OFFSET($BH$3,0,0,'Données projet'!$E$11+1,1))-AVERAGE(OFFSET($H$3,0,0,'Données projet'!$E$11+1,1))</f>
        <v>180.31844548479722</v>
      </c>
      <c r="BJ10" s="59">
        <f t="shared" si="38"/>
        <v>273.83237400307223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5.9083916083916082</v>
      </c>
      <c r="BY10" s="12">
        <f>IF('Données projet'!$A$114&gt;35,BY9+BX10-CG9,IF(A10&lt;'Données projet'!$A$114,$BV$205^A10,IF(A10='Données projet'!$A$114,'Données projet'!$B$114,BY9+BX10-CG9)))</f>
        <v>4.7054589085093914</v>
      </c>
      <c r="BZ10" s="13">
        <f>BY10*VLOOKUP('Données projet'!$B$12,Paramètres!$A$1:$I$89,3,0)*VLOOKUP('Données projet'!$B$12,Paramètres!$A$1:$I$89,5,0)</f>
        <v>2.8138644272886166</v>
      </c>
      <c r="CA10" s="13">
        <f t="shared" si="39"/>
        <v>1.1496253855959169</v>
      </c>
      <c r="CB10" s="20">
        <f t="shared" si="10"/>
        <v>6.9030780907738958</v>
      </c>
      <c r="CC10" s="59">
        <f t="shared" si="11"/>
        <v>300.23641142410719</v>
      </c>
      <c r="CD10" s="59">
        <f ca="1">AVERAGE(OFFSET($CC$3,0,0,'Données projet'!$E$12+1,1))-AVERAGE(OFFSET($H$3,0,0,'Données projet'!$E$12+1,1))</f>
        <v>214.34615950592251</v>
      </c>
      <c r="CE10" s="59">
        <f t="shared" si="40"/>
        <v>159.66077836853066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3.7439999999999998</v>
      </c>
      <c r="D11" s="11">
        <f t="shared" si="32"/>
        <v>1.4796248382778823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40.322718049864356</v>
      </c>
      <c r="H11" s="67">
        <f t="shared" si="1"/>
        <v>302.43114659333395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10.16068376068376</v>
      </c>
      <c r="N11" s="13">
        <f>IF('Données projet'!$A$36&gt;35,N10+M11-V10,IF(A11&lt;'Données projet'!$A$36,$K$205^A11,IF(A11='Données projet'!$A$36,'Données projet'!$B$36,N10+M11-V10)))</f>
        <v>10.125586672224557</v>
      </c>
      <c r="O11" s="13">
        <f>N11*VLOOKUP('Données projet'!$B$9,Paramètres!$A$1:$I$89,3,0)*VLOOKUP('Données projet'!$B$9,Paramètres!$A$1:$I$89,5,0)</f>
        <v>5.6602029497735273</v>
      </c>
      <c r="P11" s="13">
        <f t="shared" si="33"/>
        <v>2.1318390984944533</v>
      </c>
      <c r="Q11" s="20">
        <f t="shared" si="2"/>
        <v>13.571139900733398</v>
      </c>
      <c r="R11" s="59">
        <f t="shared" si="0"/>
        <v>306.9044732340667</v>
      </c>
      <c r="S11" s="59">
        <f ca="1">AVERAGE(OFFSET($R$3,0,0,'Données projet'!$E$9+1,1))-AVERAGE(OFFSET($H$3,0,0,'Données projet'!$E$9+1,1))</f>
        <v>279.32192402750189</v>
      </c>
      <c r="T11" s="59">
        <f t="shared" si="34"/>
        <v>371.43572414443611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5.2912820512820513</v>
      </c>
      <c r="AI11" s="13">
        <f>IF('Données projet'!$A$62&gt;35,AI10+AH11-AQ10,IF(A11&lt;'Données projet'!$A$62,$AF$205^A11,IF(A11='Données projet'!$A$62,'Données projet'!$B$62,AI10+AH11-AQ10)))</f>
        <v>3.8623228889373045</v>
      </c>
      <c r="AJ11" s="13">
        <f>AI11*VLOOKUP('Données projet'!$B$10,Paramètres!$A$1:$I$89,3,0)*VLOOKUP('Données projet'!$B$10,Paramètres!$A$1:$I$89,5,0)</f>
        <v>1.8075671120226584</v>
      </c>
      <c r="AK11" s="13">
        <f t="shared" si="35"/>
        <v>0.77753635444962066</v>
      </c>
      <c r="AL11" s="20">
        <f t="shared" si="4"/>
        <v>4.5023885374392192</v>
      </c>
      <c r="AM11" s="59">
        <f t="shared" si="5"/>
        <v>297.83572187077255</v>
      </c>
      <c r="AN11" s="59">
        <f ca="1">AVERAGE(OFFSET($AM$3,0,0,'Données projet'!$E$10+1,1))-AVERAGE(OFFSET($H$3,0,0,'Données projet'!$E$10+1,1))</f>
        <v>192.20041613277965</v>
      </c>
      <c r="AO11" s="59">
        <f t="shared" si="36"/>
        <v>132.76245212522417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6.2222222222222223</v>
      </c>
      <c r="BD11" s="12">
        <f>IF('Données projet'!$A$88&gt;35,BD10+BC11-BL10,IF(A11&lt;'Données projet'!$A$88,$BA$205^A11,IF(A11='Données projet'!$A$88,'Données projet'!$B$88,BD10+BC11-BL10)))</f>
        <v>8.1426087136553278</v>
      </c>
      <c r="BE11" s="13">
        <f>BD11*VLOOKUP('Données projet'!$B$11,Paramètres!$A$1:$I$89,3,0)*VLOOKUP('Données projet'!$B$11,Paramètres!$A$1:$I$89,5,0)</f>
        <v>5.080987837320925</v>
      </c>
      <c r="BF11" s="13">
        <f t="shared" si="37"/>
        <v>1.9378843475584122</v>
      </c>
      <c r="BG11" s="20">
        <f t="shared" si="7"/>
        <v>12.224535721998178</v>
      </c>
      <c r="BH11" s="59">
        <f t="shared" si="8"/>
        <v>305.55786905533148</v>
      </c>
      <c r="BI11" s="59">
        <f ca="1">AVERAGE(OFFSET($BH$3,0,0,'Données projet'!$E$11+1,1))-AVERAGE(OFFSET($H$3,0,0,'Données projet'!$E$11+1,1))</f>
        <v>180.31844548479722</v>
      </c>
      <c r="BJ11" s="59">
        <f t="shared" si="38"/>
        <v>273.83237400307223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5.9083916083916082</v>
      </c>
      <c r="BY11" s="12">
        <f>IF('Données projet'!$A$114&gt;35,BY10+BX11-CG10,IF(A11&lt;'Données projet'!$A$114,$BV$205^A11,IF(A11='Données projet'!$A$114,'Données projet'!$B$114,BY10+BX11-CG10)))</f>
        <v>5.8706742502650497</v>
      </c>
      <c r="BZ11" s="13">
        <f>BY11*VLOOKUP('Données projet'!$B$12,Paramètres!$A$1:$I$89,3,0)*VLOOKUP('Données projet'!$B$12,Paramètres!$A$1:$I$89,5,0)</f>
        <v>3.5106632016584998</v>
      </c>
      <c r="CA11" s="13">
        <f t="shared" si="39"/>
        <v>1.3978415095050716</v>
      </c>
      <c r="CB11" s="20">
        <f t="shared" si="10"/>
        <v>8.5489790386098861</v>
      </c>
      <c r="CC11" s="59">
        <f t="shared" si="11"/>
        <v>301.88231237194321</v>
      </c>
      <c r="CD11" s="59">
        <f ca="1">AVERAGE(OFFSET($CC$3,0,0,'Données projet'!$E$12+1,1))-AVERAGE(OFFSET($H$3,0,0,'Données projet'!$E$12+1,1))</f>
        <v>214.34615950592251</v>
      </c>
      <c r="CE11" s="59">
        <f t="shared" si="40"/>
        <v>159.66077836853066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4.2119999999999997</v>
      </c>
      <c r="D12" s="11">
        <f t="shared" si="32"/>
        <v>1.6419123971514347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45.188095697309329</v>
      </c>
      <c r="H12" s="67">
        <f t="shared" si="1"/>
        <v>303.52889742503874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10.16068376068376</v>
      </c>
      <c r="N12" s="13">
        <f>IF('Données projet'!$A$36&gt;35,N11+M12-V11,IF(A12&lt;'Données projet'!$A$36,$K$205^A12,IF(A12='Données projet'!$A$36,'Données projet'!$B$36,N11+M12-V11)))</f>
        <v>13.523768250465828</v>
      </c>
      <c r="O12" s="13">
        <f>N12*VLOOKUP('Données projet'!$B$9,Paramètres!$A$1:$I$89,3,0)*VLOOKUP('Données projet'!$B$9,Paramètres!$A$1:$I$89,5,0)</f>
        <v>7.5597864520103979</v>
      </c>
      <c r="P12" s="13">
        <f t="shared" si="33"/>
        <v>2.7529801730003816</v>
      </c>
      <c r="Q12" s="20">
        <f t="shared" si="2"/>
        <v>17.961401871893774</v>
      </c>
      <c r="R12" s="59">
        <f t="shared" si="0"/>
        <v>311.29473520522708</v>
      </c>
      <c r="S12" s="59">
        <f ca="1">AVERAGE(OFFSET($R$3,0,0,'Données projet'!$E$9+1,1))-AVERAGE(OFFSET($H$3,0,0,'Données projet'!$E$9+1,1))</f>
        <v>279.32192402750189</v>
      </c>
      <c r="T12" s="59">
        <f t="shared" si="34"/>
        <v>371.43572414443611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5.2912820512820513</v>
      </c>
      <c r="AI12" s="13">
        <f>IF('Données projet'!$A$62&gt;35,AI11+AH12-AQ11,IF(A12&lt;'Données projet'!$A$62,$AF$205^A12,IF(A12='Données projet'!$A$62,'Données projet'!$B$62,AI11+AH12-AQ11)))</f>
        <v>4.5730363138651118</v>
      </c>
      <c r="AJ12" s="13">
        <f>AI12*VLOOKUP('Données projet'!$B$10,Paramètres!$A$1:$I$89,3,0)*VLOOKUP('Données projet'!$B$10,Paramètres!$A$1:$I$89,5,0)</f>
        <v>2.1401809948888726</v>
      </c>
      <c r="AK12" s="13">
        <f t="shared" si="35"/>
        <v>0.90268895673749705</v>
      </c>
      <c r="AL12" s="20">
        <f t="shared" si="4"/>
        <v>5.2996651657492606</v>
      </c>
      <c r="AM12" s="59">
        <f t="shared" si="5"/>
        <v>298.63299849908259</v>
      </c>
      <c r="AN12" s="59">
        <f ca="1">AVERAGE(OFFSET($AM$3,0,0,'Données projet'!$E$10+1,1))-AVERAGE(OFFSET($H$3,0,0,'Données projet'!$E$10+1,1))</f>
        <v>192.20041613277965</v>
      </c>
      <c r="AO12" s="59">
        <f t="shared" si="36"/>
        <v>132.76245212522417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6.2222222222222223</v>
      </c>
      <c r="BD12" s="12">
        <f>IF('Données projet'!$A$88&gt;35,BD11+BC12-BL11,IF(A12&lt;'Données projet'!$A$88,$BA$205^A12,IF(A12='Données projet'!$A$88,'Données projet'!$B$88,BD11+BC12-BL11)))</f>
        <v>10.583005244258365</v>
      </c>
      <c r="BE12" s="13">
        <f>BD12*VLOOKUP('Données projet'!$B$11,Paramètres!$A$1:$I$89,3,0)*VLOOKUP('Données projet'!$B$11,Paramètres!$A$1:$I$89,5,0)</f>
        <v>6.6037952724172193</v>
      </c>
      <c r="BF12" s="13">
        <f t="shared" si="37"/>
        <v>2.4429900082608067</v>
      </c>
      <c r="BG12" s="20">
        <f t="shared" si="7"/>
        <v>15.75648436384756</v>
      </c>
      <c r="BH12" s="59">
        <f t="shared" si="8"/>
        <v>309.08981769718088</v>
      </c>
      <c r="BI12" s="59">
        <f ca="1">AVERAGE(OFFSET($BH$3,0,0,'Données projet'!$E$11+1,1))-AVERAGE(OFFSET($H$3,0,0,'Données projet'!$E$11+1,1))</f>
        <v>180.31844548479722</v>
      </c>
      <c r="BJ12" s="59">
        <f t="shared" si="38"/>
        <v>273.83237400307223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5.9083916083916082</v>
      </c>
      <c r="BY12" s="12">
        <f>IF('Données projet'!$A$114&gt;35,BY11+BX12-CG11,IF(A12&lt;'Données projet'!$A$114,$BV$205^A12,IF(A12='Données projet'!$A$114,'Données projet'!$B$114,BY11+BX12-CG11)))</f>
        <v>7.3244324991126044</v>
      </c>
      <c r="BZ12" s="13">
        <f>BY12*VLOOKUP('Données projet'!$B$12,Paramètres!$A$1:$I$89,3,0)*VLOOKUP('Données projet'!$B$12,Paramètres!$A$1:$I$89,5,0)</f>
        <v>4.3800106344693379</v>
      </c>
      <c r="CA12" s="13">
        <f t="shared" si="39"/>
        <v>1.6996500861735646</v>
      </c>
      <c r="CB12" s="20">
        <f t="shared" si="10"/>
        <v>10.588742421786387</v>
      </c>
      <c r="CC12" s="59">
        <f t="shared" si="11"/>
        <v>303.92207575511969</v>
      </c>
      <c r="CD12" s="59">
        <f ca="1">AVERAGE(OFFSET($CC$3,0,0,'Données projet'!$E$12+1,1))-AVERAGE(OFFSET($H$3,0,0,'Données projet'!$E$12+1,1))</f>
        <v>214.34615950592251</v>
      </c>
      <c r="CE12" s="59">
        <f t="shared" si="40"/>
        <v>159.66077836853066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4.68</v>
      </c>
      <c r="D13" s="11">
        <f t="shared" si="32"/>
        <v>1.8021100168054613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50.037340480603554</v>
      </c>
      <c r="H13" s="67">
        <f t="shared" si="1"/>
        <v>304.62300827926947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10.16068376068376</v>
      </c>
      <c r="N13" s="13">
        <f>IF('Données projet'!$A$36&gt;35,N12+M13-V12,IF(A13&lt;'Données projet'!$A$36,$K$205^A13,IF(A13='Données projet'!$A$36,'Données projet'!$B$36,N12+M13-V12)))</f>
        <v>18.062391208797656</v>
      </c>
      <c r="O13" s="13">
        <f>N13*VLOOKUP('Données projet'!$B$9,Paramètres!$A$1:$I$89,3,0)*VLOOKUP('Données projet'!$B$9,Paramètres!$A$1:$I$89,5,0)</f>
        <v>10.09687668571789</v>
      </c>
      <c r="P13" s="13">
        <f t="shared" si="33"/>
        <v>3.5550993685619052</v>
      </c>
      <c r="Q13" s="20">
        <f t="shared" si="2"/>
        <v>23.777191627870639</v>
      </c>
      <c r="R13" s="59">
        <f t="shared" si="0"/>
        <v>317.11052496120396</v>
      </c>
      <c r="S13" s="59">
        <f ca="1">AVERAGE(OFFSET($R$3,0,0,'Données projet'!$E$9+1,1))-AVERAGE(OFFSET($H$3,0,0,'Données projet'!$E$9+1,1))</f>
        <v>279.32192402750189</v>
      </c>
      <c r="T13" s="59">
        <f t="shared" si="34"/>
        <v>371.43572414443611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5.2912820512820513</v>
      </c>
      <c r="AI13" s="13">
        <f>IF('Données projet'!$A$62&gt;35,AI12+AH13-AQ12,IF(A13&lt;'Données projet'!$A$62,$AF$205^A13,IF(A13='Données projet'!$A$62,'Données projet'!$B$62,AI12+AH13-AQ12)))</f>
        <v>5.4145294759866651</v>
      </c>
      <c r="AJ13" s="13">
        <f>AI13*VLOOKUP('Données projet'!$B$10,Paramètres!$A$1:$I$89,3,0)*VLOOKUP('Données projet'!$B$10,Paramètres!$A$1:$I$89,5,0)</f>
        <v>2.5339997947617592</v>
      </c>
      <c r="AK13" s="13">
        <f t="shared" si="35"/>
        <v>1.0479861783345426</v>
      </c>
      <c r="AL13" s="20">
        <f t="shared" si="4"/>
        <v>6.2386255698093906</v>
      </c>
      <c r="AM13" s="59">
        <f t="shared" si="5"/>
        <v>299.57195890314273</v>
      </c>
      <c r="AN13" s="59">
        <f ca="1">AVERAGE(OFFSET($AM$3,0,0,'Données projet'!$E$10+1,1))-AVERAGE(OFFSET($H$3,0,0,'Données projet'!$E$10+1,1))</f>
        <v>192.20041613277965</v>
      </c>
      <c r="AO13" s="59">
        <f t="shared" si="36"/>
        <v>132.76245212522417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6.2222222222222223</v>
      </c>
      <c r="BD13" s="12">
        <f>IF('Données projet'!$A$88&gt;35,BD12+BC13-BL12,IF(A13&lt;'Données projet'!$A$88,$BA$205^A13,IF(A13='Données projet'!$A$88,'Données projet'!$B$88,BD12+BC13-BL12)))</f>
        <v>13.754805608204368</v>
      </c>
      <c r="BE13" s="13">
        <f>BD13*VLOOKUP('Données projet'!$B$11,Paramètres!$A$1:$I$89,3,0)*VLOOKUP('Données projet'!$B$11,Paramètres!$A$1:$I$89,5,0)</f>
        <v>8.5829986995195267</v>
      </c>
      <c r="BF13" s="13">
        <f t="shared" si="37"/>
        <v>3.0797504443346257</v>
      </c>
      <c r="BG13" s="20">
        <f t="shared" si="7"/>
        <v>20.312621425545984</v>
      </c>
      <c r="BH13" s="59">
        <f t="shared" si="8"/>
        <v>313.64595475887927</v>
      </c>
      <c r="BI13" s="59">
        <f ca="1">AVERAGE(OFFSET($BH$3,0,0,'Données projet'!$E$11+1,1))-AVERAGE(OFFSET($H$3,0,0,'Données projet'!$E$11+1,1))</f>
        <v>180.31844548479722</v>
      </c>
      <c r="BJ13" s="59">
        <f t="shared" si="38"/>
        <v>273.83237400307223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5.9083916083916082</v>
      </c>
      <c r="BY13" s="12">
        <f>IF('Données projet'!$A$114&gt;35,BY12+BX13-CG12,IF(A13&lt;'Données projet'!$A$114,$BV$205^A13,IF(A13='Données projet'!$A$114,'Données projet'!$B$114,BY12+BX13-CG12)))</f>
        <v>9.1381856916409276</v>
      </c>
      <c r="BZ13" s="13">
        <f>BY13*VLOOKUP('Données projet'!$B$12,Paramètres!$A$1:$I$89,3,0)*VLOOKUP('Données projet'!$B$12,Paramètres!$A$1:$I$89,5,0)</f>
        <v>5.4646350436012749</v>
      </c>
      <c r="CA13" s="13">
        <f t="shared" si="39"/>
        <v>2.0666222857072225</v>
      </c>
      <c r="CB13" s="20">
        <f t="shared" si="10"/>
        <v>13.116939848545632</v>
      </c>
      <c r="CC13" s="59">
        <f t="shared" si="11"/>
        <v>306.45027318187897</v>
      </c>
      <c r="CD13" s="59">
        <f ca="1">AVERAGE(OFFSET($CC$3,0,0,'Données projet'!$E$12+1,1))-AVERAGE(OFFSET($H$3,0,0,'Données projet'!$E$12+1,1))</f>
        <v>214.34615950592251</v>
      </c>
      <c r="CE13" s="59">
        <f t="shared" si="40"/>
        <v>159.66077836853066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5.1479999999999997</v>
      </c>
      <c r="D14" s="11">
        <f t="shared" si="32"/>
        <v>1.9604504824312583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54.872249338065849</v>
      </c>
      <c r="H14" s="67">
        <f t="shared" si="1"/>
        <v>305.71388459023444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10.16068376068376</v>
      </c>
      <c r="N14" s="13">
        <f>IF('Données projet'!$A$36&gt;35,N13+M14-V13,IF(A14&lt;'Données projet'!$A$36,$K$205^A14,IF(A14='Données projet'!$A$36,'Données projet'!$B$36,N13+M14-V13)))</f>
        <v>24.124191581618767</v>
      </c>
      <c r="O14" s="13">
        <f>N14*VLOOKUP('Données projet'!$B$9,Paramètres!$A$1:$I$89,3,0)*VLOOKUP('Données projet'!$B$9,Paramètres!$A$1:$I$89,5,0)</f>
        <v>13.48542309412489</v>
      </c>
      <c r="P14" s="13">
        <f t="shared" si="33"/>
        <v>4.5909271865822117</v>
      </c>
      <c r="Q14" s="20">
        <f t="shared" si="2"/>
        <v>31.482976738898202</v>
      </c>
      <c r="R14" s="59">
        <f t="shared" si="0"/>
        <v>324.81631007223154</v>
      </c>
      <c r="S14" s="59">
        <f ca="1">AVERAGE(OFFSET($R$3,0,0,'Données projet'!$E$9+1,1))-AVERAGE(OFFSET($H$3,0,0,'Données projet'!$E$9+1,1))</f>
        <v>279.32192402750189</v>
      </c>
      <c r="T14" s="59">
        <f t="shared" si="34"/>
        <v>371.43572414443611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5.2912820512820513</v>
      </c>
      <c r="AI14" s="13">
        <f>IF('Données projet'!$A$62&gt;35,AI13+AH14-AQ13,IF(A14&lt;'Données projet'!$A$62,$AF$205^A14,IF(A14='Données projet'!$A$62,'Données projet'!$B$62,AI13+AH14-AQ13)))</f>
        <v>6.4108674049757806</v>
      </c>
      <c r="AJ14" s="13">
        <f>AI14*VLOOKUP('Données projet'!$B$10,Paramètres!$A$1:$I$89,3,0)*VLOOKUP('Données projet'!$B$10,Paramètres!$A$1:$I$89,5,0)</f>
        <v>3.0002859455286655</v>
      </c>
      <c r="AK14" s="13">
        <f t="shared" si="35"/>
        <v>1.2166705062501608</v>
      </c>
      <c r="AL14" s="20">
        <f t="shared" si="4"/>
        <v>7.3445324868481237</v>
      </c>
      <c r="AM14" s="59">
        <f t="shared" si="5"/>
        <v>300.67786582018141</v>
      </c>
      <c r="AN14" s="59">
        <f ca="1">AVERAGE(OFFSET($AM$3,0,0,'Données projet'!$E$10+1,1))-AVERAGE(OFFSET($H$3,0,0,'Données projet'!$E$10+1,1))</f>
        <v>192.20041613277965</v>
      </c>
      <c r="AO14" s="59">
        <f t="shared" si="36"/>
        <v>132.76245212522417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6.2222222222222223</v>
      </c>
      <c r="BD14" s="12">
        <f>IF('Données projet'!$A$88&gt;35,BD13+BC14-BL13,IF(A14&lt;'Données projet'!$A$88,$BA$205^A14,IF(A14='Données projet'!$A$88,'Données projet'!$B$88,BD13+BC14-BL13)))</f>
        <v>17.877216627302985</v>
      </c>
      <c r="BE14" s="13">
        <f>BD14*VLOOKUP('Données projet'!$B$11,Paramètres!$A$1:$I$89,3,0)*VLOOKUP('Données projet'!$B$11,Paramètres!$A$1:$I$89,5,0)</f>
        <v>11.155383175437063</v>
      </c>
      <c r="BF14" s="13">
        <f t="shared" si="37"/>
        <v>3.8824812083990929</v>
      </c>
      <c r="BG14" s="20">
        <f t="shared" si="7"/>
        <v>26.1909471351813</v>
      </c>
      <c r="BH14" s="59">
        <f t="shared" si="8"/>
        <v>319.52428046851463</v>
      </c>
      <c r="BI14" s="59">
        <f ca="1">AVERAGE(OFFSET($BH$3,0,0,'Données projet'!$E$11+1,1))-AVERAGE(OFFSET($H$3,0,0,'Données projet'!$E$11+1,1))</f>
        <v>180.31844548479722</v>
      </c>
      <c r="BJ14" s="59">
        <f t="shared" si="38"/>
        <v>273.83237400307223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5.9083916083916082</v>
      </c>
      <c r="BY14" s="12">
        <f>IF('Données projet'!$A$114&gt;35,BY13+BX14-CG13,IF(A14&lt;'Données projet'!$A$114,$BV$205^A14,IF(A14='Données projet'!$A$114,'Données projet'!$B$114,BY13+BX14-CG13)))</f>
        <v>11.401079571014991</v>
      </c>
      <c r="BZ14" s="13">
        <f>BY14*VLOOKUP('Données projet'!$B$12,Paramètres!$A$1:$I$89,3,0)*VLOOKUP('Données projet'!$B$12,Paramètres!$A$1:$I$89,5,0)</f>
        <v>6.8178455834669647</v>
      </c>
      <c r="CA14" s="13">
        <f t="shared" si="39"/>
        <v>2.5128276146515063</v>
      </c>
      <c r="CB14" s="20">
        <f t="shared" si="10"/>
        <v>16.250922486723002</v>
      </c>
      <c r="CC14" s="59">
        <f t="shared" si="11"/>
        <v>309.58425582005634</v>
      </c>
      <c r="CD14" s="59">
        <f ca="1">AVERAGE(OFFSET($CC$3,0,0,'Données projet'!$E$12+1,1))-AVERAGE(OFFSET($H$3,0,0,'Données projet'!$E$12+1,1))</f>
        <v>214.34615950592251</v>
      </c>
      <c r="CE14" s="59">
        <f t="shared" si="40"/>
        <v>159.66077836853066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5.6159999999999997</v>
      </c>
      <c r="D15" s="11">
        <f t="shared" si="32"/>
        <v>2.1171218270411956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59.694273752598697</v>
      </c>
      <c r="H15" s="67">
        <f t="shared" si="1"/>
        <v>306.80185384876341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10.16068376068376</v>
      </c>
      <c r="N15" s="13">
        <f>IF('Données projet'!$A$36&gt;35,N14+M15-V14,IF(A15&lt;'Données projet'!$A$36,$K$205^A15,IF(A15='Données projet'!$A$36,'Données projet'!$B$36,N14+M15-V14)))</f>
        <v>32.220352927755336</v>
      </c>
      <c r="O15" s="13">
        <f>N15*VLOOKUP('Données projet'!$B$9,Paramètres!$A$1:$I$89,3,0)*VLOOKUP('Données projet'!$B$9,Paramètres!$A$1:$I$89,5,0)</f>
        <v>18.011177286615233</v>
      </c>
      <c r="P15" s="13">
        <f t="shared" si="33"/>
        <v>5.9285578959851977</v>
      </c>
      <c r="Q15" s="20">
        <f t="shared" si="2"/>
        <v>41.695038776362409</v>
      </c>
      <c r="R15" s="59">
        <f t="shared" si="0"/>
        <v>335.02837210969574</v>
      </c>
      <c r="S15" s="59">
        <f ca="1">AVERAGE(OFFSET($R$3,0,0,'Données projet'!$E$9+1,1))-AVERAGE(OFFSET($H$3,0,0,'Données projet'!$E$9+1,1))</f>
        <v>279.32192402750189</v>
      </c>
      <c r="T15" s="59">
        <f t="shared" si="34"/>
        <v>371.43572414443611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5.2912820512820513</v>
      </c>
      <c r="AI15" s="13">
        <f>IF('Données projet'!$A$62&gt;35,AI14+AH15-AQ14,IF(A15&lt;'Données projet'!$A$62,$AF$205^A15,IF(A15='Données projet'!$A$62,'Données projet'!$B$62,AI14+AH15-AQ14)))</f>
        <v>7.5905433826623616</v>
      </c>
      <c r="AJ15" s="13">
        <f>AI15*VLOOKUP('Données projet'!$B$10,Paramètres!$A$1:$I$89,3,0)*VLOOKUP('Données projet'!$B$10,Paramètres!$A$1:$I$89,5,0)</f>
        <v>3.5523743030859851</v>
      </c>
      <c r="AK15" s="13">
        <f t="shared" si="35"/>
        <v>1.4125063396651774</v>
      </c>
      <c r="AL15" s="20">
        <f t="shared" si="4"/>
        <v>8.6471671194582758</v>
      </c>
      <c r="AM15" s="59">
        <f t="shared" si="5"/>
        <v>301.9805004527916</v>
      </c>
      <c r="AN15" s="59">
        <f ca="1">AVERAGE(OFFSET($AM$3,0,0,'Données projet'!$E$10+1,1))-AVERAGE(OFFSET($H$3,0,0,'Données projet'!$E$10+1,1))</f>
        <v>192.20041613277965</v>
      </c>
      <c r="AO15" s="59">
        <f t="shared" si="36"/>
        <v>132.76245212522417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6.2222222222222223</v>
      </c>
      <c r="BD15" s="12">
        <f>IF('Données projet'!$A$88&gt;35,BD14+BC15-BL14,IF(A15&lt;'Données projet'!$A$88,$BA$205^A15,IF(A15='Données projet'!$A$88,'Données projet'!$B$88,BD14+BC15-BL14)))</f>
        <v>23.235142934254824</v>
      </c>
      <c r="BE15" s="13">
        <f>BD15*VLOOKUP('Données projet'!$B$11,Paramètres!$A$1:$I$89,3,0)*VLOOKUP('Données projet'!$B$11,Paramètres!$A$1:$I$89,5,0)</f>
        <v>14.498729190975009</v>
      </c>
      <c r="BF15" s="13">
        <f t="shared" si="37"/>
        <v>4.8944421329010357</v>
      </c>
      <c r="BG15" s="20">
        <f t="shared" si="7"/>
        <v>33.776440055750776</v>
      </c>
      <c r="BH15" s="59">
        <f t="shared" si="8"/>
        <v>327.10977338908407</v>
      </c>
      <c r="BI15" s="59">
        <f ca="1">AVERAGE(OFFSET($BH$3,0,0,'Données projet'!$E$11+1,1))-AVERAGE(OFFSET($H$3,0,0,'Données projet'!$E$11+1,1))</f>
        <v>180.31844548479722</v>
      </c>
      <c r="BJ15" s="59">
        <f t="shared" si="38"/>
        <v>273.83237400307223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5.9083916083916082</v>
      </c>
      <c r="BY15" s="12">
        <f>IF('Données projet'!$A$114&gt;35,BY14+BX15-CG14,IF(A15&lt;'Données projet'!$A$114,$BV$205^A15,IF(A15='Données projet'!$A$114,'Données projet'!$B$114,BY14+BX15-CG14)))</f>
        <v>14.224335089132365</v>
      </c>
      <c r="BZ15" s="13">
        <f>BY15*VLOOKUP('Données projet'!$B$12,Paramètres!$A$1:$I$89,3,0)*VLOOKUP('Données projet'!$B$12,Paramètres!$A$1:$I$89,5,0)</f>
        <v>8.5061523833011545</v>
      </c>
      <c r="CA15" s="13">
        <f t="shared" si="39"/>
        <v>3.0553733329137835</v>
      </c>
      <c r="CB15" s="20">
        <f t="shared" si="10"/>
        <v>20.136323955741016</v>
      </c>
      <c r="CC15" s="59">
        <f t="shared" si="11"/>
        <v>313.46965728907435</v>
      </c>
      <c r="CD15" s="59">
        <f ca="1">AVERAGE(OFFSET($CC$3,0,0,'Données projet'!$E$12+1,1))-AVERAGE(OFFSET($H$3,0,0,'Données projet'!$E$12+1,1))</f>
        <v>214.34615950592251</v>
      </c>
      <c r="CE15" s="59">
        <f t="shared" si="40"/>
        <v>159.66077836853066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6.0839999999999996</v>
      </c>
      <c r="D16" s="11">
        <f t="shared" si="32"/>
        <v>2.2722789577396263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64.504609498340969</v>
      </c>
      <c r="H16" s="67">
        <f t="shared" si="1"/>
        <v>307.88718585139651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10.16068376068376</v>
      </c>
      <c r="N16" s="13">
        <f>IF('Données projet'!$A$36&gt;35,N15+M16-V15,IF(A16&lt;'Données projet'!$A$36,$K$205^A16,IF(A16='Données projet'!$A$36,'Données projet'!$B$36,N15+M16-V15)))</f>
        <v>43.033613759729988</v>
      </c>
      <c r="O16" s="13">
        <f>N16*VLOOKUP('Données projet'!$B$9,Paramètres!$A$1:$I$89,3,0)*VLOOKUP('Données projet'!$B$9,Paramètres!$A$1:$I$89,5,0)</f>
        <v>24.055790091689062</v>
      </c>
      <c r="P16" s="13">
        <f t="shared" si="33"/>
        <v>7.6559259813080898</v>
      </c>
      <c r="Q16" s="20">
        <f t="shared" si="2"/>
        <v>55.231238827136707</v>
      </c>
      <c r="R16" s="59">
        <f t="shared" si="0"/>
        <v>348.56457216046999</v>
      </c>
      <c r="S16" s="59">
        <f ca="1">AVERAGE(OFFSET($R$3,0,0,'Données projet'!$E$9+1,1))-AVERAGE(OFFSET($H$3,0,0,'Données projet'!$E$9+1,1))</f>
        <v>279.32192402750189</v>
      </c>
      <c r="T16" s="59">
        <f t="shared" si="34"/>
        <v>371.43572414443611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5.2912820512820513</v>
      </c>
      <c r="AI16" s="13">
        <f>IF('Données projet'!$A$62&gt;35,AI15+AH16-AQ15,IF(A16&lt;'Données projet'!$A$62,$AF$205^A16,IF(A16='Données projet'!$A$62,'Données projet'!$B$62,AI15+AH16-AQ15)))</f>
        <v>8.9872937941846338</v>
      </c>
      <c r="AJ16" s="13">
        <f>AI16*VLOOKUP('Données projet'!$B$10,Paramètres!$A$1:$I$89,3,0)*VLOOKUP('Données projet'!$B$10,Paramètres!$A$1:$I$89,5,0)</f>
        <v>4.2060534956784092</v>
      </c>
      <c r="AK16" s="13">
        <f t="shared" si="35"/>
        <v>1.6398639971503413</v>
      </c>
      <c r="AL16" s="20">
        <f t="shared" si="4"/>
        <v>10.181639633343407</v>
      </c>
      <c r="AM16" s="59">
        <f t="shared" si="5"/>
        <v>303.51497296667674</v>
      </c>
      <c r="AN16" s="59">
        <f ca="1">AVERAGE(OFFSET($AM$3,0,0,'Données projet'!$E$10+1,1))-AVERAGE(OFFSET($H$3,0,0,'Données projet'!$E$10+1,1))</f>
        <v>192.20041613277965</v>
      </c>
      <c r="AO16" s="59">
        <f t="shared" si="36"/>
        <v>132.76245212522417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6.2222222222222223</v>
      </c>
      <c r="BD16" s="12">
        <f>IF('Données projet'!$A$88&gt;35,BD15+BC16-BL15,IF(A16&lt;'Données projet'!$A$88,$BA$205^A16,IF(A16='Données projet'!$A$88,'Données projet'!$B$88,BD15+BC16-BL15)))</f>
        <v>30.19887706404656</v>
      </c>
      <c r="BE16" s="13">
        <f>BD16*VLOOKUP('Données projet'!$B$11,Paramètres!$A$1:$I$89,3,0)*VLOOKUP('Données projet'!$B$11,Paramètres!$A$1:$I$89,5,0)</f>
        <v>18.844099287965054</v>
      </c>
      <c r="BF16" s="13">
        <f t="shared" si="37"/>
        <v>6.1701686386769925</v>
      </c>
      <c r="BG16" s="20">
        <f t="shared" si="7"/>
        <v>43.566516638901568</v>
      </c>
      <c r="BH16" s="59">
        <f t="shared" si="8"/>
        <v>336.8998499722349</v>
      </c>
      <c r="BI16" s="59">
        <f ca="1">AVERAGE(OFFSET($BH$3,0,0,'Données projet'!$E$11+1,1))-AVERAGE(OFFSET($H$3,0,0,'Données projet'!$E$11+1,1))</f>
        <v>180.31844548479722</v>
      </c>
      <c r="BJ16" s="59">
        <f t="shared" si="38"/>
        <v>273.83237400307223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5.9083916083916082</v>
      </c>
      <c r="BY16" s="12">
        <f>IF('Données projet'!$A$114&gt;35,BY15+BX16-CG15,IF(A16&lt;'Données projet'!$A$114,$BV$205^A16,IF(A16='Données projet'!$A$114,'Données projet'!$B$114,BY15+BX16-CG15)))</f>
        <v>17.746714902535278</v>
      </c>
      <c r="BZ16" s="13">
        <f>BY16*VLOOKUP('Données projet'!$B$12,Paramètres!$A$1:$I$89,3,0)*VLOOKUP('Données projet'!$B$12,Paramètres!$A$1:$I$89,5,0)</f>
        <v>10.612535511716098</v>
      </c>
      <c r="CA16" s="13">
        <f t="shared" si="39"/>
        <v>3.7150603364311414</v>
      </c>
      <c r="CB16" s="20">
        <f t="shared" si="10"/>
        <v>24.953896102189773</v>
      </c>
      <c r="CC16" s="59">
        <f t="shared" si="11"/>
        <v>318.2872294355231</v>
      </c>
      <c r="CD16" s="59">
        <f ca="1">AVERAGE(OFFSET($CC$3,0,0,'Données projet'!$E$12+1,1))-AVERAGE(OFFSET($H$3,0,0,'Données projet'!$E$12+1,1))</f>
        <v>214.34615950592251</v>
      </c>
      <c r="CE16" s="59">
        <f t="shared" si="40"/>
        <v>159.66077836853066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6.5519999999999996</v>
      </c>
      <c r="D17" s="11">
        <f t="shared" si="32"/>
        <v>2.4260515959655735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69.304257933769335</v>
      </c>
      <c r="H17" s="67">
        <f t="shared" si="1"/>
        <v>308.97010652964002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10.16068376068376</v>
      </c>
      <c r="N17" s="13">
        <f>IF('Données projet'!$A$36&gt;35,N16+M17-V16,IF(A17&lt;'Données projet'!$A$36,$K$205^A17,IF(A17='Données projet'!$A$36,'Données projet'!$B$36,N16+M17-V16)))</f>
        <v>57.475841973982881</v>
      </c>
      <c r="O17" s="13">
        <f>N17*VLOOKUP('Données projet'!$B$9,Paramètres!$A$1:$I$89,3,0)*VLOOKUP('Données projet'!$B$9,Paramètres!$A$1:$I$89,5,0)</f>
        <v>32.128995663456436</v>
      </c>
      <c r="P17" s="13">
        <f t="shared" si="33"/>
        <v>9.8865868664217604</v>
      </c>
      <c r="Q17" s="20">
        <f t="shared" si="2"/>
        <v>73.177139572871184</v>
      </c>
      <c r="R17" s="59">
        <f t="shared" si="0"/>
        <v>366.51047290620448</v>
      </c>
      <c r="S17" s="59">
        <f ca="1">AVERAGE(OFFSET($R$3,0,0,'Données projet'!$E$9+1,1))-AVERAGE(OFFSET($H$3,0,0,'Données projet'!$E$9+1,1))</f>
        <v>279.32192402750189</v>
      </c>
      <c r="T17" s="59">
        <f t="shared" si="34"/>
        <v>371.43572414443611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5.2912820512820513</v>
      </c>
      <c r="AI17" s="13">
        <f>IF('Données projet'!$A$62&gt;35,AI16+AH17-AQ16,IF(A17&lt;'Données projet'!$A$62,$AF$205^A17,IF(A17='Données projet'!$A$62,'Données projet'!$B$62,AI16+AH17-AQ16)))</f>
        <v>10.641062921461002</v>
      </c>
      <c r="AJ17" s="13">
        <f>AI17*VLOOKUP('Données projet'!$B$10,Paramètres!$A$1:$I$89,3,0)*VLOOKUP('Données projet'!$B$10,Paramètres!$A$1:$I$89,5,0)</f>
        <v>4.9800174472437488</v>
      </c>
      <c r="AK17" s="13">
        <f t="shared" si="35"/>
        <v>1.9038172457245992</v>
      </c>
      <c r="AL17" s="20">
        <f t="shared" si="4"/>
        <v>11.989345423586537</v>
      </c>
      <c r="AM17" s="59">
        <f t="shared" si="5"/>
        <v>305.32267875691986</v>
      </c>
      <c r="AN17" s="59">
        <f ca="1">AVERAGE(OFFSET($AM$3,0,0,'Données projet'!$E$10+1,1))-AVERAGE(OFFSET($H$3,0,0,'Données projet'!$E$10+1,1))</f>
        <v>192.20041613277965</v>
      </c>
      <c r="AO17" s="59">
        <f t="shared" si="36"/>
        <v>132.76245212522417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6.2222222222222223</v>
      </c>
      <c r="BD17" s="12">
        <f>IF('Données projet'!$A$88&gt;35,BD16+BC17-BL16,IF(A17&lt;'Données projet'!$A$88,$BA$205^A17,IF(A17='Données projet'!$A$88,'Données projet'!$B$88,BD16+BC17-BL16)))</f>
        <v>39.249690802844427</v>
      </c>
      <c r="BE17" s="13">
        <f>BD17*VLOOKUP('Données projet'!$B$11,Paramètres!$A$1:$I$89,3,0)*VLOOKUP('Données projet'!$B$11,Paramètres!$A$1:$I$89,5,0)</f>
        <v>24.491807060974921</v>
      </c>
      <c r="BF17" s="13">
        <f t="shared" si="37"/>
        <v>7.7784106944068903</v>
      </c>
      <c r="BG17" s="20">
        <f t="shared" si="7"/>
        <v>56.203962590623313</v>
      </c>
      <c r="BH17" s="59">
        <f t="shared" si="8"/>
        <v>349.53729592395661</v>
      </c>
      <c r="BI17" s="59">
        <f ca="1">AVERAGE(OFFSET($BH$3,0,0,'Données projet'!$E$11+1,1))-AVERAGE(OFFSET($H$3,0,0,'Données projet'!$E$11+1,1))</f>
        <v>180.31844548479722</v>
      </c>
      <c r="BJ17" s="59">
        <f t="shared" si="38"/>
        <v>273.83237400307223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5.9083916083916082</v>
      </c>
      <c r="BY17" s="12">
        <f>IF('Données projet'!$A$114&gt;35,BY16+BX17-CG16,IF(A17&lt;'Données projet'!$A$114,$BV$205^A17,IF(A17='Données projet'!$A$114,'Données projet'!$B$114,BY16+BX17-CG16)))</f>
        <v>22.141343539670387</v>
      </c>
      <c r="BZ17" s="13">
        <f>BY17*VLOOKUP('Données projet'!$B$12,Paramètres!$A$1:$I$89,3,0)*VLOOKUP('Données projet'!$B$12,Paramètres!$A$1:$I$89,5,0)</f>
        <v>13.240523436722894</v>
      </c>
      <c r="CA17" s="13">
        <f t="shared" si="39"/>
        <v>4.5171806517541881</v>
      </c>
      <c r="CB17" s="20">
        <f t="shared" si="10"/>
        <v>30.928001287430916</v>
      </c>
      <c r="CC17" s="59">
        <f t="shared" si="11"/>
        <v>324.26133462076422</v>
      </c>
      <c r="CD17" s="59">
        <f ca="1">AVERAGE(OFFSET($CC$3,0,0,'Données projet'!$E$12+1,1))-AVERAGE(OFFSET($H$3,0,0,'Données projet'!$E$12+1,1))</f>
        <v>214.34615950592251</v>
      </c>
      <c r="CE17" s="59">
        <f t="shared" si="40"/>
        <v>159.66077836853066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7.02</v>
      </c>
      <c r="D18" s="11">
        <f t="shared" si="32"/>
        <v>2.5785498814341232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74.094069260193223</v>
      </c>
      <c r="H18" s="67">
        <f t="shared" si="1"/>
        <v>310.05080771016441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10.16068376068376</v>
      </c>
      <c r="N18" s="13">
        <f>IF('Données projet'!$A$36&gt;35,N17+M18-V17,IF(A18&lt;'Données projet'!$A$36,$K$205^A18,IF(A18='Données projet'!$A$36,'Données projet'!$B$36,N17+M18-V17)))</f>
        <v>76.764931457129379</v>
      </c>
      <c r="O18" s="13">
        <f>N18*VLOOKUP('Données projet'!$B$9,Paramètres!$A$1:$I$89,3,0)*VLOOKUP('Données projet'!$B$9,Paramètres!$A$1:$I$89,5,0)</f>
        <v>42.911596684535326</v>
      </c>
      <c r="P18" s="13">
        <f t="shared" si="33"/>
        <v>12.767181932785956</v>
      </c>
      <c r="Q18" s="20">
        <f t="shared" si="2"/>
        <v>96.97387275850123</v>
      </c>
      <c r="R18" s="59">
        <f t="shared" si="0"/>
        <v>390.30720609183453</v>
      </c>
      <c r="S18" s="59">
        <f ca="1">AVERAGE(OFFSET($R$3,0,0,'Données projet'!$E$9+1,1))-AVERAGE(OFFSET($H$3,0,0,'Données projet'!$E$9+1,1))</f>
        <v>279.32192402750189</v>
      </c>
      <c r="T18" s="59">
        <f t="shared" si="34"/>
        <v>371.43572414443611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5.2912820512820513</v>
      </c>
      <c r="AI18" s="13">
        <f>IF('Données projet'!$A$62&gt;35,AI17+AH18-AQ17,IF(A18&lt;'Données projet'!$A$62,$AF$205^A18,IF(A18='Données projet'!$A$62,'Données projet'!$B$62,AI17+AH18-AQ17)))</f>
        <v>12.599145270154715</v>
      </c>
      <c r="AJ18" s="13">
        <f>AI18*VLOOKUP('Données projet'!$B$10,Paramètres!$A$1:$I$89,3,0)*VLOOKUP('Données projet'!$B$10,Paramètres!$A$1:$I$89,5,0)</f>
        <v>5.8963999864324066</v>
      </c>
      <c r="AK18" s="13">
        <f t="shared" si="35"/>
        <v>2.210256528234583</v>
      </c>
      <c r="AL18" s="20">
        <f t="shared" si="4"/>
        <v>14.119093429711674</v>
      </c>
      <c r="AM18" s="59">
        <f t="shared" si="5"/>
        <v>307.45242676304497</v>
      </c>
      <c r="AN18" s="59">
        <f ca="1">AVERAGE(OFFSET($AM$3,0,0,'Données projet'!$E$10+1,1))-AVERAGE(OFFSET($H$3,0,0,'Données projet'!$E$10+1,1))</f>
        <v>192.20041613277965</v>
      </c>
      <c r="AO18" s="59">
        <f t="shared" si="36"/>
        <v>132.76245212522417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6.2222222222222223</v>
      </c>
      <c r="BD18" s="12">
        <f>IF('Données projet'!$A$88&gt;35,BD17+BC18-BL17,IF(A18&lt;'Données projet'!$A$88,$BA$205^A18,IF(A18='Données projet'!$A$88,'Données projet'!$B$88,BD17+BC18-BL17)))</f>
        <v>51.013096442350388</v>
      </c>
      <c r="BE18" s="13">
        <f>BD18*VLOOKUP('Données projet'!$B$11,Paramètres!$A$1:$I$89,3,0)*VLOOKUP('Données projet'!$B$11,Paramètres!$A$1:$I$89,5,0)</f>
        <v>31.832172180026642</v>
      </c>
      <c r="BF18" s="13">
        <f t="shared" si="37"/>
        <v>9.8058378099430179</v>
      </c>
      <c r="BG18" s="20">
        <f t="shared" si="7"/>
        <v>72.519534065863823</v>
      </c>
      <c r="BH18" s="59">
        <f t="shared" si="8"/>
        <v>365.85286739919712</v>
      </c>
      <c r="BI18" s="59">
        <f ca="1">AVERAGE(OFFSET($BH$3,0,0,'Données projet'!$E$11+1,1))-AVERAGE(OFFSET($H$3,0,0,'Données projet'!$E$11+1,1))</f>
        <v>180.31844548479722</v>
      </c>
      <c r="BJ18" s="59">
        <f t="shared" si="38"/>
        <v>273.83237400307223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5.9083916083916082</v>
      </c>
      <c r="BY18" s="12">
        <f>IF('Données projet'!$A$114&gt;35,BY17+BX18-CG17,IF(A18&lt;'Données projet'!$A$114,$BV$205^A18,IF(A18='Données projet'!$A$114,'Données projet'!$B$114,BY17+BX18-CG17)))</f>
        <v>27.62421644986637</v>
      </c>
      <c r="BZ18" s="13">
        <f>BY18*VLOOKUP('Données projet'!$B$12,Paramètres!$A$1:$I$89,3,0)*VLOOKUP('Données projet'!$B$12,Paramètres!$A$1:$I$89,5,0)</f>
        <v>16.519281437020091</v>
      </c>
      <c r="CA18" s="13">
        <f t="shared" si="39"/>
        <v>5.4924871180381194</v>
      </c>
      <c r="CB18" s="20">
        <f t="shared" si="10"/>
        <v>38.337163566726382</v>
      </c>
      <c r="CC18" s="59">
        <f t="shared" si="11"/>
        <v>331.67049690005967</v>
      </c>
      <c r="CD18" s="59">
        <f ca="1">AVERAGE(OFFSET($CC$3,0,0,'Données projet'!$E$12+1,1))-AVERAGE(OFFSET($H$3,0,0,'Données projet'!$E$12+1,1))</f>
        <v>214.34615950592251</v>
      </c>
      <c r="CE18" s="59">
        <f t="shared" si="40"/>
        <v>159.66077836853066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7.4879999999999995</v>
      </c>
      <c r="D19" s="11">
        <f t="shared" si="32"/>
        <v>2.7298684377500635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78.874773905439085</v>
      </c>
      <c r="H19" s="67">
        <f t="shared" si="1"/>
        <v>311.129454195748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10.16068376068376</v>
      </c>
      <c r="N19" s="13">
        <f>IF('Données projet'!$A$36&gt;35,N18+M19-V18,IF(A19&lt;'Données projet'!$A$36,$K$205^A19,IF(A19='Données projet'!$A$36,'Données projet'!$B$36,N18+M19-V18)))</f>
        <v>102.52750545673157</v>
      </c>
      <c r="O19" s="13">
        <f>N19*VLOOKUP('Données projet'!$B$9,Paramètres!$A$1:$I$89,3,0)*VLOOKUP('Données projet'!$B$9,Paramètres!$A$1:$I$89,5,0)</f>
        <v>57.312875550312953</v>
      </c>
      <c r="P19" s="13">
        <f t="shared" si="33"/>
        <v>16.487078574959277</v>
      </c>
      <c r="Q19" s="20">
        <f t="shared" si="2"/>
        <v>128.53492010151578</v>
      </c>
      <c r="R19" s="59">
        <f t="shared" si="0"/>
        <v>421.86825343484907</v>
      </c>
      <c r="S19" s="59">
        <f ca="1">AVERAGE(OFFSET($R$3,0,0,'Données projet'!$E$9+1,1))-AVERAGE(OFFSET($H$3,0,0,'Données projet'!$E$9+1,1))</f>
        <v>279.32192402750189</v>
      </c>
      <c r="T19" s="59">
        <f t="shared" si="34"/>
        <v>371.43572414443611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5.2912820512820513</v>
      </c>
      <c r="AI19" s="13">
        <f>IF('Données projet'!$A$62&gt;35,AI18+AH19-AQ18,IF(A19&lt;'Données projet'!$A$62,$AF$205^A19,IF(A19='Données projet'!$A$62,'Données projet'!$B$62,AI18+AH19-AQ18)))</f>
        <v>14.917538098409006</v>
      </c>
      <c r="AJ19" s="13">
        <f>AI19*VLOOKUP('Données projet'!$B$10,Paramètres!$A$1:$I$89,3,0)*VLOOKUP('Données projet'!$B$10,Paramètres!$A$1:$I$89,5,0)</f>
        <v>6.9814078300554154</v>
      </c>
      <c r="AK19" s="13">
        <f t="shared" si="35"/>
        <v>2.5660204158641595</v>
      </c>
      <c r="AL19" s="20">
        <f t="shared" si="4"/>
        <v>16.628437528309927</v>
      </c>
      <c r="AM19" s="59">
        <f t="shared" si="5"/>
        <v>309.96177086164323</v>
      </c>
      <c r="AN19" s="59">
        <f ca="1">AVERAGE(OFFSET($AM$3,0,0,'Données projet'!$E$10+1,1))-AVERAGE(OFFSET($H$3,0,0,'Données projet'!$E$10+1,1))</f>
        <v>192.20041613277965</v>
      </c>
      <c r="AO19" s="59">
        <f t="shared" si="36"/>
        <v>132.76245212522417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6.2222222222222223</v>
      </c>
      <c r="BD19" s="12">
        <f>IF('Données projet'!$A$88&gt;35,BD18+BC19-BL18,IF(A19&lt;'Données projet'!$A$88,$BA$205^A19,IF(A19='Données projet'!$A$88,'Données projet'!$B$88,BD18+BC19-BL18)))</f>
        <v>66.302076663695672</v>
      </c>
      <c r="BE19" s="13">
        <f>BD19*VLOOKUP('Données projet'!$B$11,Paramètres!$A$1:$I$89,3,0)*VLOOKUP('Données projet'!$B$11,Paramètres!$A$1:$I$89,5,0)</f>
        <v>41.372495838146101</v>
      </c>
      <c r="BF19" s="13">
        <f t="shared" si="37"/>
        <v>12.361709728704412</v>
      </c>
      <c r="BG19" s="20">
        <f t="shared" si="7"/>
        <v>93.587074695597963</v>
      </c>
      <c r="BH19" s="59">
        <f t="shared" si="8"/>
        <v>386.92040802893126</v>
      </c>
      <c r="BI19" s="59">
        <f ca="1">AVERAGE(OFFSET($BH$3,0,0,'Données projet'!$E$11+1,1))-AVERAGE(OFFSET($H$3,0,0,'Données projet'!$E$11+1,1))</f>
        <v>180.31844548479722</v>
      </c>
      <c r="BJ19" s="59">
        <f t="shared" si="38"/>
        <v>273.83237400307223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5.9083916083916082</v>
      </c>
      <c r="BY19" s="12">
        <f>IF('Données projet'!$A$114&gt;35,BY18+BX19-CG18,IF(A19&lt;'Données projet'!$A$114,$BV$205^A19,IF(A19='Données projet'!$A$114,'Données projet'!$B$114,BY18+BX19-CG18)))</f>
        <v>34.464816152725106</v>
      </c>
      <c r="BZ19" s="13">
        <f>BY19*VLOOKUP('Données projet'!$B$12,Paramètres!$A$1:$I$89,3,0)*VLOOKUP('Données projet'!$B$12,Paramètres!$A$1:$I$89,5,0)</f>
        <v>20.609960059329616</v>
      </c>
      <c r="CA19" s="13">
        <f t="shared" si="39"/>
        <v>6.6783724334999919</v>
      </c>
      <c r="CB19" s="20">
        <f t="shared" si="10"/>
        <v>47.527179091678228</v>
      </c>
      <c r="CC19" s="59">
        <f t="shared" si="11"/>
        <v>340.86051242501156</v>
      </c>
      <c r="CD19" s="59">
        <f ca="1">AVERAGE(OFFSET($CC$3,0,0,'Données projet'!$E$12+1,1))-AVERAGE(OFFSET($H$3,0,0,'Données projet'!$E$12+1,1))</f>
        <v>214.34615950592251</v>
      </c>
      <c r="CE19" s="59">
        <f t="shared" si="40"/>
        <v>159.66077836853066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7.9559999999999995</v>
      </c>
      <c r="D20" s="11">
        <f t="shared" si="32"/>
        <v>2.880089392049658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83.647005833365782</v>
      </c>
      <c r="H20" s="67">
        <f t="shared" si="1"/>
        <v>312.20618902448649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10.16068376068376</v>
      </c>
      <c r="N20" s="13">
        <f>IF('Données projet'!$A$36&gt;35,N19+M20-V19,IF(A20&lt;'Données projet'!$A$36,$K$205^A20,IF(A20='Données projet'!$A$36,'Données projet'!$B$36,N19+M20-V19)))</f>
        <v>136.93608755517039</v>
      </c>
      <c r="O20" s="13">
        <f>N20*VLOOKUP('Données projet'!$B$9,Paramètres!$A$1:$I$89,3,0)*VLOOKUP('Données projet'!$B$9,Paramètres!$A$1:$I$89,5,0)</f>
        <v>76.547272943340246</v>
      </c>
      <c r="P20" s="13">
        <f t="shared" si="33"/>
        <v>21.290819020824138</v>
      </c>
      <c r="Q20" s="20">
        <f t="shared" si="2"/>
        <v>170.40134350425296</v>
      </c>
      <c r="R20" s="59">
        <f t="shared" si="0"/>
        <v>463.73467683758628</v>
      </c>
      <c r="S20" s="59">
        <f ca="1">AVERAGE(OFFSET($R$3,0,0,'Données projet'!$E$9+1,1))-AVERAGE(OFFSET($H$3,0,0,'Données projet'!$E$9+1,1))</f>
        <v>279.32192402750189</v>
      </c>
      <c r="T20" s="59">
        <f t="shared" si="34"/>
        <v>371.43572414443611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5.2912820512820513</v>
      </c>
      <c r="AI20" s="13">
        <f>IF('Données projet'!$A$62&gt;35,AI19+AH20-AQ19,IF(A20&lt;'Données projet'!$A$62,$AF$205^A20,IF(A20='Données projet'!$A$62,'Données projet'!$B$62,AI19+AH20-AQ19)))</f>
        <v>17.662542826982701</v>
      </c>
      <c r="AJ20" s="13">
        <f>AI20*VLOOKUP('Données projet'!$B$10,Paramètres!$A$1:$I$89,3,0)*VLOOKUP('Données projet'!$B$10,Paramètres!$A$1:$I$89,5,0)</f>
        <v>8.2660700430279039</v>
      </c>
      <c r="AK20" s="13">
        <f t="shared" si="35"/>
        <v>2.9790482192992012</v>
      </c>
      <c r="AL20" s="20">
        <f t="shared" si="4"/>
        <v>19.585247640219709</v>
      </c>
      <c r="AM20" s="59">
        <f t="shared" si="5"/>
        <v>312.91858097355305</v>
      </c>
      <c r="AN20" s="59">
        <f ca="1">AVERAGE(OFFSET($AM$3,0,0,'Données projet'!$E$10+1,1))-AVERAGE(OFFSET($H$3,0,0,'Données projet'!$E$10+1,1))</f>
        <v>192.20041613277965</v>
      </c>
      <c r="AO20" s="59">
        <f t="shared" si="36"/>
        <v>132.76245212522417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6.2222222222222223</v>
      </c>
      <c r="BD20" s="12">
        <f>IF('Données projet'!$A$88&gt;35,BD19+BC20-BL19,IF(A20&lt;'Données projet'!$A$88,$BA$205^A20,IF(A20='Données projet'!$A$88,'Données projet'!$B$88,BD19+BC20-BL19)))</f>
        <v>86.1732707185582</v>
      </c>
      <c r="BE20" s="13">
        <f>BD20*VLOOKUP('Données projet'!$B$11,Paramètres!$A$1:$I$89,3,0)*VLOOKUP('Données projet'!$B$11,Paramètres!$A$1:$I$89,5,0)</f>
        <v>53.772120928380318</v>
      </c>
      <c r="BF20" s="13">
        <f t="shared" si="37"/>
        <v>15.583764526657339</v>
      </c>
      <c r="BG20" s="20">
        <f t="shared" si="7"/>
        <v>120.79483383419057</v>
      </c>
      <c r="BH20" s="59">
        <f t="shared" si="8"/>
        <v>414.12816716752388</v>
      </c>
      <c r="BI20" s="59">
        <f ca="1">AVERAGE(OFFSET($BH$3,0,0,'Données projet'!$E$11+1,1))-AVERAGE(OFFSET($H$3,0,0,'Données projet'!$E$11+1,1))</f>
        <v>180.31844548479722</v>
      </c>
      <c r="BJ20" s="59">
        <f t="shared" si="38"/>
        <v>273.83237400307223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5.9083916083916082</v>
      </c>
      <c r="BY20" s="12">
        <f>IF('Données projet'!$A$114&gt;35,BY19+BX20-CG19,IF(A20&lt;'Données projet'!$A$114,$BV$205^A20,IF(A20='Données projet'!$A$114,'Données projet'!$B$114,BY19+BX20-CG19)))</f>
        <v>42.999357270344852</v>
      </c>
      <c r="BZ20" s="13">
        <f>BY20*VLOOKUP('Données projet'!$B$12,Paramètres!$A$1:$I$89,3,0)*VLOOKUP('Données projet'!$B$12,Paramètres!$A$1:$I$89,5,0)</f>
        <v>25.71361564766622</v>
      </c>
      <c r="CA20" s="13">
        <f t="shared" si="39"/>
        <v>8.1203027703164814</v>
      </c>
      <c r="CB20" s="20">
        <f t="shared" si="10"/>
        <v>58.927407911319868</v>
      </c>
      <c r="CC20" s="59">
        <f t="shared" si="11"/>
        <v>352.26074124465316</v>
      </c>
      <c r="CD20" s="59">
        <f ca="1">AVERAGE(OFFSET($CC$3,0,0,'Données projet'!$E$12+1,1))-AVERAGE(OFFSET($H$3,0,0,'Données projet'!$E$12+1,1))</f>
        <v>214.34615950592251</v>
      </c>
      <c r="CE20" s="59">
        <f t="shared" si="40"/>
        <v>159.66077836853066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8.4239999999999995</v>
      </c>
      <c r="D21" s="11">
        <f t="shared" si="32"/>
        <v>3.0292846636388133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88.411320210545227</v>
      </c>
      <c r="H21" s="67">
        <f t="shared" si="1"/>
        <v>313.28113745583755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182.89230769230767</v>
      </c>
      <c r="L21" s="12">
        <f>VLOOKUP(A21,'Données projet'!$A$35:$I$55,9,0)</f>
        <v>10.16068376068376</v>
      </c>
      <c r="M21" s="12">
        <f t="array" ref="M21">INDEX(L:L,MIN(IF(ISNUMBER(L21:L217),ROW(L21:L217),"")))</f>
        <v>10.16068376068376</v>
      </c>
      <c r="N21" s="13">
        <f>IF('Données projet'!$A$36&gt;35,N20+M21-V20,IF(A21&lt;'Données projet'!$A$36,$K$205^A21,IF(A21='Données projet'!$A$36,'Données projet'!$B$36,N20+M21-V20)))</f>
        <v>182.89230769230767</v>
      </c>
      <c r="O21" s="13">
        <f>N21*VLOOKUP('Données projet'!$B$9,Paramètres!$A$1:$I$89,3,0)*VLOOKUP('Données projet'!$B$9,Paramètres!$A$1:$I$89,5,0)</f>
        <v>102.23679999999999</v>
      </c>
      <c r="P21" s="13">
        <f t="shared" si="33"/>
        <v>27.494196289326943</v>
      </c>
      <c r="Q21" s="20">
        <f t="shared" si="2"/>
        <v>225.9481518705777</v>
      </c>
      <c r="R21" s="59">
        <f t="shared" si="0"/>
        <v>519.28148520391096</v>
      </c>
      <c r="S21" s="59">
        <f ca="1">AVERAGE(OFFSET($R$3,0,0,'Données projet'!$E$9+1,1))-AVERAGE(OFFSET($H$3,0,0,'Données projet'!$E$9+1,1))</f>
        <v>279.32192402750189</v>
      </c>
      <c r="T21" s="59">
        <f t="shared" si="34"/>
        <v>371.43572414443611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69.284615384615378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0.30800000000000005</v>
      </c>
      <c r="Y21" s="16">
        <f>IF(ISNA(VLOOKUP(A21,'Données projet'!$A$35:$I$55,7,0)),0%,VLOOKUP(A21,'Données projet'!$A$35:$I$55,7,0))</f>
        <v>0.44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15.762109241455983</v>
      </c>
      <c r="AB21" s="21">
        <f>EXP(-LN(2)/2)*AB20+(1-EXP(-LN(2)/2))/(LN(2)/2)*V21*Y21*VLOOKUP('Données projet'!$B$9,Paramètres!$A$1:$I$89,3,0)*0.475*44/12</f>
        <v>19.294646846829099</v>
      </c>
      <c r="AC21" s="22">
        <f t="shared" si="3"/>
        <v>35.056756088285084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5.2912820512820513</v>
      </c>
      <c r="AI21" s="13">
        <f>IF('Données projet'!$A$62&gt;35,AI20+AH21-AQ20,IF(A21&lt;'Données projet'!$A$62,$AF$205^A21,IF(A21='Données projet'!$A$62,'Données projet'!$B$62,AI20+AH21-AQ20)))</f>
        <v>20.912661127929006</v>
      </c>
      <c r="AJ21" s="13">
        <f>AI21*VLOOKUP('Données projet'!$B$10,Paramètres!$A$1:$I$89,3,0)*VLOOKUP('Données projet'!$B$10,Paramètres!$A$1:$I$89,5,0)</f>
        <v>9.787125407870775</v>
      </c>
      <c r="AK21" s="13">
        <f t="shared" si="35"/>
        <v>3.4585571642542829</v>
      </c>
      <c r="AL21" s="20">
        <f t="shared" si="4"/>
        <v>23.06956381311781</v>
      </c>
      <c r="AM21" s="59">
        <f t="shared" si="5"/>
        <v>316.4028971464511</v>
      </c>
      <c r="AN21" s="59">
        <f ca="1">AVERAGE(OFFSET($AM$3,0,0,'Données projet'!$E$10+1,1))-AVERAGE(OFFSET($H$3,0,0,'Données projet'!$E$10+1,1))</f>
        <v>192.20041613277965</v>
      </c>
      <c r="AO21" s="59">
        <f t="shared" si="36"/>
        <v>132.76245212522417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>
        <f>VLOOKUP(A21,'Données projet'!$A$87:$I$107,2,0)</f>
        <v>112</v>
      </c>
      <c r="BB21" s="12">
        <f>VLOOKUP(A21,'Données projet'!$A$87:$I$107,9,0)</f>
        <v>6.2222222222222223</v>
      </c>
      <c r="BC21" s="12">
        <f t="array" ref="BC21">INDEX(BB:BB,MIN(IF(ISNUMBER(BB21:BB217),ROW(BB21:BB217),"")))</f>
        <v>6.2222222222222223</v>
      </c>
      <c r="BD21" s="12">
        <f>IF('Données projet'!$A$88&gt;35,BD20+BC21-BL20,IF(A21&lt;'Données projet'!$A$88,$BA$205^A21,IF(A21='Données projet'!$A$88,'Données projet'!$B$88,BD20+BC21-BL20)))</f>
        <v>112</v>
      </c>
      <c r="BE21" s="13">
        <f>BD21*VLOOKUP('Données projet'!$B$11,Paramètres!$A$1:$I$89,3,0)*VLOOKUP('Données projet'!$B$11,Paramètres!$A$1:$I$89,5,0)</f>
        <v>69.888000000000005</v>
      </c>
      <c r="BF21" s="13">
        <f t="shared" si="37"/>
        <v>19.645641432461961</v>
      </c>
      <c r="BG21" s="20">
        <f t="shared" si="7"/>
        <v>155.93775882820458</v>
      </c>
      <c r="BH21" s="59">
        <f t="shared" si="8"/>
        <v>449.27109216153792</v>
      </c>
      <c r="BI21" s="59">
        <f ca="1">AVERAGE(OFFSET($BH$3,0,0,'Données projet'!$E$11+1,1))-AVERAGE(OFFSET($H$3,0,0,'Données projet'!$E$11+1,1))</f>
        <v>180.31844548479722</v>
      </c>
      <c r="BJ21" s="59">
        <f t="shared" si="38"/>
        <v>273.83237400307223</v>
      </c>
      <c r="BK21" s="15">
        <f>IF(ISNA(VLOOKUP(A21,'Données projet'!$A$87:$I$107,3,0)),0,VLOOKUP(A21,'Données projet'!$A$87:$I$107,3,0))</f>
        <v>1</v>
      </c>
      <c r="BL21" s="15">
        <f>IF(ISNA(VLOOKUP(A21,'Données projet'!$A$87:$I$107,4,0)),0,VLOOKUP(A21,'Données projet'!$A$87:$I$107,4,0))</f>
        <v>20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0.42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6.9259423783863667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6.9259423783863667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5.9083916083916082</v>
      </c>
      <c r="BY21" s="12">
        <f>IF('Données projet'!$A$114&gt;35,BY20+BX21-CG20,IF(A21&lt;'Données projet'!$A$114,$BV$205^A21,IF(A21='Données projet'!$A$114,'Données projet'!$B$114,BY20+BX21-CG20)))</f>
        <v>53.64731143405691</v>
      </c>
      <c r="BZ21" s="13">
        <f>BY21*VLOOKUP('Données projet'!$B$12,Paramètres!$A$1:$I$89,3,0)*VLOOKUP('Données projet'!$B$12,Paramètres!$A$1:$I$89,5,0)</f>
        <v>32.081092237566033</v>
      </c>
      <c r="CA21" s="13">
        <f t="shared" si="39"/>
        <v>9.8735609219464049</v>
      </c>
      <c r="CB21" s="20">
        <f t="shared" si="10"/>
        <v>73.071020919484155</v>
      </c>
      <c r="CC21" s="59">
        <f t="shared" si="11"/>
        <v>366.40435425281748</v>
      </c>
      <c r="CD21" s="59">
        <f ca="1">AVERAGE(OFFSET($CC$3,0,0,'Données projet'!$E$12+1,1))-AVERAGE(OFFSET($H$3,0,0,'Données projet'!$E$12+1,1))</f>
        <v>214.34615950592251</v>
      </c>
      <c r="CE21" s="59">
        <f t="shared" si="40"/>
        <v>159.66077836853066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22" s="11">
        <f t="shared" si="32"/>
        <v>3.177517729464268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93.16820703446102</v>
      </c>
      <c r="H22" s="67">
        <f t="shared" si="1"/>
        <v>314.35441004548358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20.658974358974358</v>
      </c>
      <c r="N22" s="13">
        <f>IF('Données projet'!$A$36&gt;35,N21+M22-V21,IF(A22&lt;'Données projet'!$A$36,$K$205^A22,IF(A22='Données projet'!$A$36,'Données projet'!$B$36,N21+M22-V21)))</f>
        <v>134.26666666666665</v>
      </c>
      <c r="O22" s="13">
        <f>N22*VLOOKUP('Données projet'!$B$9,Paramètres!$A$1:$I$89,3,0)*VLOOKUP('Données projet'!$B$9,Paramètres!$A$1:$I$89,5,0)</f>
        <v>75.055066666666661</v>
      </c>
      <c r="P22" s="13">
        <f t="shared" si="33"/>
        <v>20.923669242672773</v>
      </c>
      <c r="Q22" s="20">
        <f t="shared" si="2"/>
        <v>167.1629650420995</v>
      </c>
      <c r="R22" s="59">
        <f t="shared" si="0"/>
        <v>460.49629837543284</v>
      </c>
      <c r="S22" s="59">
        <f ca="1">AVERAGE(OFFSET($R$3,0,0,'Données projet'!$E$9+1,1))-AVERAGE(OFFSET($H$3,0,0,'Données projet'!$E$9+1,1))</f>
        <v>279.32192402750189</v>
      </c>
      <c r="T22" s="59">
        <f t="shared" si="34"/>
        <v>371.43572414443611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15.33109353535507</v>
      </c>
      <c r="AB22" s="21">
        <f>EXP(-LN(2)/2)*AB21+(1-EXP(-LN(2)/2))/(LN(2)/2)*V22*Y22*VLOOKUP('Données projet'!$B$9,Paramètres!$A$1:$I$89,3,0)*0.475*44/12</f>
        <v>13.643375625992494</v>
      </c>
      <c r="AC22" s="22">
        <f t="shared" si="3"/>
        <v>28.974469161347564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5.2912820512820513</v>
      </c>
      <c r="AI22" s="13">
        <f>IF('Données projet'!$A$62&gt;35,AI21+AH22-AQ21,IF(A22&lt;'Données projet'!$A$62,$AF$205^A22,IF(A22='Données projet'!$A$62,'Données projet'!$B$62,AI21+AH22-AQ21)))</f>
        <v>24.760839916180057</v>
      </c>
      <c r="AJ22" s="13">
        <f>AI22*VLOOKUP('Données projet'!$B$10,Paramètres!$A$1:$I$89,3,0)*VLOOKUP('Données projet'!$B$10,Paramètres!$A$1:$I$89,5,0)</f>
        <v>11.588073080772267</v>
      </c>
      <c r="AK22" s="13">
        <f t="shared" si="35"/>
        <v>4.0152480852520442</v>
      </c>
      <c r="AL22" s="20">
        <f t="shared" si="4"/>
        <v>27.175784364159011</v>
      </c>
      <c r="AM22" s="59">
        <f t="shared" si="5"/>
        <v>320.50911769749234</v>
      </c>
      <c r="AN22" s="59">
        <f ca="1">AVERAGE(OFFSET($AM$3,0,0,'Données projet'!$E$10+1,1))-AVERAGE(OFFSET($H$3,0,0,'Données projet'!$E$10+1,1))</f>
        <v>192.20041613277965</v>
      </c>
      <c r="AO22" s="59">
        <f t="shared" si="36"/>
        <v>132.76245212522417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18</v>
      </c>
      <c r="BD22" s="12">
        <f>IF('Données projet'!$A$88&gt;35,BD21+BC22-BL21,IF(A22&lt;'Données projet'!$A$88,$BA$205^A22,IF(A22='Données projet'!$A$88,'Données projet'!$B$88,BD21+BC22-BL21)))</f>
        <v>110</v>
      </c>
      <c r="BE22" s="13">
        <f>BD22*VLOOKUP('Données projet'!$B$11,Paramètres!$A$1:$I$89,3,0)*VLOOKUP('Données projet'!$B$11,Paramètres!$A$1:$I$89,5,0)</f>
        <v>68.64</v>
      </c>
      <c r="BF22" s="13">
        <f t="shared" si="37"/>
        <v>19.335336956640202</v>
      </c>
      <c r="BG22" s="20">
        <f t="shared" si="7"/>
        <v>153.22371186614836</v>
      </c>
      <c r="BH22" s="59">
        <f t="shared" si="8"/>
        <v>446.55704519948165</v>
      </c>
      <c r="BI22" s="59">
        <f ca="1">AVERAGE(OFFSET($BH$3,0,0,'Données projet'!$E$11+1,1))-AVERAGE(OFFSET($H$3,0,0,'Données projet'!$E$11+1,1))</f>
        <v>180.31844548479722</v>
      </c>
      <c r="BJ22" s="59">
        <f t="shared" si="38"/>
        <v>273.83237400307223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6.736552119829911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6.736552119829911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5.9083916083916082</v>
      </c>
      <c r="BY22" s="12">
        <f>IF('Données projet'!$A$114&gt;35,BY21+BX22-CG21,IF(A22&lt;'Données projet'!$A$114,$BV$205^A22,IF(A22='Données projet'!$A$114,'Données projet'!$B$114,BY21+BX22-CG21)))</f>
        <v>66.932024262780615</v>
      </c>
      <c r="BZ22" s="13">
        <f>BY22*VLOOKUP('Données projet'!$B$12,Paramètres!$A$1:$I$89,3,0)*VLOOKUP('Données projet'!$B$12,Paramètres!$A$1:$I$89,5,0)</f>
        <v>40.025350509142811</v>
      </c>
      <c r="CA22" s="13">
        <f t="shared" si="39"/>
        <v>12.005365814160106</v>
      </c>
      <c r="CB22" s="20">
        <f t="shared" si="10"/>
        <v>90.620164263085925</v>
      </c>
      <c r="CC22" s="59">
        <f t="shared" si="11"/>
        <v>383.95349759641925</v>
      </c>
      <c r="CD22" s="59">
        <f ca="1">AVERAGE(OFFSET($CC$3,0,0,'Données projet'!$E$12+1,1))-AVERAGE(OFFSET($H$3,0,0,'Données projet'!$E$12+1,1))</f>
        <v>214.34615950592251</v>
      </c>
      <c r="CE22" s="59">
        <f t="shared" si="40"/>
        <v>159.66077836853066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9.36</v>
      </c>
      <c r="D23" s="11">
        <f t="shared" si="32"/>
        <v>3.3248450073034994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97.918101810763858</v>
      </c>
      <c r="H23" s="67">
        <f t="shared" si="1"/>
        <v>315.42610505438688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20.658974358974358</v>
      </c>
      <c r="N23" s="13">
        <f>IF('Données projet'!$A$36&gt;35,N22+M23-V22,IF(A23&lt;'Données projet'!$A$36,$K$205^A23,IF(A23='Données projet'!$A$36,'Données projet'!$B$36,N22+M23-V22)))</f>
        <v>154.925641025641</v>
      </c>
      <c r="O23" s="13">
        <f>N23*VLOOKUP('Données projet'!$B$9,Paramètres!$A$1:$I$89,3,0)*VLOOKUP('Données projet'!$B$9,Paramètres!$A$1:$I$89,5,0)</f>
        <v>86.603433333333314</v>
      </c>
      <c r="P23" s="13">
        <f t="shared" si="33"/>
        <v>23.744229853900279</v>
      </c>
      <c r="Q23" s="20">
        <f t="shared" si="2"/>
        <v>192.18884671776516</v>
      </c>
      <c r="R23" s="59">
        <f t="shared" si="0"/>
        <v>485.52218005109847</v>
      </c>
      <c r="S23" s="59">
        <f ca="1">AVERAGE(OFFSET($R$3,0,0,'Données projet'!$E$9+1,1))-AVERAGE(OFFSET($H$3,0,0,'Données projet'!$E$9+1,1))</f>
        <v>279.32192402750189</v>
      </c>
      <c r="T23" s="59">
        <f t="shared" si="34"/>
        <v>371.43572414443611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14.911863976403616</v>
      </c>
      <c r="AB23" s="21">
        <f>EXP(-LN(2)/2)*AB22+(1-EXP(-LN(2)/2))/(LN(2)/2)*V23*Y23*VLOOKUP('Données projet'!$B$9,Paramètres!$A$1:$I$89,3,0)*0.475*44/12</f>
        <v>9.6473234234145515</v>
      </c>
      <c r="AC23" s="22">
        <f t="shared" si="3"/>
        <v>24.559187399818168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5.2912820512820513</v>
      </c>
      <c r="AI23" s="13">
        <f>IF('Données projet'!$A$62&gt;35,AI22+AH23-AQ22,IF(A23&lt;'Données projet'!$A$62,$AF$205^A23,IF(A23='Données projet'!$A$62,'Données projet'!$B$62,AI22+AH23-AQ22)))</f>
        <v>29.317129446328433</v>
      </c>
      <c r="AJ23" s="13">
        <f>AI23*VLOOKUP('Données projet'!$B$10,Paramètres!$A$1:$I$89,3,0)*VLOOKUP('Données projet'!$B$10,Paramètres!$A$1:$I$89,5,0)</f>
        <v>13.720416580881707</v>
      </c>
      <c r="AK23" s="13">
        <f t="shared" si="35"/>
        <v>4.6615442279660568</v>
      </c>
      <c r="AL23" s="20">
        <f t="shared" si="4"/>
        <v>32.01524840874319</v>
      </c>
      <c r="AM23" s="59">
        <f t="shared" si="5"/>
        <v>325.34858174207648</v>
      </c>
      <c r="AN23" s="59">
        <f ca="1">AVERAGE(OFFSET($AM$3,0,0,'Données projet'!$E$10+1,1))-AVERAGE(OFFSET($H$3,0,0,'Données projet'!$E$10+1,1))</f>
        <v>192.20041613277965</v>
      </c>
      <c r="AO23" s="59">
        <f t="shared" si="36"/>
        <v>132.76245212522417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18</v>
      </c>
      <c r="BD23" s="12">
        <f>IF('Données projet'!$A$88&gt;35,BD22+BC23-BL22,IF(A23&lt;'Données projet'!$A$88,$BA$205^A23,IF(A23='Données projet'!$A$88,'Données projet'!$B$88,BD22+BC23-BL22)))</f>
        <v>128</v>
      </c>
      <c r="BE23" s="13">
        <f>BD23*VLOOKUP('Données projet'!$B$11,Paramètres!$A$1:$I$89,3,0)*VLOOKUP('Données projet'!$B$11,Paramètres!$A$1:$I$89,5,0)</f>
        <v>79.872</v>
      </c>
      <c r="BF23" s="13">
        <f t="shared" si="37"/>
        <v>22.105884547145418</v>
      </c>
      <c r="BG23" s="20">
        <f t="shared" si="7"/>
        <v>177.61148225294494</v>
      </c>
      <c r="BH23" s="59">
        <f t="shared" si="8"/>
        <v>470.94481558627825</v>
      </c>
      <c r="BI23" s="59">
        <f ca="1">AVERAGE(OFFSET($BH$3,0,0,'Données projet'!$E$11+1,1))-AVERAGE(OFFSET($H$3,0,0,'Données projet'!$E$11+1,1))</f>
        <v>180.31844548479722</v>
      </c>
      <c r="BJ23" s="59">
        <f t="shared" si="38"/>
        <v>273.83237400307223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6.5523407478532825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6.5523407478532825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5.9083916083916082</v>
      </c>
      <c r="BY23" s="12">
        <f>IF('Données projet'!$A$114&gt;35,BY22+BX23-CG22,IF(A23&lt;'Données projet'!$A$114,$BV$205^A23,IF(A23='Données projet'!$A$114,'Données projet'!$B$114,BY22+BX23-CG22)))</f>
        <v>83.506437734910989</v>
      </c>
      <c r="BZ23" s="13">
        <f>BY23*VLOOKUP('Données projet'!$B$12,Paramètres!$A$1:$I$89,3,0)*VLOOKUP('Données projet'!$B$12,Paramètres!$A$1:$I$89,5,0)</f>
        <v>49.936849765476779</v>
      </c>
      <c r="CA23" s="13">
        <f t="shared" si="39"/>
        <v>14.597449640629918</v>
      </c>
      <c r="CB23" s="20">
        <f t="shared" si="10"/>
        <v>112.39723813230249</v>
      </c>
      <c r="CC23" s="59">
        <f t="shared" si="11"/>
        <v>405.73057146563582</v>
      </c>
      <c r="CD23" s="59">
        <f ca="1">AVERAGE(OFFSET($CC$3,0,0,'Données projet'!$E$12+1,1))-AVERAGE(OFFSET($H$3,0,0,'Données projet'!$E$12+1,1))</f>
        <v>214.34615950592251</v>
      </c>
      <c r="CE23" s="59">
        <f t="shared" si="40"/>
        <v>159.66077836853066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9.8279999999999994</v>
      </c>
      <c r="D24" s="11">
        <f t="shared" si="32"/>
        <v>3.4713169544550615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102.66139403438996</v>
      </c>
      <c r="H24" s="67">
        <f t="shared" si="1"/>
        <v>316.49631036234257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20.658974358974358</v>
      </c>
      <c r="N24" s="13">
        <f>IF('Données projet'!$A$36&gt;35,N23+M24-V23,IF(A24&lt;'Données projet'!$A$36,$K$205^A24,IF(A24='Données projet'!$A$36,'Données projet'!$B$36,N23+M24-V23)))</f>
        <v>175.58461538461535</v>
      </c>
      <c r="O24" s="13">
        <f>N24*VLOOKUP('Données projet'!$B$9,Paramètres!$A$1:$I$89,3,0)*VLOOKUP('Données projet'!$B$9,Paramètres!$A$1:$I$89,5,0)</f>
        <v>98.15179999999998</v>
      </c>
      <c r="P24" s="13">
        <f t="shared" si="33"/>
        <v>26.52121247620833</v>
      </c>
      <c r="Q24" s="20">
        <f t="shared" si="2"/>
        <v>217.13883006272945</v>
      </c>
      <c r="R24" s="59">
        <f t="shared" si="0"/>
        <v>510.4721633960628</v>
      </c>
      <c r="S24" s="59">
        <f ca="1">AVERAGE(OFFSET($R$3,0,0,'Données projet'!$E$9+1,1))-AVERAGE(OFFSET($H$3,0,0,'Données projet'!$E$9+1,1))</f>
        <v>279.32192402750189</v>
      </c>
      <c r="T24" s="59">
        <f t="shared" si="34"/>
        <v>371.43572414443611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14.504098271788013</v>
      </c>
      <c r="AB24" s="21">
        <f>EXP(-LN(2)/2)*AB23+(1-EXP(-LN(2)/2))/(LN(2)/2)*V24*Y24*VLOOKUP('Données projet'!$B$9,Paramètres!$A$1:$I$89,3,0)*0.475*44/12</f>
        <v>6.8216878129962479</v>
      </c>
      <c r="AC24" s="22">
        <f t="shared" si="3"/>
        <v>21.325786084784262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5.2912820512820513</v>
      </c>
      <c r="AI24" s="13">
        <f>IF('Données projet'!$A$62&gt;35,AI23+AH24-AQ23,IF(A24&lt;'Données projet'!$A$62,$AF$205^A24,IF(A24='Données projet'!$A$62,'Données projet'!$B$62,AI23+AH24-AQ23)))</f>
        <v>34.71183053088351</v>
      </c>
      <c r="AJ24" s="13">
        <f>AI24*VLOOKUP('Données projet'!$B$10,Paramètres!$A$1:$I$89,3,0)*VLOOKUP('Données projet'!$B$10,Paramètres!$A$1:$I$89,5,0)</f>
        <v>16.245136688453481</v>
      </c>
      <c r="AK24" s="13">
        <f t="shared" si="35"/>
        <v>5.411868489296503</v>
      </c>
      <c r="AL24" s="20">
        <f t="shared" si="4"/>
        <v>37.719284017914553</v>
      </c>
      <c r="AM24" s="59">
        <f t="shared" si="5"/>
        <v>331.05261735124787</v>
      </c>
      <c r="AN24" s="59">
        <f ca="1">AVERAGE(OFFSET($AM$3,0,0,'Données projet'!$E$10+1,1))-AVERAGE(OFFSET($H$3,0,0,'Données projet'!$E$10+1,1))</f>
        <v>192.20041613277965</v>
      </c>
      <c r="AO24" s="59">
        <f t="shared" si="36"/>
        <v>132.76245212522417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>
        <f>VLOOKUP(A24,'Données projet'!$A$87:$I$107,2,0)</f>
        <v>146</v>
      </c>
      <c r="BB24" s="12">
        <f>VLOOKUP(A24,'Données projet'!$A$87:$I$107,9,0)</f>
        <v>18</v>
      </c>
      <c r="BC24" s="12">
        <f t="array" ref="BC24">INDEX(BB:BB,MIN(IF(ISNUMBER(BB24:BB220),ROW(BB24:BB220),"")))</f>
        <v>18</v>
      </c>
      <c r="BD24" s="12">
        <f>IF('Données projet'!$A$88&gt;35,BD23+BC24-BL23,IF(A24&lt;'Données projet'!$A$88,$BA$205^A24,IF(A24='Données projet'!$A$88,'Données projet'!$B$88,BD23+BC24-BL23)))</f>
        <v>146</v>
      </c>
      <c r="BE24" s="13">
        <f>BD24*VLOOKUP('Données projet'!$B$11,Paramètres!$A$1:$I$89,3,0)*VLOOKUP('Données projet'!$B$11,Paramètres!$A$1:$I$89,5,0)</f>
        <v>91.103999999999999</v>
      </c>
      <c r="BF24" s="13">
        <f t="shared" si="37"/>
        <v>24.831293984707884</v>
      </c>
      <c r="BG24" s="20">
        <f t="shared" si="7"/>
        <v>201.92063702336623</v>
      </c>
      <c r="BH24" s="59">
        <f t="shared" si="8"/>
        <v>495.25397035669954</v>
      </c>
      <c r="BI24" s="59">
        <f ca="1">AVERAGE(OFFSET($BH$3,0,0,'Données projet'!$E$11+1,1))-AVERAGE(OFFSET($H$3,0,0,'Données projet'!$E$11+1,1))</f>
        <v>180.31844548479722</v>
      </c>
      <c r="BJ24" s="59">
        <f t="shared" si="38"/>
        <v>273.83237400307223</v>
      </c>
      <c r="BK24" s="15">
        <f>IF(ISNA(VLOOKUP(A24,'Données projet'!$A$87:$I$107,3,0)),0,VLOOKUP(A24,'Données projet'!$A$87:$I$107,3,0))</f>
        <v>2</v>
      </c>
      <c r="BL24" s="15">
        <f>IF(ISNA(VLOOKUP(A24,'Données projet'!$A$87:$I$107,4,0)),0,VLOOKUP(A24,'Données projet'!$A$87:$I$107,4,0))</f>
        <v>26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0.48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16.663138179133213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16.663138179133213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5.9083916083916082</v>
      </c>
      <c r="BY24" s="12">
        <f>IF('Données projet'!$A$114&gt;35,BY23+BX24-CG23,IF(A24&lt;'Données projet'!$A$114,$BV$205^A24,IF(A24='Données projet'!$A$114,'Données projet'!$B$114,BY23+BX24-CG23)))</f>
        <v>104.18518220510889</v>
      </c>
      <c r="BZ24" s="13">
        <f>BY24*VLOOKUP('Données projet'!$B$12,Paramètres!$A$1:$I$89,3,0)*VLOOKUP('Données projet'!$B$12,Paramètres!$A$1:$I$89,5,0)</f>
        <v>62.302738958655119</v>
      </c>
      <c r="CA24" s="13">
        <f t="shared" si="39"/>
        <v>17.749191429002199</v>
      </c>
      <c r="CB24" s="20">
        <f t="shared" si="10"/>
        <v>139.42377875850318</v>
      </c>
      <c r="CC24" s="59">
        <f t="shared" si="11"/>
        <v>432.75711209183646</v>
      </c>
      <c r="CD24" s="59">
        <f ca="1">AVERAGE(OFFSET($CC$3,0,0,'Données projet'!$E$12+1,1))-AVERAGE(OFFSET($H$3,0,0,'Données projet'!$E$12+1,1))</f>
        <v>214.34615950592251</v>
      </c>
      <c r="CE24" s="59">
        <f t="shared" si="40"/>
        <v>159.66077836853066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10.295999999999999</v>
      </c>
      <c r="D25" s="11">
        <f t="shared" si="32"/>
        <v>3.6169789512251227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107.39843400945709</v>
      </c>
      <c r="H25" s="67">
        <f t="shared" si="1"/>
        <v>317.56510500671709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20.658974358974358</v>
      </c>
      <c r="N25" s="13">
        <f>IF('Données projet'!$A$36&gt;35,N24+M25-V24,IF(A25&lt;'Données projet'!$A$36,$K$205^A25,IF(A25='Données projet'!$A$36,'Données projet'!$B$36,N24+M25-V24)))</f>
        <v>196.24358974358969</v>
      </c>
      <c r="O25" s="13">
        <f>N25*VLOOKUP('Données projet'!$B$9,Paramètres!$A$1:$I$89,3,0)*VLOOKUP('Données projet'!$B$9,Paramètres!$A$1:$I$89,5,0)</f>
        <v>109.70016666666663</v>
      </c>
      <c r="P25" s="13">
        <f t="shared" si="33"/>
        <v>29.260330282475415</v>
      </c>
      <c r="Q25" s="20">
        <f t="shared" si="2"/>
        <v>242.02286551975575</v>
      </c>
      <c r="R25" s="59">
        <f t="shared" si="0"/>
        <v>535.35619885308904</v>
      </c>
      <c r="S25" s="59">
        <f ca="1">AVERAGE(OFFSET($R$3,0,0,'Données projet'!$E$9+1,1))-AVERAGE(OFFSET($H$3,0,0,'Données projet'!$E$9+1,1))</f>
        <v>279.32192402750189</v>
      </c>
      <c r="T25" s="59">
        <f t="shared" si="34"/>
        <v>371.43572414443611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14.107482941808591</v>
      </c>
      <c r="AB25" s="21">
        <f>EXP(-LN(2)/2)*AB24+(1-EXP(-LN(2)/2))/(LN(2)/2)*V25*Y25*VLOOKUP('Données projet'!$B$9,Paramètres!$A$1:$I$89,3,0)*0.475*44/12</f>
        <v>4.8236617117072758</v>
      </c>
      <c r="AC25" s="22">
        <f t="shared" si="3"/>
        <v>18.931144653515865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5.2912820512820513</v>
      </c>
      <c r="AI25" s="13">
        <f>IF('Données projet'!$A$62&gt;35,AI24+AH25-AQ24,IF(A25&lt;'Données projet'!$A$62,$AF$205^A25,IF(A25='Données projet'!$A$62,'Données projet'!$B$62,AI24+AH25-AQ24)))</f>
        <v>41.099220884180887</v>
      </c>
      <c r="AJ25" s="13">
        <f>AI25*VLOOKUP('Données projet'!$B$10,Paramètres!$A$1:$I$89,3,0)*VLOOKUP('Données projet'!$B$10,Paramètres!$A$1:$I$89,5,0)</f>
        <v>19.234435373796657</v>
      </c>
      <c r="AK25" s="13">
        <f t="shared" si="35"/>
        <v>6.2829652821334729</v>
      </c>
      <c r="AL25" s="20">
        <f t="shared" si="4"/>
        <v>44.442806142411648</v>
      </c>
      <c r="AM25" s="59">
        <f t="shared" si="5"/>
        <v>337.77613947574497</v>
      </c>
      <c r="AN25" s="59">
        <f ca="1">AVERAGE(OFFSET($AM$3,0,0,'Données projet'!$E$10+1,1))-AVERAGE(OFFSET($H$3,0,0,'Données projet'!$E$10+1,1))</f>
        <v>192.20041613277965</v>
      </c>
      <c r="AO25" s="59">
        <f t="shared" si="36"/>
        <v>132.76245212522417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16</v>
      </c>
      <c r="BD25" s="12">
        <f>IF('Données projet'!$A$88&gt;35,BD24+BC25-BL24,IF(A25&lt;'Données projet'!$A$88,$BA$205^A25,IF(A25='Données projet'!$A$88,'Données projet'!$B$88,BD24+BC25-BL24)))</f>
        <v>136</v>
      </c>
      <c r="BE25" s="13">
        <f>BD25*VLOOKUP('Données projet'!$B$11,Paramètres!$A$1:$I$89,3,0)*VLOOKUP('Données projet'!$B$11,Paramètres!$A$1:$I$89,5,0)</f>
        <v>84.864000000000004</v>
      </c>
      <c r="BF25" s="13">
        <f t="shared" si="37"/>
        <v>23.322341364766192</v>
      </c>
      <c r="BG25" s="20">
        <f t="shared" si="7"/>
        <v>188.42454454363443</v>
      </c>
      <c r="BH25" s="59">
        <f t="shared" si="8"/>
        <v>481.75787787696777</v>
      </c>
      <c r="BI25" s="59">
        <f ca="1">AVERAGE(OFFSET($BH$3,0,0,'Données projet'!$E$11+1,1))-AVERAGE(OFFSET($H$3,0,0,'Données projet'!$E$11+1,1))</f>
        <v>180.31844548479722</v>
      </c>
      <c r="BJ25" s="59">
        <f t="shared" si="38"/>
        <v>273.83237400307223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16.207483789348462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16.207483789348462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>
        <f>VLOOKUP(A25,'Données projet'!$A$113:$I$133,2,0)</f>
        <v>129.98461538461538</v>
      </c>
      <c r="BW25" s="12">
        <f>VLOOKUP(A25,'Données projet'!$A$113:$I$133,9,0)</f>
        <v>5.9083916083916082</v>
      </c>
      <c r="BX25" s="12">
        <f t="array" ref="BX25">INDEX(BW:BW,MIN(IF(ISNUMBER(BW25:BW221),ROW(BW25:BW221),"")))</f>
        <v>5.9083916083916082</v>
      </c>
      <c r="BY25" s="12">
        <f>IF('Données projet'!$A$114&gt;35,BY24+BX25-CG24,IF(A25&lt;'Données projet'!$A$114,$BV$205^A25,IF(A25='Données projet'!$A$114,'Données projet'!$B$114,BY24+BX25-CG24)))</f>
        <v>129.98461538461538</v>
      </c>
      <c r="BZ25" s="13">
        <f>BY25*VLOOKUP('Données projet'!$B$12,Paramètres!$A$1:$I$89,3,0)*VLOOKUP('Données projet'!$B$12,Paramètres!$A$1:$I$89,5,0)</f>
        <v>77.730800000000002</v>
      </c>
      <c r="CA25" s="13">
        <f t="shared" si="39"/>
        <v>21.581427176601697</v>
      </c>
      <c r="CB25" s="20">
        <f t="shared" si="10"/>
        <v>172.96879566591463</v>
      </c>
      <c r="CC25" s="59">
        <f t="shared" si="11"/>
        <v>466.30212899924794</v>
      </c>
      <c r="CD25" s="59">
        <f ca="1">AVERAGE(OFFSET($CC$3,0,0,'Données projet'!$E$12+1,1))-AVERAGE(OFFSET($H$3,0,0,'Données projet'!$E$12+1,1))</f>
        <v>214.34615950592251</v>
      </c>
      <c r="CE25" s="59">
        <f t="shared" si="40"/>
        <v>159.66077836853066</v>
      </c>
      <c r="CF25" s="15">
        <f>IF(ISNA(VLOOKUP(A25,'Données projet'!$A$113:$I$133,3,0)),0,VLOOKUP(A25,'Données projet'!$A$113:$I$133,3,0))</f>
        <v>1</v>
      </c>
      <c r="CG25" s="15">
        <f>IF(ISNA(VLOOKUP(A25,'Données projet'!$A$113:$I$133,4,0)),0,VLOOKUP(A25,'Données projet'!$A$113:$I$133,4,0))</f>
        <v>52.746153846153838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0.25200000000000006</v>
      </c>
      <c r="CJ25" s="16">
        <f>IF(ISNA(VLOOKUP(A25,'Données projet'!$A$113:$I$133,7,0)),0%,VLOOKUP(A25,'Données projet'!$A$113:$I$133,7,0))</f>
        <v>0.44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10.502858638823966</v>
      </c>
      <c r="CM25" s="21">
        <f>EXP(-LN(2)/2)*CM24+(1-EXP(-LN(2)/2))/(LN(2)/2)*CG25*CJ25*VLOOKUP('Données projet'!$B$12,Paramètres!$A$1:$I$89,3,0)*0.475*44/12</f>
        <v>15.713762933017286</v>
      </c>
      <c r="CN25" s="22">
        <f t="shared" si="12"/>
        <v>26.216621571841252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10.763999999999999</v>
      </c>
      <c r="D26" s="11">
        <f t="shared" si="32"/>
        <v>3.76187201923933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112.12953839412818</v>
      </c>
      <c r="H26" s="67">
        <f t="shared" si="1"/>
        <v>318.6325604335085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20.658974358974358</v>
      </c>
      <c r="N26" s="13">
        <f>IF('Données projet'!$A$36&gt;35,N25+M26-V25,IF(A26&lt;'Données projet'!$A$36,$K$205^A26,IF(A26='Données projet'!$A$36,'Données projet'!$B$36,N25+M26-V25)))</f>
        <v>216.90256410256404</v>
      </c>
      <c r="O26" s="13">
        <f>N26*VLOOKUP('Données projet'!$B$9,Paramètres!$A$1:$I$89,3,0)*VLOOKUP('Données projet'!$B$9,Paramètres!$A$1:$I$89,5,0)</f>
        <v>121.2485333333333</v>
      </c>
      <c r="P26" s="13">
        <f t="shared" si="33"/>
        <v>31.966023537079113</v>
      </c>
      <c r="Q26" s="20">
        <f t="shared" si="2"/>
        <v>266.84868654930165</v>
      </c>
      <c r="R26" s="59">
        <f t="shared" si="0"/>
        <v>560.1820198826349</v>
      </c>
      <c r="S26" s="59">
        <f ca="1">AVERAGE(OFFSET($R$3,0,0,'Données projet'!$E$9+1,1))-AVERAGE(OFFSET($H$3,0,0,'Données projet'!$E$9+1,1))</f>
        <v>279.32192402750189</v>
      </c>
      <c r="T26" s="59">
        <f t="shared" si="34"/>
        <v>371.43572414443611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13.72171307888455</v>
      </c>
      <c r="AB26" s="21">
        <f>EXP(-LN(2)/2)*AB25+(1-EXP(-LN(2)/2))/(LN(2)/2)*V26*Y26*VLOOKUP('Données projet'!$B$9,Paramètres!$A$1:$I$89,3,0)*0.475*44/12</f>
        <v>3.410843906498124</v>
      </c>
      <c r="AC26" s="22">
        <f t="shared" si="3"/>
        <v>17.132556985382674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5.2912820512820513</v>
      </c>
      <c r="AI26" s="13">
        <f>IF('Données projet'!$A$62&gt;35,AI25+AH26-AQ25,IF(A26&lt;'Données projet'!$A$62,$AF$205^A26,IF(A26='Données projet'!$A$62,'Données projet'!$B$62,AI25+AH26-AQ25)))</f>
        <v>48.661967157964739</v>
      </c>
      <c r="AJ26" s="13">
        <f>AI26*VLOOKUP('Données projet'!$B$10,Paramètres!$A$1:$I$89,3,0)*VLOOKUP('Données projet'!$B$10,Paramètres!$A$1:$I$89,5,0)</f>
        <v>22.773800629927496</v>
      </c>
      <c r="AK26" s="13">
        <f t="shared" si="35"/>
        <v>7.2942742076177201</v>
      </c>
      <c r="AL26" s="20">
        <f t="shared" si="4"/>
        <v>52.36856367539125</v>
      </c>
      <c r="AM26" s="59">
        <f t="shared" si="5"/>
        <v>345.70189700872459</v>
      </c>
      <c r="AN26" s="59">
        <f ca="1">AVERAGE(OFFSET($AM$3,0,0,'Données projet'!$E$10+1,1))-AVERAGE(OFFSET($H$3,0,0,'Données projet'!$E$10+1,1))</f>
        <v>192.20041613277965</v>
      </c>
      <c r="AO26" s="59">
        <f t="shared" si="36"/>
        <v>132.76245212522417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16</v>
      </c>
      <c r="BD26" s="12">
        <f>IF('Données projet'!$A$88&gt;35,BD25+BC26-BL25,IF(A26&lt;'Données projet'!$A$88,$BA$205^A26,IF(A26='Données projet'!$A$88,'Données projet'!$B$88,BD25+BC26-BL25)))</f>
        <v>152</v>
      </c>
      <c r="BE26" s="13">
        <f>BD26*VLOOKUP('Données projet'!$B$11,Paramètres!$A$1:$I$89,3,0)*VLOOKUP('Données projet'!$B$11,Paramètres!$A$1:$I$89,5,0)</f>
        <v>94.847999999999999</v>
      </c>
      <c r="BF26" s="13">
        <f t="shared" si="37"/>
        <v>25.730851751939202</v>
      </c>
      <c r="BG26" s="20">
        <f t="shared" si="7"/>
        <v>210.0081668012941</v>
      </c>
      <c r="BH26" s="59">
        <f t="shared" si="8"/>
        <v>503.34150013462738</v>
      </c>
      <c r="BI26" s="59">
        <f ca="1">AVERAGE(OFFSET($BH$3,0,0,'Données projet'!$E$11+1,1))-AVERAGE(OFFSET($H$3,0,0,'Données projet'!$E$11+1,1))</f>
        <v>180.31844548479722</v>
      </c>
      <c r="BJ26" s="59">
        <f t="shared" si="38"/>
        <v>273.83237400307223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15.764289292814199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15.764289292814199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12.695384615384615</v>
      </c>
      <c r="BY26" s="12">
        <f>IF('Données projet'!$A$114&gt;35,BY25+BX26-CG25,IF(A26&lt;'Données projet'!$A$114,$BV$205^A26,IF(A26='Données projet'!$A$114,'Données projet'!$B$114,BY25+BX26-CG25)))</f>
        <v>89.933846153846162</v>
      </c>
      <c r="BZ26" s="13">
        <f>BY26*VLOOKUP('Données projet'!$B$12,Paramètres!$A$1:$I$89,3,0)*VLOOKUP('Données projet'!$B$12,Paramètres!$A$1:$I$89,5,0)</f>
        <v>53.780440000000013</v>
      </c>
      <c r="CA26" s="13">
        <f t="shared" si="39"/>
        <v>15.5858948320701</v>
      </c>
      <c r="CB26" s="20">
        <f t="shared" si="10"/>
        <v>120.81303316585546</v>
      </c>
      <c r="CC26" s="59">
        <f t="shared" si="11"/>
        <v>414.14636649918879</v>
      </c>
      <c r="CD26" s="59">
        <f ca="1">AVERAGE(OFFSET($CC$3,0,0,'Données projet'!$E$12+1,1))-AVERAGE(OFFSET($H$3,0,0,'Données projet'!$E$12+1,1))</f>
        <v>214.34615950592251</v>
      </c>
      <c r="CE26" s="59">
        <f t="shared" si="40"/>
        <v>159.66077836853066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10.215657417023994</v>
      </c>
      <c r="CM26" s="21">
        <f>EXP(-LN(2)/2)*CM25+(1-EXP(-LN(2)/2))/(LN(2)/2)*CG26*CJ26*VLOOKUP('Données projet'!$B$12,Paramètres!$A$1:$I$89,3,0)*0.475*44/12</f>
        <v>11.111308327894335</v>
      </c>
      <c r="CN26" s="22">
        <f t="shared" si="12"/>
        <v>21.326965744918329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11.231999999999999</v>
      </c>
      <c r="D27" s="11">
        <f t="shared" si="32"/>
        <v>3.9060334113059061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116.85499475394033</v>
      </c>
      <c r="H27" s="67">
        <f t="shared" si="1"/>
        <v>319.69874152469112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237.56153846153845</v>
      </c>
      <c r="L27" s="12">
        <f>VLOOKUP(A27,'Données projet'!$A$35:$I$55,9,0)</f>
        <v>20.658974358974358</v>
      </c>
      <c r="M27" s="12">
        <f t="array" ref="M27">INDEX(L:L,MIN(IF(ISNUMBER(L27:L223),ROW(L27:L223),"")))</f>
        <v>20.658974358974358</v>
      </c>
      <c r="N27" s="13">
        <f>IF('Données projet'!$A$36&gt;35,N26+M27-V26,IF(A27&lt;'Données projet'!$A$36,$K$205^A27,IF(A27='Données projet'!$A$36,'Données projet'!$B$36,N26+M27-V26)))</f>
        <v>237.56153846153839</v>
      </c>
      <c r="O27" s="13">
        <f>N27*VLOOKUP('Données projet'!$B$9,Paramètres!$A$1:$I$89,3,0)*VLOOKUP('Données projet'!$B$9,Paramètres!$A$1:$I$89,5,0)</f>
        <v>132.79689999999997</v>
      </c>
      <c r="P27" s="13">
        <f t="shared" si="33"/>
        <v>34.641837967861036</v>
      </c>
      <c r="Q27" s="20">
        <f t="shared" si="2"/>
        <v>291.62246862735793</v>
      </c>
      <c r="R27" s="59">
        <f t="shared" si="0"/>
        <v>584.95580196069125</v>
      </c>
      <c r="S27" s="59">
        <f ca="1">AVERAGE(OFFSET($R$3,0,0,'Données projet'!$E$9+1,1))-AVERAGE(OFFSET($H$3,0,0,'Données projet'!$E$9+1,1))</f>
        <v>279.32192402750189</v>
      </c>
      <c r="T27" s="59">
        <f t="shared" si="34"/>
        <v>371.43572414443611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42.661538461538463</v>
      </c>
      <c r="W27" s="16">
        <f>IF(ISNA(VLOOKUP(A27,'Données projet'!$A$35:$I$55,5,0)),0%,VLOOKUP(A27,'Données projet'!$A$35:$I$55,5,0)*VLOOKUP('Données projet'!$B$9,Paramètres!$A$1:$I$89,7,0))</f>
        <v>0.38500000000000001</v>
      </c>
      <c r="X27" s="16">
        <f>IF(ISNA(VLOOKUP(A27,'Données projet'!$A$35:$I$55,6,0)),0%,VLOOKUP(A27,'Données projet'!$A$35:$I$55,6,0)*VLOOKUP('Données projet'!$B$9,Paramètres!$A$1:$I$89,7,0))</f>
        <v>9.240000000000001E-2</v>
      </c>
      <c r="Y27" s="16">
        <f>IF(ISNA(VLOOKUP(A27,'Données projet'!$A$35:$I$55,7,0)),0%,VLOOKUP(A27,'Données projet'!$A$35:$I$55,7,0))</f>
        <v>0.13200000000000001</v>
      </c>
      <c r="Z27" s="21">
        <f>EXP(-LN(2)/35)*Z26+(1-EXP(-LN(2)/35))/(LN(2)/35)*V27*W27*VLOOKUP('Données projet'!$B$9,Paramètres!$A$1:$I$89,3,0)*0.475*44/12</f>
        <v>12.179722870865961</v>
      </c>
      <c r="AA27" s="21">
        <f>EXP(-LN(2)/25)*AA26+(1-EXP(-LN(2)/25))/(LN(2)/25)*Calculateur!V27*Calculateur!X27*VLOOKUP('Données projet'!$B$9,Paramètres!$A$1:$I$89,3,0)*0.475*44/12</f>
        <v>16.25811611180935</v>
      </c>
      <c r="AB27" s="21">
        <f>EXP(-LN(2)/2)*AB26+(1-EXP(-LN(2)/2))/(LN(2)/2)*V27*Y27*VLOOKUP('Données projet'!$B$9,Paramètres!$A$1:$I$89,3,0)*0.475*44/12</f>
        <v>5.9759957746672558</v>
      </c>
      <c r="AC27" s="22">
        <f t="shared" si="3"/>
        <v>34.413834757342563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5.2912820512820513</v>
      </c>
      <c r="AI27" s="13">
        <f>IF('Données projet'!$A$62&gt;35,AI26+AH27-AQ26,IF(A27&lt;'Données projet'!$A$62,$AF$205^A27,IF(A27='Données projet'!$A$62,'Données projet'!$B$62,AI26+AH27-AQ26)))</f>
        <v>57.616348844079376</v>
      </c>
      <c r="AJ27" s="13">
        <f>AI27*VLOOKUP('Données projet'!$B$10,Paramètres!$A$1:$I$89,3,0)*VLOOKUP('Données projet'!$B$10,Paramètres!$A$1:$I$89,5,0)</f>
        <v>26.964451259029147</v>
      </c>
      <c r="AK27" s="13">
        <f t="shared" si="35"/>
        <v>8.4683638738570401</v>
      </c>
      <c r="AL27" s="20">
        <f t="shared" si="4"/>
        <v>61.712153023110119</v>
      </c>
      <c r="AM27" s="59">
        <f t="shared" si="5"/>
        <v>355.04548635644346</v>
      </c>
      <c r="AN27" s="59">
        <f ca="1">AVERAGE(OFFSET($AM$3,0,0,'Données projet'!$E$10+1,1))-AVERAGE(OFFSET($H$3,0,0,'Données projet'!$E$10+1,1))</f>
        <v>192.20041613277965</v>
      </c>
      <c r="AO27" s="59">
        <f t="shared" si="36"/>
        <v>132.76245212522417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>
        <f>VLOOKUP(A27,'Données projet'!$A$87:$I$107,2,0)</f>
        <v>168</v>
      </c>
      <c r="BB27" s="12">
        <f>VLOOKUP(A27,'Données projet'!$A$87:$I$107,9,0)</f>
        <v>16</v>
      </c>
      <c r="BC27" s="12">
        <f t="array" ref="BC27">INDEX(BB:BB,MIN(IF(ISNUMBER(BB27:BB223),ROW(BB27:BB223),"")))</f>
        <v>16</v>
      </c>
      <c r="BD27" s="12">
        <f>IF('Données projet'!$A$88&gt;35,BD26+BC27-BL26,IF(A27&lt;'Données projet'!$A$88,$BA$205^A27,IF(A27='Données projet'!$A$88,'Données projet'!$B$88,BD26+BC27-BL26)))</f>
        <v>168</v>
      </c>
      <c r="BE27" s="13">
        <f>BD27*VLOOKUP('Données projet'!$B$11,Paramètres!$A$1:$I$89,3,0)*VLOOKUP('Données projet'!$B$11,Paramètres!$A$1:$I$89,5,0)</f>
        <v>104.83200000000001</v>
      </c>
      <c r="BF27" s="13">
        <f t="shared" si="37"/>
        <v>28.109974371137717</v>
      </c>
      <c r="BG27" s="20">
        <f t="shared" si="7"/>
        <v>231.54060536306486</v>
      </c>
      <c r="BH27" s="59">
        <f t="shared" si="8"/>
        <v>524.87393869639823</v>
      </c>
      <c r="BI27" s="59">
        <f ca="1">AVERAGE(OFFSET($BH$3,0,0,'Données projet'!$E$11+1,1))-AVERAGE(OFFSET($H$3,0,0,'Données projet'!$E$11+1,1))</f>
        <v>180.31844548479722</v>
      </c>
      <c r="BJ27" s="59">
        <f t="shared" si="38"/>
        <v>273.83237400307223</v>
      </c>
      <c r="BK27" s="15">
        <f>IF(ISNA(VLOOKUP(A27,'Données projet'!$A$87:$I$107,3,0)),0,VLOOKUP(A27,'Données projet'!$A$87:$I$107,3,0))</f>
        <v>3</v>
      </c>
      <c r="BL27" s="15">
        <f>IF(ISNA(VLOOKUP(A27,'Données projet'!$A$87:$I$107,4,0)),0,VLOOKUP(A27,'Données projet'!$A$87:$I$107,4,0))</f>
        <v>29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0.48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26.810489914420231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26.810489914420231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12.695384615384615</v>
      </c>
      <c r="BY27" s="12">
        <f>IF('Données projet'!$A$114&gt;35,BY26+BX27-CG26,IF(A27&lt;'Données projet'!$A$114,$BV$205^A27,IF(A27='Données projet'!$A$114,'Données projet'!$B$114,BY26+BX27-CG26)))</f>
        <v>102.62923076923077</v>
      </c>
      <c r="BZ27" s="13">
        <f>BY27*VLOOKUP('Données projet'!$B$12,Paramètres!$A$1:$I$89,3,0)*VLOOKUP('Données projet'!$B$12,Paramètres!$A$1:$I$89,5,0)</f>
        <v>61.372280000000011</v>
      </c>
      <c r="CA27" s="13">
        <f t="shared" si="39"/>
        <v>17.514766499235456</v>
      </c>
      <c r="CB27" s="20">
        <f t="shared" si="10"/>
        <v>137.39493931950179</v>
      </c>
      <c r="CC27" s="59">
        <f t="shared" si="11"/>
        <v>430.72827265283513</v>
      </c>
      <c r="CD27" s="59">
        <f ca="1">AVERAGE(OFFSET($CC$3,0,0,'Données projet'!$E$12+1,1))-AVERAGE(OFFSET($H$3,0,0,'Données projet'!$E$12+1,1))</f>
        <v>214.34615950592251</v>
      </c>
      <c r="CE27" s="59">
        <f t="shared" si="40"/>
        <v>159.66077836853066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9.9363097277373971</v>
      </c>
      <c r="CM27" s="21">
        <f>EXP(-LN(2)/2)*CM26+(1-EXP(-LN(2)/2))/(LN(2)/2)*CG27*CJ27*VLOOKUP('Données projet'!$B$12,Paramètres!$A$1:$I$89,3,0)*0.475*44/12</f>
        <v>7.8568814665086437</v>
      </c>
      <c r="CN27" s="22">
        <f t="shared" si="12"/>
        <v>17.793191194246042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</v>
      </c>
      <c r="D28" s="11">
        <f t="shared" si="32"/>
        <v>4.0494971001980291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121.57506533486197</v>
      </c>
      <c r="H28" s="67">
        <f t="shared" si="1"/>
        <v>320.76370744951157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22.828205128205127</v>
      </c>
      <c r="N28" s="13">
        <f>IF('Données projet'!$A$36&gt;35,N27+M28-V27,IF(A28&lt;'Données projet'!$A$36,$K$205^A28,IF(A28='Données projet'!$A$36,'Données projet'!$B$36,N27+M28-V27)))</f>
        <v>217.72820512820502</v>
      </c>
      <c r="O28" s="13">
        <f>N28*VLOOKUP('Données projet'!$B$9,Paramètres!$A$1:$I$89,3,0)*VLOOKUP('Données projet'!$B$9,Paramètres!$A$1:$I$89,5,0)</f>
        <v>121.71006666666661</v>
      </c>
      <c r="P28" s="13">
        <f t="shared" si="33"/>
        <v>32.073515207801002</v>
      </c>
      <c r="Q28" s="20">
        <f t="shared" si="2"/>
        <v>267.83973843136442</v>
      </c>
      <c r="R28" s="59">
        <f t="shared" si="0"/>
        <v>561.17307176469774</v>
      </c>
      <c r="S28" s="59">
        <f ca="1">AVERAGE(OFFSET($R$3,0,0,'Données projet'!$E$9+1,1))-AVERAGE(OFFSET($H$3,0,0,'Données projet'!$E$9+1,1))</f>
        <v>279.32192402750189</v>
      </c>
      <c r="T28" s="59">
        <f t="shared" si="34"/>
        <v>371.43572414443611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11.940885934265687</v>
      </c>
      <c r="AA28" s="21">
        <f>EXP(-LN(2)/25)*AA27+(1-EXP(-LN(2)/25))/(LN(2)/25)*Calculateur!V28*Calculateur!X28*VLOOKUP('Données projet'!$B$9,Paramètres!$A$1:$I$89,3,0)*0.475*44/12</f>
        <v>15.813537071754755</v>
      </c>
      <c r="AB28" s="21">
        <f>EXP(-LN(2)/2)*AB27+(1-EXP(-LN(2)/2))/(LN(2)/2)*V28*Y28*VLOOKUP('Données projet'!$B$9,Paramètres!$A$1:$I$89,3,0)*0.475*44/12</f>
        <v>4.2256671366093723</v>
      </c>
      <c r="AC28" s="22">
        <f t="shared" si="3"/>
        <v>31.980090142629813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5.2912820512820513</v>
      </c>
      <c r="AI28" s="13">
        <f>IF('Données projet'!$A$62&gt;35,AI27+AH28-AQ27,IF(A28&lt;'Données projet'!$A$62,$AF$205^A28,IF(A28='Données projet'!$A$62,'Données projet'!$B$62,AI27+AH28-AQ27)))</f>
        <v>68.218443437490691</v>
      </c>
      <c r="AJ28" s="13">
        <f>AI28*VLOOKUP('Données projet'!$B$10,Paramètres!$A$1:$I$89,3,0)*VLOOKUP('Données projet'!$B$10,Paramètres!$A$1:$I$89,5,0)</f>
        <v>31.926231528745642</v>
      </c>
      <c r="AK28" s="13">
        <f t="shared" si="35"/>
        <v>9.8314355422988982</v>
      </c>
      <c r="AL28" s="20">
        <f t="shared" si="4"/>
        <v>72.727936815402572</v>
      </c>
      <c r="AM28" s="59">
        <f t="shared" si="5"/>
        <v>366.0612701487359</v>
      </c>
      <c r="AN28" s="59">
        <f ca="1">AVERAGE(OFFSET($AM$3,0,0,'Données projet'!$E$10+1,1))-AVERAGE(OFFSET($H$3,0,0,'Données projet'!$E$10+1,1))</f>
        <v>192.20041613277965</v>
      </c>
      <c r="AO28" s="59">
        <f t="shared" si="36"/>
        <v>132.76245212522417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14.166666666666666</v>
      </c>
      <c r="BD28" s="12">
        <f>IF('Données projet'!$A$88&gt;35,BD27+BC28-BL27,IF(A28&lt;'Données projet'!$A$88,$BA$205^A28,IF(A28='Données projet'!$A$88,'Données projet'!$B$88,BD27+BC28-BL27)))</f>
        <v>153.16666666666666</v>
      </c>
      <c r="BE28" s="13">
        <f>BD28*VLOOKUP('Données projet'!$B$11,Paramètres!$A$1:$I$89,3,0)*VLOOKUP('Données projet'!$B$11,Paramètres!$A$1:$I$89,5,0)</f>
        <v>95.575999999999993</v>
      </c>
      <c r="BF28" s="13">
        <f t="shared" si="37"/>
        <v>25.905281107545633</v>
      </c>
      <c r="BG28" s="20">
        <f t="shared" si="7"/>
        <v>211.57989792897527</v>
      </c>
      <c r="BH28" s="59">
        <f t="shared" si="8"/>
        <v>504.91323126230861</v>
      </c>
      <c r="BI28" s="59">
        <f ca="1">AVERAGE(OFFSET($BH$3,0,0,'Données projet'!$E$11+1,1))-AVERAGE(OFFSET($H$3,0,0,'Données projet'!$E$11+1,1))</f>
        <v>180.31844548479722</v>
      </c>
      <c r="BJ28" s="59">
        <f t="shared" si="38"/>
        <v>273.83237400307223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26.07735565780802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26.07735565780802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12.695384615384615</v>
      </c>
      <c r="BY28" s="12">
        <f>IF('Données projet'!$A$114&gt;35,BY27+BX28-CG27,IF(A28&lt;'Données projet'!$A$114,$BV$205^A28,IF(A28='Données projet'!$A$114,'Données projet'!$B$114,BY27+BX28-CG27)))</f>
        <v>115.32461538461538</v>
      </c>
      <c r="BZ28" s="13">
        <f>BY28*VLOOKUP('Données projet'!$B$12,Paramètres!$A$1:$I$89,3,0)*VLOOKUP('Données projet'!$B$12,Paramètres!$A$1:$I$89,5,0)</f>
        <v>68.964120000000008</v>
      </c>
      <c r="CA28" s="13">
        <f t="shared" si="39"/>
        <v>19.415989273317052</v>
      </c>
      <c r="CB28" s="20">
        <f t="shared" si="10"/>
        <v>153.92869031769388</v>
      </c>
      <c r="CC28" s="59">
        <f t="shared" si="11"/>
        <v>447.26202365102722</v>
      </c>
      <c r="CD28" s="59">
        <f ca="1">AVERAGE(OFFSET($CC$3,0,0,'Données projet'!$E$12+1,1))-AVERAGE(OFFSET($H$3,0,0,'Données projet'!$E$12+1,1))</f>
        <v>214.34615950592251</v>
      </c>
      <c r="CE28" s="59">
        <f t="shared" si="40"/>
        <v>159.66077836853066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9.6646008157045991</v>
      </c>
      <c r="CM28" s="21">
        <f>EXP(-LN(2)/2)*CM27+(1-EXP(-LN(2)/2))/(LN(2)/2)*CG28*CJ28*VLOOKUP('Données projet'!$B$12,Paramètres!$A$1:$I$89,3,0)*0.475*44/12</f>
        <v>5.5556541639471684</v>
      </c>
      <c r="CN28" s="22">
        <f t="shared" si="12"/>
        <v>15.220254979651767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12.167999999999999</v>
      </c>
      <c r="D29" s="11">
        <f t="shared" si="32"/>
        <v>4.1922941870296242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126.28999021566726</v>
      </c>
      <c r="H29" s="67">
        <f t="shared" si="1"/>
        <v>321.82751237574325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22.828205128205127</v>
      </c>
      <c r="N29" s="13">
        <f>IF('Données projet'!$A$36&gt;35,N28+M29-V28,IF(A29&lt;'Données projet'!$A$36,$K$205^A29,IF(A29='Données projet'!$A$36,'Données projet'!$B$36,N28+M29-V28)))</f>
        <v>240.55641025641015</v>
      </c>
      <c r="O29" s="13">
        <f>N29*VLOOKUP('Données projet'!$B$9,Paramètres!$A$1:$I$89,3,0)*VLOOKUP('Données projet'!$B$9,Paramètres!$A$1:$I$89,5,0)</f>
        <v>134.47103333333328</v>
      </c>
      <c r="P29" s="13">
        <f t="shared" si="33"/>
        <v>35.027441907439481</v>
      </c>
      <c r="Q29" s="20">
        <f t="shared" si="2"/>
        <v>295.20984437767919</v>
      </c>
      <c r="R29" s="59">
        <f t="shared" si="0"/>
        <v>588.5431777110125</v>
      </c>
      <c r="S29" s="59">
        <f ca="1">AVERAGE(OFFSET($R$3,0,0,'Données projet'!$E$9+1,1))-AVERAGE(OFFSET($H$3,0,0,'Données projet'!$E$9+1,1))</f>
        <v>279.32192402750189</v>
      </c>
      <c r="T29" s="59">
        <f t="shared" si="34"/>
        <v>371.43572414443611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11.706732444315998</v>
      </c>
      <c r="AA29" s="21">
        <f>EXP(-LN(2)/25)*AA28+(1-EXP(-LN(2)/25))/(LN(2)/25)*Calculateur!V29*Calculateur!X29*VLOOKUP('Données projet'!$B$9,Paramètres!$A$1:$I$89,3,0)*0.475*44/12</f>
        <v>15.38111506892985</v>
      </c>
      <c r="AB29" s="21">
        <f>EXP(-LN(2)/2)*AB28+(1-EXP(-LN(2)/2))/(LN(2)/2)*V29*Y29*VLOOKUP('Données projet'!$B$9,Paramètres!$A$1:$I$89,3,0)*0.475*44/12</f>
        <v>2.9879978873336284</v>
      </c>
      <c r="AC29" s="22">
        <f t="shared" si="3"/>
        <v>30.075845400579475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5.2912820512820513</v>
      </c>
      <c r="AI29" s="13">
        <f>IF('Données projet'!$A$62&gt;35,AI28+AH29-AQ28,IF(A29&lt;'Données projet'!$A$62,$AF$205^A29,IF(A29='Données projet'!$A$62,'Données projet'!$B$62,AI28+AH29-AQ28)))</f>
        <v>80.771449742989631</v>
      </c>
      <c r="AJ29" s="13">
        <f>AI29*VLOOKUP('Données projet'!$B$10,Paramètres!$A$1:$I$89,3,0)*VLOOKUP('Données projet'!$B$10,Paramètres!$A$1:$I$89,5,0)</f>
        <v>37.801038479719146</v>
      </c>
      <c r="AK29" s="13">
        <f t="shared" si="35"/>
        <v>11.413907841250353</v>
      </c>
      <c r="AL29" s="20">
        <f t="shared" si="4"/>
        <v>85.716031509021889</v>
      </c>
      <c r="AM29" s="59">
        <f t="shared" si="5"/>
        <v>379.0493648423552</v>
      </c>
      <c r="AN29" s="59">
        <f ca="1">AVERAGE(OFFSET($AM$3,0,0,'Données projet'!$E$10+1,1))-AVERAGE(OFFSET($H$3,0,0,'Données projet'!$E$10+1,1))</f>
        <v>192.20041613277965</v>
      </c>
      <c r="AO29" s="59">
        <f t="shared" si="36"/>
        <v>132.76245212522417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14.166666666666666</v>
      </c>
      <c r="BD29" s="12">
        <f>IF('Données projet'!$A$88&gt;35,BD28+BC29-BL28,IF(A29&lt;'Données projet'!$A$88,$BA$205^A29,IF(A29='Données projet'!$A$88,'Données projet'!$B$88,BD28+BC29-BL28)))</f>
        <v>167.33333333333331</v>
      </c>
      <c r="BE29" s="13">
        <f>BD29*VLOOKUP('Données projet'!$B$11,Paramètres!$A$1:$I$89,3,0)*VLOOKUP('Données projet'!$B$11,Paramètres!$A$1:$I$89,5,0)</f>
        <v>104.416</v>
      </c>
      <c r="BF29" s="13">
        <f t="shared" si="37"/>
        <v>28.01138818767625</v>
      </c>
      <c r="BG29" s="20">
        <f t="shared" si="7"/>
        <v>230.64436776020281</v>
      </c>
      <c r="BH29" s="59">
        <f t="shared" si="8"/>
        <v>523.9777010935361</v>
      </c>
      <c r="BI29" s="59">
        <f ca="1">AVERAGE(OFFSET($BH$3,0,0,'Données projet'!$E$11+1,1))-AVERAGE(OFFSET($H$3,0,0,'Données projet'!$E$11+1,1))</f>
        <v>180.31844548479722</v>
      </c>
      <c r="BJ29" s="59">
        <f t="shared" si="38"/>
        <v>273.83237400307223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25.364268995996728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25.364268995996728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12.695384615384615</v>
      </c>
      <c r="BY29" s="12">
        <f>IF('Données projet'!$A$114&gt;35,BY28+BX29-CG28,IF(A29&lt;'Données projet'!$A$114,$BV$205^A29,IF(A29='Données projet'!$A$114,'Données projet'!$B$114,BY28+BX29-CG28)))</f>
        <v>128.02000000000001</v>
      </c>
      <c r="BZ29" s="13">
        <f>BY29*VLOOKUP('Données projet'!$B$12,Paramètres!$A$1:$I$89,3,0)*VLOOKUP('Données projet'!$B$12,Paramètres!$A$1:$I$89,5,0)</f>
        <v>76.555960000000013</v>
      </c>
      <c r="CA29" s="13">
        <f t="shared" si="39"/>
        <v>21.292953972936246</v>
      </c>
      <c r="CB29" s="20">
        <f t="shared" si="10"/>
        <v>170.42019183619729</v>
      </c>
      <c r="CC29" s="59">
        <f t="shared" si="11"/>
        <v>463.75352516953058</v>
      </c>
      <c r="CD29" s="59">
        <f ca="1">AVERAGE(OFFSET($CC$3,0,0,'Données projet'!$E$12+1,1))-AVERAGE(OFFSET($H$3,0,0,'Données projet'!$E$12+1,1))</f>
        <v>214.34615950592251</v>
      </c>
      <c r="CE29" s="59">
        <f t="shared" si="40"/>
        <v>159.66077836853066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9.4003217981598883</v>
      </c>
      <c r="CM29" s="21">
        <f>EXP(-LN(2)/2)*CM28+(1-EXP(-LN(2)/2))/(LN(2)/2)*CG29*CJ29*VLOOKUP('Données projet'!$B$12,Paramètres!$A$1:$I$89,3,0)*0.475*44/12</f>
        <v>3.9284407332543223</v>
      </c>
      <c r="CN29" s="22">
        <f t="shared" si="12"/>
        <v>13.32876253141421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12.635999999999999</v>
      </c>
      <c r="D30" s="11">
        <f t="shared" si="32"/>
        <v>4.3344532450369764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130.99998996168895</v>
      </c>
      <c r="H30" s="67">
        <f t="shared" si="1"/>
        <v>322.8902060684394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22.828205128205127</v>
      </c>
      <c r="N30" s="13">
        <f>IF('Données projet'!$A$36&gt;35,N29+M30-V29,IF(A30&lt;'Données projet'!$A$36,$K$205^A30,IF(A30='Données projet'!$A$36,'Données projet'!$B$36,N29+M30-V29)))</f>
        <v>263.38461538461524</v>
      </c>
      <c r="O30" s="13">
        <f>N30*VLOOKUP('Données projet'!$B$9,Paramètres!$A$1:$I$89,3,0)*VLOOKUP('Données projet'!$B$9,Paramètres!$A$1:$I$89,5,0)</f>
        <v>147.23199999999994</v>
      </c>
      <c r="P30" s="13">
        <f t="shared" si="33"/>
        <v>37.948867426510738</v>
      </c>
      <c r="Q30" s="20">
        <f t="shared" si="2"/>
        <v>322.52334410117277</v>
      </c>
      <c r="R30" s="59">
        <f t="shared" si="0"/>
        <v>615.85667743450608</v>
      </c>
      <c r="S30" s="59">
        <f ca="1">AVERAGE(OFFSET($R$3,0,0,'Données projet'!$E$9+1,1))-AVERAGE(OFFSET($H$3,0,0,'Données projet'!$E$9+1,1))</f>
        <v>279.32192402750189</v>
      </c>
      <c r="T30" s="59">
        <f t="shared" si="34"/>
        <v>371.43572414443611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11.477170561484696</v>
      </c>
      <c r="AA30" s="21">
        <f>EXP(-LN(2)/25)*AA29+(1-EXP(-LN(2)/25))/(LN(2)/25)*Calculateur!V30*Calculateur!X30*VLOOKUP('Données projet'!$B$9,Paramètres!$A$1:$I$89,3,0)*0.475*44/12</f>
        <v>14.960517668512276</v>
      </c>
      <c r="AB30" s="21">
        <f>EXP(-LN(2)/2)*AB29+(1-EXP(-LN(2)/2))/(LN(2)/2)*V30*Y30*VLOOKUP('Données projet'!$B$9,Paramètres!$A$1:$I$89,3,0)*0.475*44/12</f>
        <v>2.1128335683046862</v>
      </c>
      <c r="AC30" s="22">
        <f t="shared" si="3"/>
        <v>28.550521798301659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5.2912820512820513</v>
      </c>
      <c r="AI30" s="13">
        <f>IF('Données projet'!$A$62&gt;35,AI29+AH30-AQ29,IF(A30&lt;'Données projet'!$A$62,$AF$205^A30,IF(A30='Données projet'!$A$62,'Données projet'!$B$62,AI29+AH30-AQ29)))</f>
        <v>95.634358757574688</v>
      </c>
      <c r="AJ30" s="13">
        <f>AI30*VLOOKUP('Données projet'!$B$10,Paramètres!$A$1:$I$89,3,0)*VLOOKUP('Données projet'!$B$10,Paramètres!$A$1:$I$89,5,0)</f>
        <v>44.756879898544952</v>
      </c>
      <c r="AK30" s="13">
        <f t="shared" si="35"/>
        <v>13.251095595149819</v>
      </c>
      <c r="AL30" s="20">
        <f t="shared" si="4"/>
        <v>101.03055731818506</v>
      </c>
      <c r="AM30" s="59">
        <f t="shared" si="5"/>
        <v>394.36389065151837</v>
      </c>
      <c r="AN30" s="59">
        <f ca="1">AVERAGE(OFFSET($AM$3,0,0,'Données projet'!$E$10+1,1))-AVERAGE(OFFSET($H$3,0,0,'Données projet'!$E$10+1,1))</f>
        <v>192.20041613277965</v>
      </c>
      <c r="AO30" s="59">
        <f t="shared" si="36"/>
        <v>132.76245212522417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14.166666666666666</v>
      </c>
      <c r="BD30" s="12">
        <f>IF('Données projet'!$A$88&gt;35,BD29+BC30-BL29,IF(A30&lt;'Données projet'!$A$88,$BA$205^A30,IF(A30='Données projet'!$A$88,'Données projet'!$B$88,BD29+BC30-BL29)))</f>
        <v>181.49999999999997</v>
      </c>
      <c r="BE30" s="13">
        <f>BD30*VLOOKUP('Données projet'!$B$11,Paramètres!$A$1:$I$89,3,0)*VLOOKUP('Données projet'!$B$11,Paramètres!$A$1:$I$89,5,0)</f>
        <v>113.25599999999997</v>
      </c>
      <c r="BF30" s="13">
        <f t="shared" si="37"/>
        <v>30.096816336106439</v>
      </c>
      <c r="BG30" s="20">
        <f t="shared" si="7"/>
        <v>249.67282178538531</v>
      </c>
      <c r="BH30" s="59">
        <f t="shared" si="8"/>
        <v>543.00615511871865</v>
      </c>
      <c r="BI30" s="59">
        <f ca="1">AVERAGE(OFFSET($BH$3,0,0,'Données projet'!$E$11+1,1))-AVERAGE(OFFSET($H$3,0,0,'Données projet'!$E$11+1,1))</f>
        <v>180.31844548479722</v>
      </c>
      <c r="BJ30" s="59">
        <f t="shared" si="38"/>
        <v>273.83237400307223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24.670681726452262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24.670681726452262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>
        <f>VLOOKUP(A30,'Données projet'!$A$113:$I$133,2,0)</f>
        <v>140.71538461538461</v>
      </c>
      <c r="BW30" s="12">
        <f>VLOOKUP(A30,'Données projet'!$A$113:$I$133,9,0)</f>
        <v>12.695384615384615</v>
      </c>
      <c r="BX30" s="12">
        <f t="array" ref="BX30">INDEX(BW:BW,MIN(IF(ISNUMBER(BW30:BW226),ROW(BW30:BW226),"")))</f>
        <v>12.695384615384615</v>
      </c>
      <c r="BY30" s="12">
        <f>IF('Données projet'!$A$114&gt;35,BY29+BX30-CG29,IF(A30&lt;'Données projet'!$A$114,$BV$205^A30,IF(A30='Données projet'!$A$114,'Données projet'!$B$114,BY29+BX30-CG29)))</f>
        <v>140.71538461538464</v>
      </c>
      <c r="BZ30" s="13">
        <f>BY30*VLOOKUP('Données projet'!$B$12,Paramètres!$A$1:$I$89,3,0)*VLOOKUP('Données projet'!$B$12,Paramètres!$A$1:$I$89,5,0)</f>
        <v>84.147800000000018</v>
      </c>
      <c r="CA30" s="13">
        <f t="shared" si="39"/>
        <v>23.148340019013897</v>
      </c>
      <c r="CB30" s="20">
        <f t="shared" si="10"/>
        <v>186.8741105331159</v>
      </c>
      <c r="CC30" s="59">
        <f t="shared" si="11"/>
        <v>480.20744386644924</v>
      </c>
      <c r="CD30" s="59">
        <f ca="1">AVERAGE(OFFSET($CC$3,0,0,'Données projet'!$E$12+1,1))-AVERAGE(OFFSET($H$3,0,0,'Données projet'!$E$12+1,1))</f>
        <v>214.34615950592251</v>
      </c>
      <c r="CE30" s="59">
        <f t="shared" si="40"/>
        <v>159.66077836853066</v>
      </c>
      <c r="CF30" s="15">
        <f>IF(ISNA(VLOOKUP(A30,'Données projet'!$A$113:$I$133,3,0)),0,VLOOKUP(A30,'Données projet'!$A$113:$I$133,3,0))</f>
        <v>2</v>
      </c>
      <c r="CG30" s="15">
        <f>IF(ISNA(VLOOKUP(A30,'Données projet'!$A$113:$I$133,4,0)),0,VLOOKUP(A30,'Données projet'!$A$113:$I$133,4,0))</f>
        <v>34.646153846153844</v>
      </c>
      <c r="CH30" s="16">
        <f>IF(ISNA(VLOOKUP(A30,'Données projet'!$A$113:$I$133,5,0)),0%,VLOOKUP(A30,'Données projet'!$A$113:$I$133,5,0)*VLOOKUP('Données projet'!$B$12,Paramètres!$A$1:$I$89,7,0))</f>
        <v>0.315</v>
      </c>
      <c r="CI30" s="16">
        <f>IF(ISNA(VLOOKUP(A30,'Données projet'!$A$113:$I$133,6,0)),0%,VLOOKUP(A30,'Données projet'!$A$113:$I$133,6,0)*VLOOKUP('Données projet'!$B$12,Paramètres!$A$1:$I$89,7,0))</f>
        <v>7.5600000000000001E-2</v>
      </c>
      <c r="CJ30" s="16">
        <f>IF(ISNA(VLOOKUP(A30,'Données projet'!$A$113:$I$133,7,0)),0%,VLOOKUP(A30,'Données projet'!$A$113:$I$133,7,0))</f>
        <v>0.13200000000000001</v>
      </c>
      <c r="CK30" s="21">
        <f>EXP(-LN(2)/35)*CK29+(1-EXP(-LN(2)/35))/(LN(2)/35)*CG30*CH30*VLOOKUP('Données projet'!$B$12,Paramètres!$A$1:$I$89,3,0)*0.475*44/12</f>
        <v>8.6575522992772491</v>
      </c>
      <c r="CL30" s="21">
        <f>EXP(-LN(2)/25)*CL29+(1-EXP(-LN(2)/25))/(LN(2)/25)*Calculateur!CG30*Calculateur!CI30*VLOOKUP('Données projet'!$B$12,Paramètres!$A$1:$I$89,3,0)*0.475*44/12</f>
        <v>11.212900916349115</v>
      </c>
      <c r="CM30" s="21">
        <f>EXP(-LN(2)/2)*CM29+(1-EXP(-LN(2)/2))/(LN(2)/2)*CG30*CJ30*VLOOKUP('Données projet'!$B$12,Paramètres!$A$1:$I$89,3,0)*0.475*44/12</f>
        <v>5.8742885775391311</v>
      </c>
      <c r="CN30" s="22">
        <f t="shared" si="12"/>
        <v>25.744741793165495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13.103999999999999</v>
      </c>
      <c r="D31" s="11">
        <f t="shared" si="32"/>
        <v>4.4760006109979793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135.70526787437038</v>
      </c>
      <c r="H31" s="67">
        <f t="shared" si="1"/>
        <v>323.95183439748814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22.828205128205127</v>
      </c>
      <c r="N31" s="13">
        <f>IF('Données projet'!$A$36&gt;35,N30+M31-V30,IF(A31&lt;'Données projet'!$A$36,$K$205^A31,IF(A31='Données projet'!$A$36,'Données projet'!$B$36,N30+M31-V30)))</f>
        <v>286.21282051282037</v>
      </c>
      <c r="O31" s="13">
        <f>N31*VLOOKUP('Données projet'!$B$9,Paramètres!$A$1:$I$89,3,0)*VLOOKUP('Données projet'!$B$9,Paramètres!$A$1:$I$89,5,0)</f>
        <v>159.99296666666658</v>
      </c>
      <c r="P31" s="13">
        <f t="shared" si="33"/>
        <v>40.840929014671453</v>
      </c>
      <c r="Q31" s="20">
        <f t="shared" si="2"/>
        <v>349.785701644997</v>
      </c>
      <c r="R31" s="59">
        <f t="shared" si="0"/>
        <v>643.11903497833032</v>
      </c>
      <c r="S31" s="59">
        <f ca="1">AVERAGE(OFFSET($R$3,0,0,'Données projet'!$E$9+1,1))-AVERAGE(OFFSET($H$3,0,0,'Données projet'!$E$9+1,1))</f>
        <v>279.32192402750189</v>
      </c>
      <c r="T31" s="59">
        <f t="shared" si="34"/>
        <v>371.43572414443611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11.252110247156793</v>
      </c>
      <c r="AA31" s="21">
        <f>EXP(-LN(2)/25)*AA30+(1-EXP(-LN(2)/25))/(LN(2)/25)*Calculateur!V31*Calculateur!X31*VLOOKUP('Données projet'!$B$9,Paramètres!$A$1:$I$89,3,0)*0.475*44/12</f>
        <v>14.551421526127376</v>
      </c>
      <c r="AB31" s="21">
        <f>EXP(-LN(2)/2)*AB30+(1-EXP(-LN(2)/2))/(LN(2)/2)*V31*Y31*VLOOKUP('Données projet'!$B$9,Paramètres!$A$1:$I$89,3,0)*0.475*44/12</f>
        <v>1.4939989436668142</v>
      </c>
      <c r="AC31" s="22">
        <f t="shared" si="3"/>
        <v>27.297530716950984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5.2912820512820513</v>
      </c>
      <c r="AI31" s="13">
        <f>IF('Données projet'!$A$62&gt;35,AI30+AH31-AQ30,IF(A31&lt;'Données projet'!$A$62,$AF$205^A31,IF(A31='Données projet'!$A$62,'Données projet'!$B$62,AI30+AH31-AQ30)))</f>
        <v>113.23222009849215</v>
      </c>
      <c r="AJ31" s="13">
        <f>AI31*VLOOKUP('Données projet'!$B$10,Paramètres!$A$1:$I$89,3,0)*VLOOKUP('Données projet'!$B$10,Paramètres!$A$1:$I$89,5,0)</f>
        <v>52.992679006094328</v>
      </c>
      <c r="AK31" s="13">
        <f t="shared" si="35"/>
        <v>15.383997918504607</v>
      </c>
      <c r="AL31" s="20">
        <f t="shared" si="4"/>
        <v>119.08937897700982</v>
      </c>
      <c r="AM31" s="59">
        <f t="shared" si="5"/>
        <v>412.42271231034312</v>
      </c>
      <c r="AN31" s="59">
        <f ca="1">AVERAGE(OFFSET($AM$3,0,0,'Données projet'!$E$10+1,1))-AVERAGE(OFFSET($H$3,0,0,'Données projet'!$E$10+1,1))</f>
        <v>192.20041613277965</v>
      </c>
      <c r="AO31" s="59">
        <f t="shared" si="36"/>
        <v>132.76245212522417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14.166666666666666</v>
      </c>
      <c r="BD31" s="12">
        <f>IF('Données projet'!$A$88&gt;35,BD30+BC31-BL30,IF(A31&lt;'Données projet'!$A$88,$BA$205^A31,IF(A31='Données projet'!$A$88,'Données projet'!$B$88,BD30+BC31-BL30)))</f>
        <v>195.66666666666663</v>
      </c>
      <c r="BE31" s="13">
        <f>BD31*VLOOKUP('Données projet'!$B$11,Paramètres!$A$1:$I$89,3,0)*VLOOKUP('Données projet'!$B$11,Paramètres!$A$1:$I$89,5,0)</f>
        <v>122.09599999999998</v>
      </c>
      <c r="BF31" s="13">
        <f t="shared" si="37"/>
        <v>32.163363121463028</v>
      </c>
      <c r="BG31" s="20">
        <f t="shared" si="7"/>
        <v>268.6683907698814</v>
      </c>
      <c r="BH31" s="59">
        <f t="shared" si="8"/>
        <v>562.00172410321466</v>
      </c>
      <c r="BI31" s="59">
        <f ca="1">AVERAGE(OFFSET($BH$3,0,0,'Données projet'!$E$11+1,1))-AVERAGE(OFFSET($H$3,0,0,'Données projet'!$E$11+1,1))</f>
        <v>180.31844548479722</v>
      </c>
      <c r="BJ31" s="59">
        <f t="shared" si="38"/>
        <v>273.83237400307223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23.996060637267657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23.996060637267657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12.971794871794875</v>
      </c>
      <c r="BY31" s="12">
        <f>IF('Données projet'!$A$114&gt;35,BY30+BX31-CG30,IF(A31&lt;'Données projet'!$A$114,$BV$205^A31,IF(A31='Données projet'!$A$114,'Données projet'!$B$114,BY30+BX31-CG30)))</f>
        <v>119.04102564102567</v>
      </c>
      <c r="BZ31" s="13">
        <f>BY31*VLOOKUP('Données projet'!$B$12,Paramètres!$A$1:$I$89,3,0)*VLOOKUP('Données projet'!$B$12,Paramètres!$A$1:$I$89,5,0)</f>
        <v>71.186533333333358</v>
      </c>
      <c r="CA31" s="13">
        <f t="shared" si="39"/>
        <v>19.967826748678</v>
      </c>
      <c r="CB31" s="20">
        <f t="shared" si="10"/>
        <v>158.76051047616977</v>
      </c>
      <c r="CC31" s="59">
        <f t="shared" si="11"/>
        <v>452.09384380950308</v>
      </c>
      <c r="CD31" s="59">
        <f ca="1">AVERAGE(OFFSET($CC$3,0,0,'Données projet'!$E$12+1,1))-AVERAGE(OFFSET($H$3,0,0,'Données projet'!$E$12+1,1))</f>
        <v>214.34615950592251</v>
      </c>
      <c r="CE31" s="59">
        <f t="shared" si="40"/>
        <v>159.66077836853066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8.487782979273911</v>
      </c>
      <c r="CL31" s="21">
        <f>EXP(-LN(2)/25)*CL30+(1-EXP(-LN(2)/25))/(LN(2)/25)*Calculateur!CG31*Calculateur!CI31*VLOOKUP('Données projet'!$B$12,Paramètres!$A$1:$I$89,3,0)*0.475*44/12</f>
        <v>10.906283551130716</v>
      </c>
      <c r="CM31" s="21">
        <f>EXP(-LN(2)/2)*CM30+(1-EXP(-LN(2)/2))/(LN(2)/2)*CG31*CJ31*VLOOKUP('Données projet'!$B$12,Paramètres!$A$1:$I$89,3,0)*0.475*44/12</f>
        <v>4.1537492878245983</v>
      </c>
      <c r="CN31" s="22">
        <f t="shared" si="12"/>
        <v>23.547815818229228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13.571999999999999</v>
      </c>
      <c r="D32" s="11">
        <f t="shared" si="32"/>
        <v>4.6169606338501863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140.40601191042251</v>
      </c>
      <c r="H32" s="67">
        <f t="shared" si="1"/>
        <v>325.01243977062239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22.828205128205127</v>
      </c>
      <c r="N32" s="13">
        <f>IF('Données projet'!$A$36&gt;35,N31+M32-V31,IF(A32&lt;'Données projet'!$A$36,$K$205^A32,IF(A32='Données projet'!$A$36,'Données projet'!$B$36,N31+M32-V31)))</f>
        <v>309.0410256410255</v>
      </c>
      <c r="O32" s="13">
        <f>N32*VLOOKUP('Données projet'!$B$9,Paramètres!$A$1:$I$89,3,0)*VLOOKUP('Données projet'!$B$9,Paramètres!$A$1:$I$89,5,0)</f>
        <v>172.75393333333326</v>
      </c>
      <c r="P32" s="13">
        <f t="shared" si="33"/>
        <v>43.706234996805463</v>
      </c>
      <c r="Q32" s="20">
        <f t="shared" si="2"/>
        <v>377.00145984165829</v>
      </c>
      <c r="R32" s="59">
        <f t="shared" si="0"/>
        <v>670.33479317499155</v>
      </c>
      <c r="S32" s="59">
        <f ca="1">AVERAGE(OFFSET($R$3,0,0,'Données projet'!$E$9+1,1))-AVERAGE(OFFSET($H$3,0,0,'Données projet'!$E$9+1,1))</f>
        <v>279.32192402750189</v>
      </c>
      <c r="T32" s="59">
        <f t="shared" si="34"/>
        <v>371.43572414443611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11.031463228319623</v>
      </c>
      <c r="AA32" s="21">
        <f>EXP(-LN(2)/25)*AA31+(1-EXP(-LN(2)/25))/(LN(2)/25)*Calculateur!V32*Calculateur!X32*VLOOKUP('Données projet'!$B$9,Paramètres!$A$1:$I$89,3,0)*0.475*44/12</f>
        <v>14.153512139269422</v>
      </c>
      <c r="AB32" s="21">
        <f>EXP(-LN(2)/2)*AB31+(1-EXP(-LN(2)/2))/(LN(2)/2)*V32*Y32*VLOOKUP('Données projet'!$B$9,Paramètres!$A$1:$I$89,3,0)*0.475*44/12</f>
        <v>1.0564167841523431</v>
      </c>
      <c r="AC32" s="22">
        <f t="shared" si="3"/>
        <v>26.24139215174139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5.2912820512820513</v>
      </c>
      <c r="AI32" s="13">
        <f>IF('Données projet'!$A$62&gt;35,AI31+AH32-AQ31,IF(A32&lt;'Données projet'!$A$62,$AF$205^A32,IF(A32='Données projet'!$A$62,'Données projet'!$B$62,AI31+AH32-AQ31)))</f>
        <v>134.06829757634409</v>
      </c>
      <c r="AJ32" s="13">
        <f>AI32*VLOOKUP('Données projet'!$B$10,Paramètres!$A$1:$I$89,3,0)*VLOOKUP('Données projet'!$B$10,Paramètres!$A$1:$I$89,5,0)</f>
        <v>62.743963265729036</v>
      </c>
      <c r="AK32" s="13">
        <f t="shared" si="35"/>
        <v>17.860213161784099</v>
      </c>
      <c r="AL32" s="20">
        <f t="shared" si="4"/>
        <v>140.38560727791869</v>
      </c>
      <c r="AM32" s="59">
        <f t="shared" si="5"/>
        <v>433.71894061125204</v>
      </c>
      <c r="AN32" s="59">
        <f ca="1">AVERAGE(OFFSET($AM$3,0,0,'Données projet'!$E$10+1,1))-AVERAGE(OFFSET($H$3,0,0,'Données projet'!$E$10+1,1))</f>
        <v>192.20041613277965</v>
      </c>
      <c r="AO32" s="59">
        <f t="shared" si="36"/>
        <v>132.76245212522417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14.166666666666666</v>
      </c>
      <c r="BD32" s="12">
        <f>IF('Données projet'!$A$88&gt;35,BD31+BC32-BL31,IF(A32&lt;'Données projet'!$A$88,$BA$205^A32,IF(A32='Données projet'!$A$88,'Données projet'!$B$88,BD31+BC32-BL31)))</f>
        <v>209.83333333333329</v>
      </c>
      <c r="BE32" s="13">
        <f>BD32*VLOOKUP('Données projet'!$B$11,Paramètres!$A$1:$I$89,3,0)*VLOOKUP('Données projet'!$B$11,Paramètres!$A$1:$I$89,5,0)</f>
        <v>130.93599999999998</v>
      </c>
      <c r="BF32" s="13">
        <f t="shared" si="37"/>
        <v>34.21255106176632</v>
      </c>
      <c r="BG32" s="20">
        <f t="shared" si="7"/>
        <v>287.63372643257628</v>
      </c>
      <c r="BH32" s="59">
        <f t="shared" si="8"/>
        <v>580.96705976590965</v>
      </c>
      <c r="BI32" s="59">
        <f ca="1">AVERAGE(OFFSET($BH$3,0,0,'Données projet'!$E$11+1,1))-AVERAGE(OFFSET($H$3,0,0,'Données projet'!$E$11+1,1))</f>
        <v>180.31844548479722</v>
      </c>
      <c r="BJ32" s="59">
        <f t="shared" si="38"/>
        <v>273.83237400307223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23.339887097243587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23.339887097243587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12.971794871794875</v>
      </c>
      <c r="BY32" s="12">
        <f>IF('Données projet'!$A$114&gt;35,BY31+BX32-CG31,IF(A32&lt;'Données projet'!$A$114,$BV$205^A32,IF(A32='Données projet'!$A$114,'Données projet'!$B$114,BY31+BX32-CG31)))</f>
        <v>132.01282051282055</v>
      </c>
      <c r="BZ32" s="13">
        <f>BY32*VLOOKUP('Données projet'!$B$12,Paramètres!$A$1:$I$89,3,0)*VLOOKUP('Données projet'!$B$12,Paramètres!$A$1:$I$89,5,0)</f>
        <v>78.943666666666701</v>
      </c>
      <c r="CA32" s="13">
        <f t="shared" si="39"/>
        <v>21.878705672057283</v>
      </c>
      <c r="CB32" s="20">
        <f t="shared" si="10"/>
        <v>175.59896515661092</v>
      </c>
      <c r="CC32" s="59">
        <f t="shared" si="11"/>
        <v>468.93229848994423</v>
      </c>
      <c r="CD32" s="59">
        <f ca="1">AVERAGE(OFFSET($CC$3,0,0,'Données projet'!$E$12+1,1))-AVERAGE(OFFSET($H$3,0,0,'Données projet'!$E$12+1,1))</f>
        <v>214.34615950592251</v>
      </c>
      <c r="CE32" s="59">
        <f t="shared" si="40"/>
        <v>159.66077836853066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8.3213427320867766</v>
      </c>
      <c r="CL32" s="21">
        <f>EXP(-LN(2)/25)*CL31+(1-EXP(-LN(2)/25))/(LN(2)/25)*Calculateur!CG32*Calculateur!CI32*VLOOKUP('Données projet'!$B$12,Paramètres!$A$1:$I$89,3,0)*0.475*44/12</f>
        <v>10.608050653888522</v>
      </c>
      <c r="CM32" s="21">
        <f>EXP(-LN(2)/2)*CM31+(1-EXP(-LN(2)/2))/(LN(2)/2)*CG32*CJ32*VLOOKUP('Données projet'!$B$12,Paramètres!$A$1:$I$89,3,0)*0.475*44/12</f>
        <v>2.937144288769566</v>
      </c>
      <c r="CN32" s="22">
        <f t="shared" si="12"/>
        <v>21.866537674744865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14.04</v>
      </c>
      <c r="D33" s="11">
        <f t="shared" si="32"/>
        <v>4.75735588805329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145.10239632883244</v>
      </c>
      <c r="H33" s="67">
        <f t="shared" si="1"/>
        <v>326.07206150502611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331.86923076923074</v>
      </c>
      <c r="L33" s="12">
        <f>VLOOKUP(A33,'Données projet'!$A$35:$I$55,9,0)</f>
        <v>22.828205128205127</v>
      </c>
      <c r="M33" s="12">
        <f t="array" ref="M33">INDEX(L:L,MIN(IF(ISNUMBER(L33:L229),ROW(L33:L229),"")))</f>
        <v>22.828205128205127</v>
      </c>
      <c r="N33" s="13">
        <f>IF('Données projet'!$A$36&gt;35,N32+M33-V32,IF(A33&lt;'Données projet'!$A$36,$K$205^A33,IF(A33='Données projet'!$A$36,'Données projet'!$B$36,N32+M33-V32)))</f>
        <v>331.86923076923063</v>
      </c>
      <c r="O33" s="13">
        <f>N33*VLOOKUP('Données projet'!$B$9,Paramètres!$A$1:$I$89,3,0)*VLOOKUP('Données projet'!$B$9,Paramètres!$A$1:$I$89,5,0)</f>
        <v>185.5148999999999</v>
      </c>
      <c r="P33" s="13">
        <f t="shared" si="33"/>
        <v>46.546986497298995</v>
      </c>
      <c r="Q33" s="20">
        <f t="shared" si="2"/>
        <v>404.17445231612891</v>
      </c>
      <c r="R33" s="59">
        <f t="shared" si="0"/>
        <v>697.50778564946222</v>
      </c>
      <c r="S33" s="59">
        <f ca="1">AVERAGE(OFFSET($R$3,0,0,'Données projet'!$E$9+1,1))-AVERAGE(OFFSET($H$3,0,0,'Données projet'!$E$9+1,1))</f>
        <v>279.32192402750189</v>
      </c>
      <c r="T33" s="59">
        <f t="shared" si="34"/>
        <v>371.43572414443611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65.669230769230765</v>
      </c>
      <c r="W33" s="16">
        <f>IF(ISNA(VLOOKUP(A33,'Données projet'!$A$35:$I$55,5,0)),0%,VLOOKUP(A33,'Données projet'!$A$35:$I$55,5,0)*VLOOKUP('Données projet'!$B$9,Paramètres!$A$1:$I$89,7,0))</f>
        <v>0.38500000000000001</v>
      </c>
      <c r="X33" s="16">
        <f>IF(ISNA(VLOOKUP(A33,'Données projet'!$A$35:$I$55,6,0)),0%,VLOOKUP(A33,'Données projet'!$A$35:$I$55,6,0)*VLOOKUP('Données projet'!$B$9,Paramètres!$A$1:$I$89,7,0))</f>
        <v>9.240000000000001E-2</v>
      </c>
      <c r="Y33" s="16">
        <f>IF(ISNA(VLOOKUP(A33,'Données projet'!$A$35:$I$55,7,0)),0%,VLOOKUP(A33,'Données projet'!$A$35:$I$55,7,0))</f>
        <v>0.13200000000000001</v>
      </c>
      <c r="Z33" s="21">
        <f>EXP(-LN(2)/35)*Z32+(1-EXP(-LN(2)/35))/(LN(2)/35)*V33*W33*VLOOKUP('Données projet'!$B$9,Paramètres!$A$1:$I$89,3,0)*0.475*44/12</f>
        <v>29.563483054643072</v>
      </c>
      <c r="AA33" s="21">
        <f>EXP(-LN(2)/25)*AA32+(1-EXP(-LN(2)/25))/(LN(2)/25)*Calculateur!V33*Calculateur!X33*VLOOKUP('Données projet'!$B$9,Paramètres!$A$1:$I$89,3,0)*0.475*44/12</f>
        <v>18.248368581460394</v>
      </c>
      <c r="AB33" s="21">
        <f>EXP(-LN(2)/2)*AB32+(1-EXP(-LN(2)/2))/(LN(2)/2)*V33*Y33*VLOOKUP('Données projet'!$B$9,Paramètres!$A$1:$I$89,3,0)*0.475*44/12</f>
        <v>6.233345651406407</v>
      </c>
      <c r="AC33" s="22">
        <f t="shared" si="3"/>
        <v>54.045197287509879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158.73846153846154</v>
      </c>
      <c r="AG33" s="12">
        <f>VLOOKUP(A33,'Données projet'!$A$61:$I$81,9,0)</f>
        <v>5.2912820512820513</v>
      </c>
      <c r="AH33" s="12">
        <f t="array" ref="AH33">INDEX(AG:AG,MIN(IF(ISNUMBER(AG33:AG229),ROW(AG33:AG229),"")))</f>
        <v>5.2912820512820513</v>
      </c>
      <c r="AI33" s="13">
        <f>IF('Données projet'!$A$62&gt;35,AI32+AH33-AQ32,IF(A33&lt;'Données projet'!$A$62,$AF$205^A33,IF(A33='Données projet'!$A$62,'Données projet'!$B$62,AI32+AH33-AQ32)))</f>
        <v>158.73846153846154</v>
      </c>
      <c r="AJ33" s="13">
        <f>AI33*VLOOKUP('Données projet'!$B$10,Paramètres!$A$1:$I$89,3,0)*VLOOKUP('Données projet'!$B$10,Paramètres!$A$1:$I$89,5,0)</f>
        <v>74.289599999999993</v>
      </c>
      <c r="AK33" s="13">
        <f t="shared" si="35"/>
        <v>20.735001127416453</v>
      </c>
      <c r="AL33" s="20">
        <f t="shared" si="4"/>
        <v>165.50118029691697</v>
      </c>
      <c r="AM33" s="59">
        <f t="shared" si="5"/>
        <v>458.83451363025029</v>
      </c>
      <c r="AN33" s="59">
        <f ca="1">AVERAGE(OFFSET($AM$3,0,0,'Données projet'!$E$10+1,1))-AVERAGE(OFFSET($H$3,0,0,'Données projet'!$E$10+1,1))</f>
        <v>192.20041613277965</v>
      </c>
      <c r="AO33" s="59">
        <f t="shared" si="36"/>
        <v>132.76245212522417</v>
      </c>
      <c r="AP33" s="15" t="str">
        <f>IF(ISNA(VLOOKUP(A33,'Données projet'!$A$61:$I$81,3,0)),0,VLOOKUP(A33,'Données projet'!$A$61:$I$81,3,0))</f>
        <v>na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224</v>
      </c>
      <c r="BB33" s="12">
        <f>VLOOKUP(A33,'Données projet'!$A$87:$I$107,9,0)</f>
        <v>14.166666666666666</v>
      </c>
      <c r="BC33" s="12">
        <f t="array" ref="BC33">INDEX(BB:BB,MIN(IF(ISNUMBER(BB33:BB229),ROW(BB33:BB229),"")))</f>
        <v>14.166666666666666</v>
      </c>
      <c r="BD33" s="12">
        <f>IF('Données projet'!$A$88&gt;35,BD32+BC33-BL32,IF(A33&lt;'Données projet'!$A$88,$BA$205^A33,IF(A33='Données projet'!$A$88,'Données projet'!$B$88,BD32+BC33-BL32)))</f>
        <v>223.99999999999994</v>
      </c>
      <c r="BE33" s="13">
        <f>BD33*VLOOKUP('Données projet'!$B$11,Paramètres!$A$1:$I$89,3,0)*VLOOKUP('Données projet'!$B$11,Paramètres!$A$1:$I$89,5,0)</f>
        <v>139.77599999999995</v>
      </c>
      <c r="BF33" s="13">
        <f t="shared" si="37"/>
        <v>36.245685459195258</v>
      </c>
      <c r="BG33" s="20">
        <f t="shared" si="7"/>
        <v>306.57110217476503</v>
      </c>
      <c r="BH33" s="59">
        <f t="shared" si="8"/>
        <v>599.90443550809835</v>
      </c>
      <c r="BI33" s="59">
        <f ca="1">AVERAGE(OFFSET($BH$3,0,0,'Données projet'!$E$11+1,1))-AVERAGE(OFFSET($H$3,0,0,'Données projet'!$E$11+1,1))</f>
        <v>180.31844548479722</v>
      </c>
      <c r="BJ33" s="59">
        <f t="shared" si="38"/>
        <v>273.83237400307223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53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0.48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43.677367860291142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43.677367860291142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144.98461538461538</v>
      </c>
      <c r="BW33" s="12">
        <f>VLOOKUP(A33,'Données projet'!$A$113:$I$133,9,0)</f>
        <v>12.971794871794875</v>
      </c>
      <c r="BX33" s="12">
        <f t="array" ref="BX33">INDEX(BW:BW,MIN(IF(ISNUMBER(BW33:BW229),ROW(BW33:BW229),"")))</f>
        <v>12.971794871794875</v>
      </c>
      <c r="BY33" s="12">
        <f>IF('Données projet'!$A$114&gt;35,BY32+BX33-CG32,IF(A33&lt;'Données projet'!$A$114,$BV$205^A33,IF(A33='Données projet'!$A$114,'Données projet'!$B$114,BY32+BX33-CG32)))</f>
        <v>144.98461538461544</v>
      </c>
      <c r="BZ33" s="13">
        <f>BY33*VLOOKUP('Données projet'!$B$12,Paramètres!$A$1:$I$89,3,0)*VLOOKUP('Données projet'!$B$12,Paramètres!$A$1:$I$89,5,0)</f>
        <v>86.700800000000044</v>
      </c>
      <c r="CA33" s="13">
        <f t="shared" si="39"/>
        <v>23.767816195343574</v>
      </c>
      <c r="CB33" s="20">
        <f t="shared" si="10"/>
        <v>192.39950654022346</v>
      </c>
      <c r="CC33" s="59">
        <f t="shared" si="11"/>
        <v>485.73283987355677</v>
      </c>
      <c r="CD33" s="59">
        <f ca="1">AVERAGE(OFFSET($CC$3,0,0,'Données projet'!$E$12+1,1))-AVERAGE(OFFSET($H$3,0,0,'Données projet'!$E$12+1,1))</f>
        <v>214.34615950592251</v>
      </c>
      <c r="CE33" s="59">
        <f t="shared" si="40"/>
        <v>159.66077836853066</v>
      </c>
      <c r="CF33" s="15" t="str">
        <f>IF(ISNA(VLOOKUP(A33,'Données projet'!$A$113:$I$133,3,0)),0,VLOOKUP(A33,'Données projet'!$A$113:$I$133,3,0))</f>
        <v>na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8.1581662766284548</v>
      </c>
      <c r="CL33" s="21">
        <f>EXP(-LN(2)/25)*CL32+(1-EXP(-LN(2)/25))/(LN(2)/25)*Calculateur!CG33*Calculateur!CI33*VLOOKUP('Données projet'!$B$12,Paramètres!$A$1:$I$89,3,0)*0.475*44/12</f>
        <v>10.317972950904801</v>
      </c>
      <c r="CM33" s="21">
        <f>EXP(-LN(2)/2)*CM32+(1-EXP(-LN(2)/2))/(LN(2)/2)*CG33*CJ33*VLOOKUP('Données projet'!$B$12,Paramètres!$A$1:$I$89,3,0)*0.475*44/12</f>
        <v>2.0768746439122996</v>
      </c>
      <c r="CN33" s="22">
        <f t="shared" si="12"/>
        <v>20.553013871445557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14.507999999999999</v>
      </c>
      <c r="D34" s="11">
        <f t="shared" si="32"/>
        <v>4.8972073577041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149.79458311210183</v>
      </c>
      <c r="H34" s="67">
        <f t="shared" si="1"/>
        <v>327.13073614800129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22.884615384615397</v>
      </c>
      <c r="N34" s="13">
        <f>IF('Données projet'!$A$36&gt;35,N33+M34-V33,IF(A34&lt;'Données projet'!$A$36,$K$205^A34,IF(A34='Données projet'!$A$36,'Données projet'!$B$36,N33+M34-V33)))</f>
        <v>289.08461538461529</v>
      </c>
      <c r="O34" s="13">
        <f>N34*VLOOKUP('Données projet'!$B$9,Paramètres!$A$1:$I$89,3,0)*VLOOKUP('Données projet'!$B$9,Paramètres!$A$1:$I$89,5,0)</f>
        <v>161.59829999999994</v>
      </c>
      <c r="P34" s="13">
        <f t="shared" si="33"/>
        <v>41.202807619439731</v>
      </c>
      <c r="Q34" s="20">
        <f t="shared" si="2"/>
        <v>353.21192910385736</v>
      </c>
      <c r="R34" s="59">
        <f t="shared" si="0"/>
        <v>646.54526243719067</v>
      </c>
      <c r="S34" s="59">
        <f ca="1">AVERAGE(OFFSET($R$3,0,0,'Données projet'!$E$9+1,1))-AVERAGE(OFFSET($H$3,0,0,'Données projet'!$E$9+1,1))</f>
        <v>279.32192402750189</v>
      </c>
      <c r="T34" s="59">
        <f t="shared" si="34"/>
        <v>371.43572414443611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28.983761183885679</v>
      </c>
      <c r="AA34" s="21">
        <f>EXP(-LN(2)/25)*AA33+(1-EXP(-LN(2)/25))/(LN(2)/25)*Calculateur!V34*Calculateur!X34*VLOOKUP('Données projet'!$B$9,Paramètres!$A$1:$I$89,3,0)*0.475*44/12</f>
        <v>17.749365982960363</v>
      </c>
      <c r="AB34" s="21">
        <f>EXP(-LN(2)/2)*AB33+(1-EXP(-LN(2)/2))/(LN(2)/2)*V34*Y34*VLOOKUP('Données projet'!$B$9,Paramètres!$A$1:$I$89,3,0)*0.475*44/12</f>
        <v>4.4076409795891482</v>
      </c>
      <c r="AC34" s="22">
        <f t="shared" si="3"/>
        <v>51.140768146435192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14.690384615384611</v>
      </c>
      <c r="AI34" s="13">
        <f>IF('Données projet'!$A$62&gt;35,AI33+AH34-AQ33,IF(A34&lt;'Données projet'!$A$62,$AF$205^A34,IF(A34='Données projet'!$A$62,'Données projet'!$B$62,AI33+AH34-AQ33)))</f>
        <v>173.42884615384614</v>
      </c>
      <c r="AJ34" s="13">
        <f>AI34*VLOOKUP('Données projet'!$B$10,Paramètres!$A$1:$I$89,3,0)*VLOOKUP('Données projet'!$B$10,Paramètres!$A$1:$I$89,5,0)</f>
        <v>81.164699999999996</v>
      </c>
      <c r="AK34" s="13">
        <f t="shared" si="35"/>
        <v>22.421719335385692</v>
      </c>
      <c r="AL34" s="20">
        <f t="shared" si="4"/>
        <v>180.41301367579672</v>
      </c>
      <c r="AM34" s="59">
        <f t="shared" si="5"/>
        <v>473.74634700913003</v>
      </c>
      <c r="AN34" s="59">
        <f ca="1">AVERAGE(OFFSET($AM$3,0,0,'Données projet'!$E$10+1,1))-AVERAGE(OFFSET($H$3,0,0,'Données projet'!$E$10+1,1))</f>
        <v>192.20041613277965</v>
      </c>
      <c r="AO34" s="59">
        <f t="shared" si="36"/>
        <v>132.76245212522417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12.833333333333334</v>
      </c>
      <c r="BD34" s="12">
        <f>IF('Données projet'!$A$88&gt;35,BD33+BC34-BL33,IF(A34&lt;'Données projet'!$A$88,$BA$205^A34,IF(A34='Données projet'!$A$88,'Données projet'!$B$88,BD33+BC34-BL33)))</f>
        <v>183.83333333333329</v>
      </c>
      <c r="BE34" s="13">
        <f>BD34*VLOOKUP('Données projet'!$B$11,Paramètres!$A$1:$I$89,3,0)*VLOOKUP('Données projet'!$B$11,Paramètres!$A$1:$I$89,5,0)</f>
        <v>114.71199999999997</v>
      </c>
      <c r="BF34" s="13">
        <f t="shared" si="37"/>
        <v>30.438443898016164</v>
      </c>
      <c r="BG34" s="20">
        <f t="shared" si="7"/>
        <v>252.80368978904474</v>
      </c>
      <c r="BH34" s="59">
        <f t="shared" si="8"/>
        <v>546.13702312237808</v>
      </c>
      <c r="BI34" s="59">
        <f ca="1">AVERAGE(OFFSET($BH$3,0,0,'Données projet'!$E$11+1,1))-AVERAGE(OFFSET($H$3,0,0,'Données projet'!$E$11+1,1))</f>
        <v>180.31844548479722</v>
      </c>
      <c r="BJ34" s="59">
        <f t="shared" si="38"/>
        <v>273.83237400307223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42.483007939258528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42.483007939258528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12.971794871794865</v>
      </c>
      <c r="BY34" s="12">
        <f>IF('Données projet'!$A$114&gt;35,BY33+BX34-CG33,IF(A34&lt;'Données projet'!$A$114,$BV$205^A34,IF(A34='Données projet'!$A$114,'Données projet'!$B$114,BY33+BX34-CG33)))</f>
        <v>157.95641025641029</v>
      </c>
      <c r="BZ34" s="13">
        <f>BY34*VLOOKUP('Données projet'!$B$12,Paramètres!$A$1:$I$89,3,0)*VLOOKUP('Données projet'!$B$12,Paramètres!$A$1:$I$89,5,0)</f>
        <v>94.457933333333358</v>
      </c>
      <c r="CA34" s="13">
        <f t="shared" si="39"/>
        <v>25.637327417415943</v>
      </c>
      <c r="CB34" s="20">
        <f t="shared" si="10"/>
        <v>209.1659124742217</v>
      </c>
      <c r="CC34" s="59">
        <f t="shared" si="11"/>
        <v>502.49924580755498</v>
      </c>
      <c r="CD34" s="59">
        <f ca="1">AVERAGE(OFFSET($CC$3,0,0,'Données projet'!$E$12+1,1))-AVERAGE(OFFSET($H$3,0,0,'Données projet'!$E$12+1,1))</f>
        <v>214.34615950592251</v>
      </c>
      <c r="CE34" s="59">
        <f t="shared" si="40"/>
        <v>159.66077836853066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7.9981896119338618</v>
      </c>
      <c r="CL34" s="21">
        <f>EXP(-LN(2)/25)*CL33+(1-EXP(-LN(2)/25))/(LN(2)/25)*Calculateur!CG34*Calculateur!CI34*VLOOKUP('Données projet'!$B$12,Paramètres!$A$1:$I$89,3,0)*0.475*44/12</f>
        <v>10.035827437963695</v>
      </c>
      <c r="CM34" s="21">
        <f>EXP(-LN(2)/2)*CM33+(1-EXP(-LN(2)/2))/(LN(2)/2)*CG34*CJ34*VLOOKUP('Données projet'!$B$12,Paramètres!$A$1:$I$89,3,0)*0.475*44/12</f>
        <v>1.4685721443847832</v>
      </c>
      <c r="CN34" s="22">
        <f t="shared" si="12"/>
        <v>19.50258919428234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14.975999999999999</v>
      </c>
      <c r="D35" s="11">
        <f t="shared" si="32"/>
        <v>5.0365345962274297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154.48272319894858</v>
      </c>
      <c r="H35" s="67">
        <f t="shared" si="1"/>
        <v>328.18849775509608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22.884615384615397</v>
      </c>
      <c r="N35" s="13">
        <f>IF('Données projet'!$A$36&gt;35,N34+M35-V34,IF(A35&lt;'Données projet'!$A$36,$K$205^A35,IF(A35='Données projet'!$A$36,'Données projet'!$B$36,N34+M35-V34)))</f>
        <v>311.96923076923071</v>
      </c>
      <c r="O35" s="13">
        <f>N35*VLOOKUP('Données projet'!$B$9,Paramètres!$A$1:$I$89,3,0)*VLOOKUP('Données projet'!$B$9,Paramètres!$A$1:$I$89,5,0)</f>
        <v>174.39079999999996</v>
      </c>
      <c r="P35" s="13">
        <f t="shared" si="33"/>
        <v>44.071952499783528</v>
      </c>
      <c r="Q35" s="20">
        <f t="shared" ref="Q35:Q66" si="53">(O35+P35)*0.475*44/12</f>
        <v>380.48929393712291</v>
      </c>
      <c r="R35" s="59">
        <f t="shared" si="0"/>
        <v>673.82262727045622</v>
      </c>
      <c r="S35" s="59">
        <f ca="1">AVERAGE(OFFSET($R$3,0,0,'Données projet'!$E$9+1,1))-AVERAGE(OFFSET($H$3,0,0,'Données projet'!$E$9+1,1))</f>
        <v>279.32192402750189</v>
      </c>
      <c r="T35" s="59">
        <f t="shared" si="34"/>
        <v>371.43572414443611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28.415407305418412</v>
      </c>
      <c r="AA35" s="21">
        <f>EXP(-LN(2)/25)*AA34+(1-EXP(-LN(2)/25))/(LN(2)/25)*Calculateur!V35*Calculateur!X35*VLOOKUP('Données projet'!$B$9,Paramètres!$A$1:$I$89,3,0)*0.475*44/12</f>
        <v>17.264008636757723</v>
      </c>
      <c r="AB35" s="21">
        <f>EXP(-LN(2)/2)*AB34+(1-EXP(-LN(2)/2))/(LN(2)/2)*V35*Y35*VLOOKUP('Données projet'!$B$9,Paramètres!$A$1:$I$89,3,0)*0.475*44/12</f>
        <v>3.1166728257032039</v>
      </c>
      <c r="AC35" s="22">
        <f t="shared" si="3"/>
        <v>48.79608876787934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14.690384615384611</v>
      </c>
      <c r="AI35" s="13">
        <f>IF('Données projet'!$A$62&gt;35,AI34+AH35-AQ34,IF(A35&lt;'Données projet'!$A$62,$AF$205^A35,IF(A35='Données projet'!$A$62,'Données projet'!$B$62,AI34+AH35-AQ34)))</f>
        <v>188.11923076923074</v>
      </c>
      <c r="AJ35" s="13">
        <f>AI35*VLOOKUP('Données projet'!$B$10,Paramètres!$A$1:$I$89,3,0)*VLOOKUP('Données projet'!$B$10,Paramètres!$A$1:$I$89,5,0)</f>
        <v>88.039799999999985</v>
      </c>
      <c r="AK35" s="13">
        <f t="shared" si="35"/>
        <v>24.091867781781861</v>
      </c>
      <c r="AL35" s="20">
        <f t="shared" si="4"/>
        <v>195.29598805327001</v>
      </c>
      <c r="AM35" s="59">
        <f t="shared" si="5"/>
        <v>488.62932138660335</v>
      </c>
      <c r="AN35" s="59">
        <f ca="1">AVERAGE(OFFSET($AM$3,0,0,'Données projet'!$E$10+1,1))-AVERAGE(OFFSET($H$3,0,0,'Données projet'!$E$10+1,1))</f>
        <v>192.20041613277965</v>
      </c>
      <c r="AO35" s="59">
        <f t="shared" si="36"/>
        <v>132.76245212522417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12.833333333333334</v>
      </c>
      <c r="BD35" s="12">
        <f>IF('Données projet'!$A$88&gt;35,BD34+BC35-BL34,IF(A35&lt;'Données projet'!$A$88,$BA$205^A35,IF(A35='Données projet'!$A$88,'Données projet'!$B$88,BD34+BC35-BL34)))</f>
        <v>196.66666666666663</v>
      </c>
      <c r="BE35" s="13">
        <f>BD35*VLOOKUP('Données projet'!$B$11,Paramètres!$A$1:$I$89,3,0)*VLOOKUP('Données projet'!$B$11,Paramètres!$A$1:$I$89,5,0)</f>
        <v>122.71999999999997</v>
      </c>
      <c r="BF35" s="13">
        <f t="shared" si="37"/>
        <v>32.308564708068729</v>
      </c>
      <c r="BG35" s="20">
        <f t="shared" si="7"/>
        <v>270.00808353321963</v>
      </c>
      <c r="BH35" s="59">
        <f t="shared" si="8"/>
        <v>563.34141686655289</v>
      </c>
      <c r="BI35" s="59">
        <f ca="1">AVERAGE(OFFSET($BH$3,0,0,'Données projet'!$E$11+1,1))-AVERAGE(OFFSET($H$3,0,0,'Données projet'!$E$11+1,1))</f>
        <v>180.31844548479722</v>
      </c>
      <c r="BJ35" s="59">
        <f t="shared" si="38"/>
        <v>273.83237400307223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41.321307853075211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41.321307853075211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12.971794871794865</v>
      </c>
      <c r="BY35" s="12">
        <f>IF('Données projet'!$A$114&gt;35,BY34+BX35-CG34,IF(A35&lt;'Données projet'!$A$114,$BV$205^A35,IF(A35='Données projet'!$A$114,'Données projet'!$B$114,BY34+BX35-CG34)))</f>
        <v>170.92820512820515</v>
      </c>
      <c r="BZ35" s="13">
        <f>BY35*VLOOKUP('Données projet'!$B$12,Paramètres!$A$1:$I$89,3,0)*VLOOKUP('Données projet'!$B$12,Paramètres!$A$1:$I$89,5,0)</f>
        <v>102.21506666666667</v>
      </c>
      <c r="CA35" s="13">
        <f t="shared" si="39"/>
        <v>27.489031873505194</v>
      </c>
      <c r="CB35" s="20">
        <f t="shared" si="10"/>
        <v>225.90130495746598</v>
      </c>
      <c r="CC35" s="59">
        <f t="shared" si="11"/>
        <v>519.23463829079924</v>
      </c>
      <c r="CD35" s="59">
        <f ca="1">AVERAGE(OFFSET($CC$3,0,0,'Données projet'!$E$12+1,1))-AVERAGE(OFFSET($H$3,0,0,'Données projet'!$E$12+1,1))</f>
        <v>214.34615950592251</v>
      </c>
      <c r="CE35" s="59">
        <f t="shared" si="40"/>
        <v>159.66077836853066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7.8413499920577987</v>
      </c>
      <c r="CL35" s="21">
        <f>EXP(-LN(2)/25)*CL34+(1-EXP(-LN(2)/25))/(LN(2)/25)*Calculateur!CG35*Calculateur!CI35*VLOOKUP('Données projet'!$B$12,Paramètres!$A$1:$I$89,3,0)*0.475*44/12</f>
        <v>9.7613972089113492</v>
      </c>
      <c r="CM35" s="21">
        <f>EXP(-LN(2)/2)*CM34+(1-EXP(-LN(2)/2))/(LN(2)/2)*CG35*CJ35*VLOOKUP('Données projet'!$B$12,Paramètres!$A$1:$I$89,3,0)*0.475*44/12</f>
        <v>1.0384373219561498</v>
      </c>
      <c r="CN35" s="22">
        <f t="shared" si="12"/>
        <v>18.641184522925297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15.443999999999999</v>
      </c>
      <c r="D36" s="11">
        <f t="shared" si="32"/>
        <v>5.1753558655448444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159.16695755859178</v>
      </c>
      <c r="H36" s="67">
        <f t="shared" si="1"/>
        <v>329.2453781324906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22.884615384615397</v>
      </c>
      <c r="N36" s="13">
        <f>IF('Données projet'!$A$36&gt;35,N35+M36-V35,IF(A36&lt;'Données projet'!$A$36,$K$205^A36,IF(A36='Données projet'!$A$36,'Données projet'!$B$36,N35+M36-V35)))</f>
        <v>334.85384615384612</v>
      </c>
      <c r="O36" s="13">
        <f>N36*VLOOKUP('Données projet'!$B$9,Paramètres!$A$1:$I$89,3,0)*VLOOKUP('Données projet'!$B$9,Paramètres!$A$1:$I$89,5,0)</f>
        <v>187.18329999999997</v>
      </c>
      <c r="P36" s="13">
        <f t="shared" si="33"/>
        <v>46.91668019244311</v>
      </c>
      <c r="Q36" s="20">
        <f t="shared" si="53"/>
        <v>407.72413216850504</v>
      </c>
      <c r="R36" s="59">
        <f t="shared" si="0"/>
        <v>701.05746550183835</v>
      </c>
      <c r="S36" s="59">
        <f ca="1">AVERAGE(OFFSET($R$3,0,0,'Données projet'!$E$9+1,1))-AVERAGE(OFFSET($H$3,0,0,'Données projet'!$E$9+1,1))</f>
        <v>279.32192402750189</v>
      </c>
      <c r="T36" s="59">
        <f t="shared" si="34"/>
        <v>371.43572414443611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27.858198499846253</v>
      </c>
      <c r="AA36" s="21">
        <f>EXP(-LN(2)/25)*AA35+(1-EXP(-LN(2)/25))/(LN(2)/25)*Calculateur!V36*Calculateur!X36*VLOOKUP('Données projet'!$B$9,Paramètres!$A$1:$I$89,3,0)*0.475*44/12</f>
        <v>16.791923412710826</v>
      </c>
      <c r="AB36" s="21">
        <f>EXP(-LN(2)/2)*AB35+(1-EXP(-LN(2)/2))/(LN(2)/2)*V36*Y36*VLOOKUP('Données projet'!$B$9,Paramètres!$A$1:$I$89,3,0)*0.475*44/12</f>
        <v>2.2038204897945741</v>
      </c>
      <c r="AC36" s="22">
        <f t="shared" si="3"/>
        <v>46.853942402351656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14.690384615384611</v>
      </c>
      <c r="AI36" s="13">
        <f>IF('Données projet'!$A$62&gt;35,AI35+AH36-AQ35,IF(A36&lt;'Données projet'!$A$62,$AF$205^A36,IF(A36='Données projet'!$A$62,'Données projet'!$B$62,AI35+AH36-AQ35)))</f>
        <v>202.80961538461534</v>
      </c>
      <c r="AJ36" s="13">
        <f>AI36*VLOOKUP('Données projet'!$B$10,Paramètres!$A$1:$I$89,3,0)*VLOOKUP('Données projet'!$B$10,Paramètres!$A$1:$I$89,5,0)</f>
        <v>94.914899999999975</v>
      </c>
      <c r="AK36" s="13">
        <f t="shared" si="35"/>
        <v>25.74688752812763</v>
      </c>
      <c r="AL36" s="20">
        <f t="shared" si="4"/>
        <v>210.1526132781556</v>
      </c>
      <c r="AM36" s="59">
        <f t="shared" si="5"/>
        <v>503.48594661148888</v>
      </c>
      <c r="AN36" s="59">
        <f ca="1">AVERAGE(OFFSET($AM$3,0,0,'Données projet'!$E$10+1,1))-AVERAGE(OFFSET($H$3,0,0,'Données projet'!$E$10+1,1))</f>
        <v>192.20041613277965</v>
      </c>
      <c r="AO36" s="59">
        <f t="shared" si="36"/>
        <v>132.76245212522417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12.833333333333334</v>
      </c>
      <c r="BD36" s="12">
        <f>IF('Données projet'!$A$88&gt;35,BD35+BC36-BL35,IF(A36&lt;'Données projet'!$A$88,$BA$205^A36,IF(A36='Données projet'!$A$88,'Données projet'!$B$88,BD35+BC36-BL35)))</f>
        <v>209.49999999999997</v>
      </c>
      <c r="BE36" s="13">
        <f>BD36*VLOOKUP('Données projet'!$B$11,Paramètres!$A$1:$I$89,3,0)*VLOOKUP('Données projet'!$B$11,Paramètres!$A$1:$I$89,5,0)</f>
        <v>130.72799999999998</v>
      </c>
      <c r="BF36" s="13">
        <f t="shared" si="37"/>
        <v>34.164524045585857</v>
      </c>
      <c r="BG36" s="20">
        <f t="shared" si="7"/>
        <v>287.18781271272866</v>
      </c>
      <c r="BH36" s="59">
        <f t="shared" si="8"/>
        <v>580.52114604606197</v>
      </c>
      <c r="BI36" s="59">
        <f ca="1">AVERAGE(OFFSET($BH$3,0,0,'Données projet'!$E$11+1,1))-AVERAGE(OFFSET($H$3,0,0,'Données projet'!$E$11+1,1))</f>
        <v>180.31844548479722</v>
      </c>
      <c r="BJ36" s="59">
        <f t="shared" si="38"/>
        <v>273.83237400307223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40.19137451683973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40.19137451683973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>
        <f>VLOOKUP(A36,'Données projet'!$A$113:$I$133,2,0)</f>
        <v>183.89999999999998</v>
      </c>
      <c r="BW36" s="12">
        <f>VLOOKUP(A36,'Données projet'!$A$113:$I$133,9,0)</f>
        <v>12.971794871794865</v>
      </c>
      <c r="BX36" s="12">
        <f t="array" ref="BX36">INDEX(BW:BW,MIN(IF(ISNUMBER(BW36:BW232),ROW(BW36:BW232),"")))</f>
        <v>12.971794871794865</v>
      </c>
      <c r="BY36" s="12">
        <f>IF('Données projet'!$A$114&gt;35,BY35+BX36-CG35,IF(A36&lt;'Données projet'!$A$114,$BV$205^A36,IF(A36='Données projet'!$A$114,'Données projet'!$B$114,BY35+BX36-CG35)))</f>
        <v>183.9</v>
      </c>
      <c r="BZ36" s="13">
        <f>BY36*VLOOKUP('Données projet'!$B$12,Paramètres!$A$1:$I$89,3,0)*VLOOKUP('Données projet'!$B$12,Paramètres!$A$1:$I$89,5,0)</f>
        <v>109.97220000000002</v>
      </c>
      <c r="CA36" s="13">
        <f t="shared" si="39"/>
        <v>29.324434579377328</v>
      </c>
      <c r="CB36" s="20">
        <f t="shared" si="10"/>
        <v>242.60830522574886</v>
      </c>
      <c r="CC36" s="59">
        <f t="shared" si="11"/>
        <v>535.94163855908221</v>
      </c>
      <c r="CD36" s="59">
        <f ca="1">AVERAGE(OFFSET($CC$3,0,0,'Données projet'!$E$12+1,1))-AVERAGE(OFFSET($H$3,0,0,'Données projet'!$E$12+1,1))</f>
        <v>214.34615950592251</v>
      </c>
      <c r="CE36" s="59">
        <f t="shared" si="40"/>
        <v>159.66077836853066</v>
      </c>
      <c r="CF36" s="15">
        <f>IF(ISNA(VLOOKUP(A36,'Données projet'!$A$113:$I$133,3,0)),0,VLOOKUP(A36,'Données projet'!$A$113:$I$133,3,0))</f>
        <v>3</v>
      </c>
      <c r="CG36" s="15">
        <f>IF(ISNA(VLOOKUP(A36,'Données projet'!$A$113:$I$133,4,0)),0,VLOOKUP(A36,'Données projet'!$A$113:$I$133,4,0))</f>
        <v>43.007692307692302</v>
      </c>
      <c r="CH36" s="16">
        <f>IF(ISNA(VLOOKUP(A36,'Données projet'!$A$113:$I$133,5,0)),0%,VLOOKUP(A36,'Données projet'!$A$113:$I$133,5,0)*VLOOKUP('Données projet'!$B$12,Paramètres!$A$1:$I$89,7,0))</f>
        <v>0.315</v>
      </c>
      <c r="CI36" s="16">
        <f>IF(ISNA(VLOOKUP(A36,'Données projet'!$A$113:$I$133,6,0)),0%,VLOOKUP(A36,'Données projet'!$A$113:$I$133,6,0)*VLOOKUP('Données projet'!$B$12,Paramètres!$A$1:$I$89,7,0))</f>
        <v>7.5600000000000001E-2</v>
      </c>
      <c r="CJ36" s="16">
        <f>IF(ISNA(VLOOKUP(A36,'Données projet'!$A$113:$I$133,7,0)),0%,VLOOKUP(A36,'Données projet'!$A$113:$I$133,7,0))</f>
        <v>0.13200000000000001</v>
      </c>
      <c r="CK36" s="21">
        <f>EXP(-LN(2)/35)*CK35+(1-EXP(-LN(2)/35))/(LN(2)/35)*CG36*CH36*VLOOKUP('Données projet'!$B$12,Paramètres!$A$1:$I$89,3,0)*0.475*44/12</f>
        <v>18.434560791620001</v>
      </c>
      <c r="CL36" s="21">
        <f>EXP(-LN(2)/25)*CL35+(1-EXP(-LN(2)/25))/(LN(2)/25)*Calculateur!CG36*Calculateur!CI36*VLOOKUP('Données projet'!$B$12,Paramètres!$A$1:$I$89,3,0)*0.475*44/12</f>
        <v>12.063589678126709</v>
      </c>
      <c r="CM36" s="21">
        <f>EXP(-LN(2)/2)*CM35+(1-EXP(-LN(2)/2))/(LN(2)/2)*CG36*CJ36*VLOOKUP('Données projet'!$B$12,Paramètres!$A$1:$I$89,3,0)*0.475*44/12</f>
        <v>4.5780507750580615</v>
      </c>
      <c r="CN36" s="22">
        <f t="shared" si="12"/>
        <v>35.076201244804771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15.911999999999999</v>
      </c>
      <c r="D37" s="11">
        <f t="shared" si="32"/>
        <v>5.3136882579005116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163.84741813116185</v>
      </c>
      <c r="H37" s="67">
        <f t="shared" si="1"/>
        <v>330.3014070491767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22.884615384615397</v>
      </c>
      <c r="N37" s="13">
        <f>IF('Données projet'!$A$36&gt;35,N36+M37-V36,IF(A37&lt;'Données projet'!$A$36,$K$205^A37,IF(A37='Données projet'!$A$36,'Données projet'!$B$36,N36+M37-V36)))</f>
        <v>357.73846153846154</v>
      </c>
      <c r="O37" s="13">
        <f>N37*VLOOKUP('Données projet'!$B$9,Paramètres!$A$1:$I$89,3,0)*VLOOKUP('Données projet'!$B$9,Paramètres!$A$1:$I$89,5,0)</f>
        <v>199.97580000000002</v>
      </c>
      <c r="P37" s="13">
        <f t="shared" si="33"/>
        <v>49.738849260389202</v>
      </c>
      <c r="Q37" s="20">
        <f t="shared" si="53"/>
        <v>434.91968079517784</v>
      </c>
      <c r="R37" s="59">
        <f t="shared" si="0"/>
        <v>728.25301412851115</v>
      </c>
      <c r="S37" s="59">
        <f ca="1">AVERAGE(OFFSET($R$3,0,0,'Données projet'!$E$9+1,1))-AVERAGE(OFFSET($H$3,0,0,'Données projet'!$E$9+1,1))</f>
        <v>279.32192402750189</v>
      </c>
      <c r="T37" s="59">
        <f t="shared" si="34"/>
        <v>371.43572414443611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27.31191621908755</v>
      </c>
      <c r="AA37" s="21">
        <f>EXP(-LN(2)/25)*AA36+(1-EXP(-LN(2)/25))/(LN(2)/25)*Calculateur!V37*Calculateur!X37*VLOOKUP('Données projet'!$B$9,Paramètres!$A$1:$I$89,3,0)*0.475*44/12</f>
        <v>16.332747383941374</v>
      </c>
      <c r="AB37" s="21">
        <f>EXP(-LN(2)/2)*AB36+(1-EXP(-LN(2)/2))/(LN(2)/2)*V37*Y37*VLOOKUP('Données projet'!$B$9,Paramètres!$A$1:$I$89,3,0)*0.475*44/12</f>
        <v>1.558336412851602</v>
      </c>
      <c r="AC37" s="22">
        <f t="shared" si="3"/>
        <v>45.203000015880527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14.690384615384611</v>
      </c>
      <c r="AI37" s="13">
        <f>IF('Données projet'!$A$62&gt;35,AI36+AH37-AQ36,IF(A37&lt;'Données projet'!$A$62,$AF$205^A37,IF(A37='Données projet'!$A$62,'Données projet'!$B$62,AI36+AH37-AQ36)))</f>
        <v>217.49999999999994</v>
      </c>
      <c r="AJ37" s="13">
        <f>AI37*VLOOKUP('Données projet'!$B$10,Paramètres!$A$1:$I$89,3,0)*VLOOKUP('Données projet'!$B$10,Paramètres!$A$1:$I$89,5,0)</f>
        <v>101.78999999999998</v>
      </c>
      <c r="AK37" s="13">
        <f t="shared" si="35"/>
        <v>27.38799903683508</v>
      </c>
      <c r="AL37" s="20">
        <f t="shared" si="4"/>
        <v>224.98501498915437</v>
      </c>
      <c r="AM37" s="59">
        <f t="shared" si="5"/>
        <v>518.31834832248774</v>
      </c>
      <c r="AN37" s="59">
        <f ca="1">AVERAGE(OFFSET($AM$3,0,0,'Données projet'!$E$10+1,1))-AVERAGE(OFFSET($H$3,0,0,'Données projet'!$E$10+1,1))</f>
        <v>192.20041613277965</v>
      </c>
      <c r="AO37" s="59">
        <f t="shared" si="36"/>
        <v>132.76245212522417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12.833333333333334</v>
      </c>
      <c r="BD37" s="12">
        <f>IF('Données projet'!$A$88&gt;35,BD36+BC37-BL36,IF(A37&lt;'Données projet'!$A$88,$BA$205^A37,IF(A37='Données projet'!$A$88,'Données projet'!$B$88,BD36+BC37-BL36)))</f>
        <v>222.33333333333331</v>
      </c>
      <c r="BE37" s="13">
        <f>BD37*VLOOKUP('Données projet'!$B$11,Paramètres!$A$1:$I$89,3,0)*VLOOKUP('Données projet'!$B$11,Paramètres!$A$1:$I$89,5,0)</f>
        <v>138.73599999999999</v>
      </c>
      <c r="BF37" s="13">
        <f t="shared" si="37"/>
        <v>36.007288175538044</v>
      </c>
      <c r="BG37" s="20">
        <f t="shared" si="7"/>
        <v>304.34456023906205</v>
      </c>
      <c r="BH37" s="59">
        <f t="shared" si="8"/>
        <v>597.67789357239531</v>
      </c>
      <c r="BI37" s="59">
        <f ca="1">AVERAGE(OFFSET($BH$3,0,0,'Données projet'!$E$11+1,1))-AVERAGE(OFFSET($H$3,0,0,'Données projet'!$E$11+1,1))</f>
        <v>180.31844548479722</v>
      </c>
      <c r="BJ37" s="59">
        <f t="shared" si="38"/>
        <v>273.83237400307223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39.092339267104222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39.092339267104222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12.740384615384613</v>
      </c>
      <c r="BY37" s="12">
        <f>IF('Données projet'!$A$114&gt;35,BY36+BX37-CG36,IF(A37&lt;'Données projet'!$A$114,$BV$205^A37,IF(A37='Données projet'!$A$114,'Données projet'!$B$114,BY36+BX37-CG36)))</f>
        <v>153.63269230769231</v>
      </c>
      <c r="BZ37" s="13">
        <f>BY37*VLOOKUP('Données projet'!$B$12,Paramètres!$A$1:$I$89,3,0)*VLOOKUP('Données projet'!$B$12,Paramètres!$A$1:$I$89,5,0)</f>
        <v>91.872349999999997</v>
      </c>
      <c r="CA37" s="13">
        <f t="shared" si="39"/>
        <v>25.016248165039102</v>
      </c>
      <c r="CB37" s="20">
        <f t="shared" si="10"/>
        <v>203.58097513744312</v>
      </c>
      <c r="CC37" s="59">
        <f t="shared" si="11"/>
        <v>496.9143084707764</v>
      </c>
      <c r="CD37" s="59">
        <f ca="1">AVERAGE(OFFSET($CC$3,0,0,'Données projet'!$E$12+1,1))-AVERAGE(OFFSET($H$3,0,0,'Données projet'!$E$12+1,1))</f>
        <v>214.34615950592251</v>
      </c>
      <c r="CE37" s="59">
        <f t="shared" si="40"/>
        <v>159.66077836853066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18.073070298468167</v>
      </c>
      <c r="CL37" s="21">
        <f>EXP(-LN(2)/25)*CL36+(1-EXP(-LN(2)/25))/(LN(2)/25)*Calculateur!CG37*Calculateur!CI37*VLOOKUP('Données projet'!$B$12,Paramètres!$A$1:$I$89,3,0)*0.475*44/12</f>
        <v>11.733710183981724</v>
      </c>
      <c r="CM37" s="21">
        <f>EXP(-LN(2)/2)*CM36+(1-EXP(-LN(2)/2))/(LN(2)/2)*CG37*CJ37*VLOOKUP('Données projet'!$B$12,Paramètres!$A$1:$I$89,3,0)*0.475*44/12</f>
        <v>3.237170747659885</v>
      </c>
      <c r="CN37" s="22">
        <f t="shared" si="12"/>
        <v>33.043951230109776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16.38</v>
      </c>
      <c r="D38" s="11">
        <f t="shared" si="32"/>
        <v>5.4515478029518825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168.5242286543654</v>
      </c>
      <c r="H38" s="67">
        <f t="shared" si="1"/>
        <v>331.35661242347453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22.884615384615397</v>
      </c>
      <c r="N38" s="13">
        <f>IF('Données projet'!$A$36&gt;35,N37+M38-V37,IF(A38&lt;'Données projet'!$A$36,$K$205^A38,IF(A38='Données projet'!$A$36,'Données projet'!$B$36,N37+M38-V37)))</f>
        <v>380.62307692307695</v>
      </c>
      <c r="O38" s="13">
        <f>N38*VLOOKUP('Données projet'!$B$9,Paramètres!$A$1:$I$89,3,0)*VLOOKUP('Données projet'!$B$9,Paramètres!$A$1:$I$89,5,0)</f>
        <v>212.76830000000001</v>
      </c>
      <c r="P38" s="13">
        <f t="shared" si="33"/>
        <v>52.540067037520508</v>
      </c>
      <c r="Q38" s="20">
        <f t="shared" si="53"/>
        <v>462.07873925701483</v>
      </c>
      <c r="R38" s="59">
        <f t="shared" si="0"/>
        <v>755.41207259034809</v>
      </c>
      <c r="S38" s="59">
        <f ca="1">AVERAGE(OFFSET($R$3,0,0,'Données projet'!$E$9+1,1))-AVERAGE(OFFSET($H$3,0,0,'Données projet'!$E$9+1,1))</f>
        <v>279.32192402750189</v>
      </c>
      <c r="T38" s="59">
        <f t="shared" si="34"/>
        <v>371.43572414443611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26.776346200655233</v>
      </c>
      <c r="AA38" s="21">
        <f>EXP(-LN(2)/25)*AA37+(1-EXP(-LN(2)/25))/(LN(2)/25)*Calculateur!V38*Calculateur!X38*VLOOKUP('Données projet'!$B$9,Paramètres!$A$1:$I$89,3,0)*0.475*44/12</f>
        <v>15.886127547825641</v>
      </c>
      <c r="AB38" s="21">
        <f>EXP(-LN(2)/2)*AB37+(1-EXP(-LN(2)/2))/(LN(2)/2)*V38*Y38*VLOOKUP('Données projet'!$B$9,Paramètres!$A$1:$I$89,3,0)*0.475*44/12</f>
        <v>1.1019102448972871</v>
      </c>
      <c r="AC38" s="22">
        <f t="shared" si="3"/>
        <v>43.764383993378168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14.690384615384611</v>
      </c>
      <c r="AI38" s="13">
        <f>IF('Données projet'!$A$62&gt;35,AI37+AH38-AQ37,IF(A38&lt;'Données projet'!$A$62,$AF$205^A38,IF(A38='Données projet'!$A$62,'Données projet'!$B$62,AI37+AH38-AQ37)))</f>
        <v>232.19038461538454</v>
      </c>
      <c r="AJ38" s="13">
        <f>AI38*VLOOKUP('Données projet'!$B$10,Paramètres!$A$1:$I$89,3,0)*VLOOKUP('Données projet'!$B$10,Paramètres!$A$1:$I$89,5,0)</f>
        <v>108.66509999999997</v>
      </c>
      <c r="AK38" s="13">
        <f t="shared" si="35"/>
        <v>29.016248575845495</v>
      </c>
      <c r="AL38" s="20">
        <f t="shared" si="4"/>
        <v>239.79501543626409</v>
      </c>
      <c r="AM38" s="59">
        <f t="shared" si="5"/>
        <v>533.12834876959744</v>
      </c>
      <c r="AN38" s="59">
        <f ca="1">AVERAGE(OFFSET($AM$3,0,0,'Données projet'!$E$10+1,1))-AVERAGE(OFFSET($H$3,0,0,'Données projet'!$E$10+1,1))</f>
        <v>192.20041613277965</v>
      </c>
      <c r="AO38" s="59">
        <f t="shared" si="36"/>
        <v>132.76245212522417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12.833333333333334</v>
      </c>
      <c r="BD38" s="12">
        <f>IF('Données projet'!$A$88&gt;35,BD37+BC38-BL37,IF(A38&lt;'Données projet'!$A$88,$BA$205^A38,IF(A38='Données projet'!$A$88,'Données projet'!$B$88,BD37+BC38-BL37)))</f>
        <v>235.16666666666666</v>
      </c>
      <c r="BE38" s="13">
        <f>BD38*VLOOKUP('Données projet'!$B$11,Paramètres!$A$1:$I$89,3,0)*VLOOKUP('Données projet'!$B$11,Paramètres!$A$1:$I$89,5,0)</f>
        <v>146.744</v>
      </c>
      <c r="BF38" s="13">
        <f t="shared" si="37"/>
        <v>37.837705514258651</v>
      </c>
      <c r="BG38" s="20">
        <f t="shared" si="7"/>
        <v>321.47980377066716</v>
      </c>
      <c r="BH38" s="59">
        <f t="shared" si="8"/>
        <v>614.81313710400048</v>
      </c>
      <c r="BI38" s="59">
        <f ca="1">AVERAGE(OFFSET($BH$3,0,0,'Données projet'!$E$11+1,1))-AVERAGE(OFFSET($H$3,0,0,'Données projet'!$E$11+1,1))</f>
        <v>180.31844548479722</v>
      </c>
      <c r="BJ38" s="59">
        <f t="shared" si="38"/>
        <v>273.83237400307223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38.023357194068481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38.023357194068481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12.740384615384613</v>
      </c>
      <c r="BY38" s="12">
        <f>IF('Données projet'!$A$114&gt;35,BY37+BX38-CG37,IF(A38&lt;'Données projet'!$A$114,$BV$205^A38,IF(A38='Données projet'!$A$114,'Données projet'!$B$114,BY37+BX38-CG37)))</f>
        <v>166.37307692307692</v>
      </c>
      <c r="BZ38" s="13">
        <f>BY38*VLOOKUP('Données projet'!$B$12,Paramètres!$A$1:$I$89,3,0)*VLOOKUP('Données projet'!$B$12,Paramètres!$A$1:$I$89,5,0)</f>
        <v>99.491100000000017</v>
      </c>
      <c r="CA38" s="13">
        <f t="shared" si="39"/>
        <v>26.84072316435665</v>
      </c>
      <c r="CB38" s="20">
        <f t="shared" si="10"/>
        <v>220.02792534458786</v>
      </c>
      <c r="CC38" s="59">
        <f t="shared" si="11"/>
        <v>513.36125867792111</v>
      </c>
      <c r="CD38" s="59">
        <f ca="1">AVERAGE(OFFSET($CC$3,0,0,'Données projet'!$E$12+1,1))-AVERAGE(OFFSET($H$3,0,0,'Données projet'!$E$12+1,1))</f>
        <v>214.34615950592251</v>
      </c>
      <c r="CE38" s="59">
        <f t="shared" si="40"/>
        <v>159.66077836853066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17.718668413399609</v>
      </c>
      <c r="CL38" s="21">
        <f>EXP(-LN(2)/25)*CL37+(1-EXP(-LN(2)/25))/(LN(2)/25)*Calculateur!CG38*Calculateur!CI38*VLOOKUP('Données projet'!$B$12,Paramètres!$A$1:$I$89,3,0)*0.475*44/12</f>
        <v>11.412851261951744</v>
      </c>
      <c r="CM38" s="21">
        <f>EXP(-LN(2)/2)*CM37+(1-EXP(-LN(2)/2))/(LN(2)/2)*CG38*CJ38*VLOOKUP('Données projet'!$B$12,Paramètres!$A$1:$I$89,3,0)*0.475*44/12</f>
        <v>2.2890253875290307</v>
      </c>
      <c r="CN38" s="22">
        <f t="shared" si="12"/>
        <v>31.420545062880382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16.847999999999999</v>
      </c>
      <c r="D39" s="11">
        <f t="shared" si="32"/>
        <v>5.5889495622773833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173.19750539301842</v>
      </c>
      <c r="H39" s="67">
        <f t="shared" si="1"/>
        <v>332.4110204876331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403.50769230769237</v>
      </c>
      <c r="L39" s="12">
        <f>VLOOKUP(A39,'Données projet'!$A$35:$I$55,9,0)</f>
        <v>22.884615384615397</v>
      </c>
      <c r="M39" s="12">
        <f t="array" ref="M39">INDEX(L:L,MIN(IF(ISNUMBER(L39:L235),ROW(L39:L235),"")))</f>
        <v>22.884615384615397</v>
      </c>
      <c r="N39" s="13">
        <f>IF('Données projet'!$A$36&gt;35,N38+M39-V38,IF(A39&lt;'Données projet'!$A$36,$K$205^A39,IF(A39='Données projet'!$A$36,'Données projet'!$B$36,N38+M39-V38)))</f>
        <v>403.50769230769237</v>
      </c>
      <c r="O39" s="13">
        <f>N39*VLOOKUP('Données projet'!$B$9,Paramètres!$A$1:$I$89,3,0)*VLOOKUP('Données projet'!$B$9,Paramètres!$A$1:$I$89,5,0)</f>
        <v>225.56080000000003</v>
      </c>
      <c r="P39" s="13">
        <f t="shared" si="33"/>
        <v>55.321736658663667</v>
      </c>
      <c r="Q39" s="20">
        <f t="shared" si="53"/>
        <v>489.20375134717256</v>
      </c>
      <c r="R39" s="59">
        <f t="shared" si="0"/>
        <v>782.53708468050581</v>
      </c>
      <c r="S39" s="59">
        <f ca="1">AVERAGE(OFFSET($R$3,0,0,'Données projet'!$E$9+1,1))-AVERAGE(OFFSET($H$3,0,0,'Données projet'!$E$9+1,1))</f>
        <v>279.32192402750189</v>
      </c>
      <c r="T39" s="59">
        <f t="shared" si="34"/>
        <v>371.43572414443611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69.3</v>
      </c>
      <c r="W39" s="16">
        <f>IF(ISNA(VLOOKUP(A39,'Données projet'!$A$35:$I$55,5,0)),0%,VLOOKUP(A39,'Données projet'!$A$35:$I$55,5,0)*VLOOKUP('Données projet'!$B$9,Paramètres!$A$1:$I$89,7,0))</f>
        <v>0.38500000000000001</v>
      </c>
      <c r="X39" s="16">
        <f>IF(ISNA(VLOOKUP(A39,'Données projet'!$A$35:$I$55,6,0)),0%,VLOOKUP(A39,'Données projet'!$A$35:$I$55,6,0)*VLOOKUP('Données projet'!$B$9,Paramètres!$A$1:$I$89,7,0))</f>
        <v>9.240000000000001E-2</v>
      </c>
      <c r="Y39" s="16">
        <f>IF(ISNA(VLOOKUP(A39,'Données projet'!$A$35:$I$55,7,0)),0%,VLOOKUP(A39,'Données projet'!$A$35:$I$55,7,0))</f>
        <v>0.13200000000000001</v>
      </c>
      <c r="Z39" s="21">
        <f>EXP(-LN(2)/35)*Z38+(1-EXP(-LN(2)/35))/(LN(2)/35)*V39*W39*VLOOKUP('Données projet'!$B$9,Paramètres!$A$1:$I$89,3,0)*0.475*44/12</f>
        <v>46.036190634544177</v>
      </c>
      <c r="AA39" s="21">
        <f>EXP(-LN(2)/25)*AA38+(1-EXP(-LN(2)/25))/(LN(2)/25)*Calculateur!V39*Calculateur!X39*VLOOKUP('Données projet'!$B$9,Paramètres!$A$1:$I$89,3,0)*0.475*44/12</f>
        <v>20.181403317675393</v>
      </c>
      <c r="AB39" s="21">
        <f>EXP(-LN(2)/2)*AB38+(1-EXP(-LN(2)/2))/(LN(2)/2)*V39*Y39*VLOOKUP('Données projet'!$B$9,Paramètres!$A$1:$I$89,3,0)*0.475*44/12</f>
        <v>6.5688475705786837</v>
      </c>
      <c r="AC39" s="22">
        <f t="shared" si="3"/>
        <v>72.786441522798256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14.690384615384611</v>
      </c>
      <c r="AI39" s="13">
        <f>IF('Données projet'!$A$62&gt;35,AI38+AH39-AQ38,IF(A39&lt;'Données projet'!$A$62,$AF$205^A39,IF(A39='Données projet'!$A$62,'Données projet'!$B$62,AI38+AH39-AQ38)))</f>
        <v>246.88076923076915</v>
      </c>
      <c r="AJ39" s="13">
        <f>AI39*VLOOKUP('Données projet'!$B$10,Paramètres!$A$1:$I$89,3,0)*VLOOKUP('Données projet'!$B$10,Paramètres!$A$1:$I$89,5,0)</f>
        <v>115.54019999999996</v>
      </c>
      <c r="AK39" s="13">
        <f t="shared" si="35"/>
        <v>30.632542537140463</v>
      </c>
      <c r="AL39" s="20">
        <f t="shared" si="4"/>
        <v>254.5841932521862</v>
      </c>
      <c r="AM39" s="59">
        <f t="shared" si="5"/>
        <v>547.91752658551945</v>
      </c>
      <c r="AN39" s="59">
        <f ca="1">AVERAGE(OFFSET($AM$3,0,0,'Données projet'!$E$10+1,1))-AVERAGE(OFFSET($H$3,0,0,'Données projet'!$E$10+1,1))</f>
        <v>192.20041613277965</v>
      </c>
      <c r="AO39" s="59">
        <f t="shared" si="36"/>
        <v>132.76245212522417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>
        <f>VLOOKUP(A39,'Données projet'!$A$87:$I$107,2,0)</f>
        <v>248</v>
      </c>
      <c r="BB39" s="12">
        <f>VLOOKUP(A39,'Données projet'!$A$87:$I$107,9,0)</f>
        <v>12.833333333333334</v>
      </c>
      <c r="BC39" s="12">
        <f t="array" ref="BC39">INDEX(BB:BB,MIN(IF(ISNUMBER(BB39:BB235),ROW(BB39:BB235),"")))</f>
        <v>12.833333333333334</v>
      </c>
      <c r="BD39" s="12">
        <f>IF('Données projet'!$A$88&gt;35,BD38+BC39-BL38,IF(A39&lt;'Données projet'!$A$88,$BA$205^A39,IF(A39='Données projet'!$A$88,'Données projet'!$B$88,BD38+BC39-BL38)))</f>
        <v>248</v>
      </c>
      <c r="BE39" s="13">
        <f>BD39*VLOOKUP('Données projet'!$B$11,Paramètres!$A$1:$I$89,3,0)*VLOOKUP('Données projet'!$B$11,Paramètres!$A$1:$I$89,5,0)</f>
        <v>154.75199999999998</v>
      </c>
      <c r="BF39" s="13">
        <f t="shared" si="37"/>
        <v>39.656526650076415</v>
      </c>
      <c r="BG39" s="20">
        <f t="shared" si="7"/>
        <v>338.5948505822164</v>
      </c>
      <c r="BH39" s="59">
        <f t="shared" si="8"/>
        <v>631.92818391554965</v>
      </c>
      <c r="BI39" s="59">
        <f ca="1">AVERAGE(OFFSET($BH$3,0,0,'Données projet'!$E$11+1,1))-AVERAGE(OFFSET($H$3,0,0,'Données projet'!$E$11+1,1))</f>
        <v>180.31844548479722</v>
      </c>
      <c r="BJ39" s="59">
        <f t="shared" si="38"/>
        <v>273.83237400307223</v>
      </c>
      <c r="BK39" s="15">
        <f>IF(ISNA(VLOOKUP(A39,'Données projet'!$A$87:$I$107,3,0)),0,VLOOKUP(A39,'Données projet'!$A$87:$I$107,3,0))</f>
        <v>5</v>
      </c>
      <c r="BL39" s="15">
        <f>IF(ISNA(VLOOKUP(A39,'Données projet'!$A$87:$I$107,4,0)),0,VLOOKUP(A39,'Données projet'!$A$87:$I$107,4,0))</f>
        <v>62</v>
      </c>
      <c r="BM39" s="16">
        <f>IF(ISNA(VLOOKUP(A39,'Données projet'!$A$87:$I$107,5,0)),0%,VLOOKUP(A39,'Données projet'!$A$87:$I$107,5,0)*VLOOKUP('Données projet'!$B$11,Paramètres!$A$1:$I$89,7,0))</f>
        <v>0.18</v>
      </c>
      <c r="BN39" s="16">
        <f>IF(ISNA(VLOOKUP(A39,'Données projet'!$A$87:$I$107,6,0)),0%,VLOOKUP(A39,'Données projet'!$A$87:$I$107,6,0)*VLOOKUP('Données projet'!$B$11,Paramètres!$A$1:$I$89,7,0))</f>
        <v>0.36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9.2379826173680861</v>
      </c>
      <c r="BQ39" s="21">
        <f>EXP(-LN(2)/25)*BQ38+(1-EXP(-LN(2)/25))/(LN(2)/25)*Calculateur!BL39*Calculateur!BN39*VLOOKUP('Données projet'!$B$11,Paramètres!$A$1:$I$89,3,0)*0.475*44/12</f>
        <v>55.386824811747573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64.624807429115663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12.740384615384613</v>
      </c>
      <c r="BY39" s="12">
        <f>IF('Données projet'!$A$114&gt;35,BY38+BX39-CG38,IF(A39&lt;'Données projet'!$A$114,$BV$205^A39,IF(A39='Données projet'!$A$114,'Données projet'!$B$114,BY38+BX39-CG38)))</f>
        <v>179.11346153846154</v>
      </c>
      <c r="BZ39" s="13">
        <f>BY39*VLOOKUP('Données projet'!$B$12,Paramètres!$A$1:$I$89,3,0)*VLOOKUP('Données projet'!$B$12,Paramètres!$A$1:$I$89,5,0)</f>
        <v>107.10985000000001</v>
      </c>
      <c r="CA39" s="13">
        <f t="shared" si="39"/>
        <v>28.648991101707331</v>
      </c>
      <c r="CB39" s="20">
        <f t="shared" si="10"/>
        <v>236.44664825214025</v>
      </c>
      <c r="CC39" s="59">
        <f t="shared" si="11"/>
        <v>529.77998158547359</v>
      </c>
      <c r="CD39" s="59">
        <f ca="1">AVERAGE(OFFSET($CC$3,0,0,'Données projet'!$E$12+1,1))-AVERAGE(OFFSET($H$3,0,0,'Données projet'!$E$12+1,1))</f>
        <v>214.34615950592251</v>
      </c>
      <c r="CE39" s="59">
        <f t="shared" si="40"/>
        <v>159.66077836853066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17.371216133133441</v>
      </c>
      <c r="CL39" s="21">
        <f>EXP(-LN(2)/25)*CL38+(1-EXP(-LN(2)/25))/(LN(2)/25)*Calculateur!CG39*Calculateur!CI39*VLOOKUP('Données projet'!$B$12,Paramètres!$A$1:$I$89,3,0)*0.475*44/12</f>
        <v>11.10076624401791</v>
      </c>
      <c r="CM39" s="21">
        <f>EXP(-LN(2)/2)*CM38+(1-EXP(-LN(2)/2))/(LN(2)/2)*CG39*CJ39*VLOOKUP('Données projet'!$B$12,Paramètres!$A$1:$I$89,3,0)*0.475*44/12</f>
        <v>1.6185853738299425</v>
      </c>
      <c r="CN39" s="22">
        <f t="shared" si="12"/>
        <v>30.090567750981293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17.315999999999999</v>
      </c>
      <c r="D40" s="11">
        <f t="shared" si="32"/>
        <v>5.7259077130880893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177.86735778524135</v>
      </c>
      <c r="H40" s="67">
        <f t="shared" si="1"/>
        <v>333.46465593362842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22.419230769230751</v>
      </c>
      <c r="N40" s="13">
        <f>IF('Données projet'!$A$36&gt;35,N39+M40-V39,IF(A40&lt;'Données projet'!$A$36,$K$205^A40,IF(A40='Données projet'!$A$36,'Données projet'!$B$36,N39+M40-V39)))</f>
        <v>356.62692307692311</v>
      </c>
      <c r="O40" s="13">
        <f>N40*VLOOKUP('Données projet'!$B$9,Paramètres!$A$1:$I$89,3,0)*VLOOKUP('Données projet'!$B$9,Paramètres!$A$1:$I$89,5,0)</f>
        <v>199.35445000000001</v>
      </c>
      <c r="P40" s="13">
        <f t="shared" si="33"/>
        <v>49.60226869073324</v>
      </c>
      <c r="Q40" s="20">
        <f t="shared" si="53"/>
        <v>433.59961838636042</v>
      </c>
      <c r="R40" s="59">
        <f t="shared" si="0"/>
        <v>726.93295171969373</v>
      </c>
      <c r="S40" s="59">
        <f ca="1">AVERAGE(OFFSET($R$3,0,0,'Données projet'!$E$9+1,1))-AVERAGE(OFFSET($H$3,0,0,'Données projet'!$E$9+1,1))</f>
        <v>279.32192402750189</v>
      </c>
      <c r="T40" s="59">
        <f t="shared" si="34"/>
        <v>371.43572414443611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45.133449015504453</v>
      </c>
      <c r="AA40" s="21">
        <f>EXP(-LN(2)/25)*AA39+(1-EXP(-LN(2)/25))/(LN(2)/25)*Calculateur!V40*Calculateur!X40*VLOOKUP('Données projet'!$B$9,Paramètres!$A$1:$I$89,3,0)*0.475*44/12</f>
        <v>19.629541782659683</v>
      </c>
      <c r="AB40" s="21">
        <f>EXP(-LN(2)/2)*AB39+(1-EXP(-LN(2)/2))/(LN(2)/2)*V40*Y40*VLOOKUP('Données projet'!$B$9,Paramètres!$A$1:$I$89,3,0)*0.475*44/12</f>
        <v>4.6448766617369657</v>
      </c>
      <c r="AC40" s="22">
        <f t="shared" si="3"/>
        <v>69.407867459901098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14.690384615384611</v>
      </c>
      <c r="AI40" s="13">
        <f>IF('Données projet'!$A$62&gt;35,AI39+AH40-AQ39,IF(A40&lt;'Données projet'!$A$62,$AF$205^A40,IF(A40='Données projet'!$A$62,'Données projet'!$B$62,AI39+AH40-AQ39)))</f>
        <v>261.57115384615378</v>
      </c>
      <c r="AJ40" s="13">
        <f>AI40*VLOOKUP('Données projet'!$B$10,Paramètres!$A$1:$I$89,3,0)*VLOOKUP('Données projet'!$B$10,Paramètres!$A$1:$I$89,5,0)</f>
        <v>122.41529999999996</v>
      </c>
      <c r="AK40" s="13">
        <f t="shared" si="35"/>
        <v>32.23767335088813</v>
      </c>
      <c r="AL40" s="20">
        <f t="shared" si="4"/>
        <v>269.35392858613005</v>
      </c>
      <c r="AM40" s="59">
        <f t="shared" si="5"/>
        <v>562.68726191946337</v>
      </c>
      <c r="AN40" s="59">
        <f ca="1">AVERAGE(OFFSET($AM$3,0,0,'Données projet'!$E$10+1,1))-AVERAGE(OFFSET($H$3,0,0,'Données projet'!$E$10+1,1))</f>
        <v>192.20041613277965</v>
      </c>
      <c r="AO40" s="59">
        <f t="shared" si="36"/>
        <v>132.76245212522417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11.5</v>
      </c>
      <c r="BD40" s="12">
        <f>IF('Données projet'!$A$88&gt;35,BD39+BC40-BL39,IF(A40&lt;'Données projet'!$A$88,$BA$205^A40,IF(A40='Données projet'!$A$88,'Données projet'!$B$88,BD39+BC40-BL39)))</f>
        <v>197.5</v>
      </c>
      <c r="BE40" s="13">
        <f>BD40*VLOOKUP('Données projet'!$B$11,Paramètres!$A$1:$I$89,3,0)*VLOOKUP('Données projet'!$B$11,Paramètres!$A$1:$I$89,5,0)</f>
        <v>123.24</v>
      </c>
      <c r="BF40" s="13">
        <f t="shared" si="37"/>
        <v>32.429500380369056</v>
      </c>
      <c r="BG40" s="20">
        <f t="shared" si="7"/>
        <v>271.12437982914275</v>
      </c>
      <c r="BH40" s="59">
        <f t="shared" si="8"/>
        <v>564.45771316247601</v>
      </c>
      <c r="BI40" s="59">
        <f ca="1">AVERAGE(OFFSET($BH$3,0,0,'Données projet'!$E$11+1,1))-AVERAGE(OFFSET($H$3,0,0,'Données projet'!$E$11+1,1))</f>
        <v>180.31844548479722</v>
      </c>
      <c r="BJ40" s="59">
        <f t="shared" si="38"/>
        <v>273.83237400307223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9.0568314128545229</v>
      </c>
      <c r="BQ40" s="21">
        <f>EXP(-LN(2)/25)*BQ39+(1-EXP(-LN(2)/25))/(LN(2)/25)*Calculateur!BL40*Calculateur!BN40*VLOOKUP('Données projet'!$B$11,Paramètres!$A$1:$I$89,3,0)*0.475*44/12</f>
        <v>53.872269174603808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62.929100587458329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12.740384615384613</v>
      </c>
      <c r="BY40" s="12">
        <f>IF('Données projet'!$A$114&gt;35,BY39+BX40-CG39,IF(A40&lt;'Données projet'!$A$114,$BV$205^A40,IF(A40='Données projet'!$A$114,'Données projet'!$B$114,BY39+BX40-CG39)))</f>
        <v>191.85384615384615</v>
      </c>
      <c r="BZ40" s="13">
        <f>BY40*VLOOKUP('Données projet'!$B$12,Paramètres!$A$1:$I$89,3,0)*VLOOKUP('Données projet'!$B$12,Paramètres!$A$1:$I$89,5,0)</f>
        <v>114.7286</v>
      </c>
      <c r="CA40" s="13">
        <f t="shared" si="39"/>
        <v>30.442335906087649</v>
      </c>
      <c r="CB40" s="20">
        <f t="shared" si="10"/>
        <v>252.83938003643598</v>
      </c>
      <c r="CC40" s="59">
        <f t="shared" si="11"/>
        <v>546.17271336976933</v>
      </c>
      <c r="CD40" s="59">
        <f ca="1">AVERAGE(OFFSET($CC$3,0,0,'Données projet'!$E$12+1,1))-AVERAGE(OFFSET($H$3,0,0,'Données projet'!$E$12+1,1))</f>
        <v>214.34615950592251</v>
      </c>
      <c r="CE40" s="59">
        <f t="shared" si="40"/>
        <v>159.66077836853066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17.030577180158328</v>
      </c>
      <c r="CL40" s="21">
        <f>EXP(-LN(2)/25)*CL39+(1-EXP(-LN(2)/25))/(LN(2)/25)*Calculateur!CG40*Calculateur!CI40*VLOOKUP('Données projet'!$B$12,Paramètres!$A$1:$I$89,3,0)*0.475*44/12</f>
        <v>10.797215207311314</v>
      </c>
      <c r="CM40" s="21">
        <f>EXP(-LN(2)/2)*CM39+(1-EXP(-LN(2)/2))/(LN(2)/2)*CG40*CJ40*VLOOKUP('Données projet'!$B$12,Paramètres!$A$1:$I$89,3,0)*0.475*44/12</f>
        <v>1.1445126937645154</v>
      </c>
      <c r="CN40" s="22">
        <f t="shared" si="12"/>
        <v>28.972305081234158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17.783999999999999</v>
      </c>
      <c r="D41" s="11">
        <f t="shared" si="32"/>
        <v>5.862435622634961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182.5338890168313</v>
      </c>
      <c r="H41" s="67">
        <f t="shared" si="1"/>
        <v>334.51754204275585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22.419230769230751</v>
      </c>
      <c r="N41" s="13">
        <f>IF('Données projet'!$A$36&gt;35,N40+M41-V40,IF(A41&lt;'Données projet'!$A$36,$K$205^A41,IF(A41='Données projet'!$A$36,'Données projet'!$B$36,N40+M41-V40)))</f>
        <v>379.04615384615386</v>
      </c>
      <c r="O41" s="13">
        <f>N41*VLOOKUP('Données projet'!$B$9,Paramètres!$A$1:$I$89,3,0)*VLOOKUP('Données projet'!$B$9,Paramètres!$A$1:$I$89,5,0)</f>
        <v>211.88679999999999</v>
      </c>
      <c r="P41" s="13">
        <f t="shared" si="33"/>
        <v>52.347684082939317</v>
      </c>
      <c r="Q41" s="20">
        <f t="shared" si="53"/>
        <v>460.20839311111928</v>
      </c>
      <c r="R41" s="59">
        <f t="shared" si="0"/>
        <v>753.54172644445259</v>
      </c>
      <c r="S41" s="59">
        <f ca="1">AVERAGE(OFFSET($R$3,0,0,'Données projet'!$E$9+1,1))-AVERAGE(OFFSET($H$3,0,0,'Données projet'!$E$9+1,1))</f>
        <v>279.32192402750189</v>
      </c>
      <c r="T41" s="59">
        <f t="shared" si="34"/>
        <v>371.43572414443611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44.248409608996077</v>
      </c>
      <c r="AA41" s="21">
        <f>EXP(-LN(2)/25)*AA40+(1-EXP(-LN(2)/25))/(LN(2)/25)*Calculateur!V41*Calculateur!X41*VLOOKUP('Données projet'!$B$9,Paramètres!$A$1:$I$89,3,0)*0.475*44/12</f>
        <v>19.092770930340116</v>
      </c>
      <c r="AB41" s="21">
        <f>EXP(-LN(2)/2)*AB40+(1-EXP(-LN(2)/2))/(LN(2)/2)*V41*Y41*VLOOKUP('Données projet'!$B$9,Paramètres!$A$1:$I$89,3,0)*0.475*44/12</f>
        <v>3.2844237852893423</v>
      </c>
      <c r="AC41" s="22">
        <f t="shared" si="3"/>
        <v>66.625604324625542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14.690384615384611</v>
      </c>
      <c r="AI41" s="13">
        <f>IF('Données projet'!$A$62&gt;35,AI40+AH41-AQ40,IF(A41&lt;'Données projet'!$A$62,$AF$205^A41,IF(A41='Données projet'!$A$62,'Données projet'!$B$62,AI40+AH41-AQ40)))</f>
        <v>276.26153846153841</v>
      </c>
      <c r="AJ41" s="13">
        <f>AI41*VLOOKUP('Données projet'!$B$10,Paramètres!$A$1:$I$89,3,0)*VLOOKUP('Données projet'!$B$10,Paramètres!$A$1:$I$89,5,0)</f>
        <v>129.29039999999998</v>
      </c>
      <c r="AK41" s="13">
        <f t="shared" si="35"/>
        <v>33.832339410932718</v>
      </c>
      <c r="AL41" s="20">
        <f t="shared" si="4"/>
        <v>284.10543780737447</v>
      </c>
      <c r="AM41" s="59">
        <f t="shared" si="5"/>
        <v>577.43877114070779</v>
      </c>
      <c r="AN41" s="59">
        <f ca="1">AVERAGE(OFFSET($AM$3,0,0,'Données projet'!$E$10+1,1))-AVERAGE(OFFSET($H$3,0,0,'Données projet'!$E$10+1,1))</f>
        <v>192.20041613277965</v>
      </c>
      <c r="AO41" s="59">
        <f t="shared" si="36"/>
        <v>132.76245212522417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11.5</v>
      </c>
      <c r="BD41" s="12">
        <f>IF('Données projet'!$A$88&gt;35,BD40+BC41-BL40,IF(A41&lt;'Données projet'!$A$88,$BA$205^A41,IF(A41='Données projet'!$A$88,'Données projet'!$B$88,BD40+BC41-BL40)))</f>
        <v>209</v>
      </c>
      <c r="BE41" s="13">
        <f>BD41*VLOOKUP('Données projet'!$B$11,Paramètres!$A$1:$I$89,3,0)*VLOOKUP('Données projet'!$B$11,Paramètres!$A$1:$I$89,5,0)</f>
        <v>130.416</v>
      </c>
      <c r="BF41" s="13">
        <f t="shared" si="37"/>
        <v>34.092466837179941</v>
      </c>
      <c r="BG41" s="20">
        <f t="shared" si="7"/>
        <v>286.51891307475506</v>
      </c>
      <c r="BH41" s="59">
        <f t="shared" si="8"/>
        <v>579.85224640808838</v>
      </c>
      <c r="BI41" s="59">
        <f ca="1">AVERAGE(OFFSET($BH$3,0,0,'Données projet'!$E$11+1,1))-AVERAGE(OFFSET($H$3,0,0,'Données projet'!$E$11+1,1))</f>
        <v>180.31844548479722</v>
      </c>
      <c r="BJ41" s="59">
        <f t="shared" si="38"/>
        <v>273.83237400307223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8.8792324729701466</v>
      </c>
      <c r="BQ41" s="21">
        <f>EXP(-LN(2)/25)*BQ40+(1-EXP(-LN(2)/25))/(LN(2)/25)*Calculateur!BL41*Calculateur!BN41*VLOOKUP('Données projet'!$B$11,Paramètres!$A$1:$I$89,3,0)*0.475*44/12</f>
        <v>52.399129141004757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61.278361613974901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12.740384615384613</v>
      </c>
      <c r="BY41" s="12">
        <f>IF('Données projet'!$A$114&gt;35,BY40+BX41-CG40,IF(A41&lt;'Données projet'!$A$114,$BV$205^A41,IF(A41='Données projet'!$A$114,'Données projet'!$B$114,BY40+BX41-CG40)))</f>
        <v>204.59423076923076</v>
      </c>
      <c r="BZ41" s="13">
        <f>BY41*VLOOKUP('Données projet'!$B$12,Paramètres!$A$1:$I$89,3,0)*VLOOKUP('Données projet'!$B$12,Paramètres!$A$1:$I$89,5,0)</f>
        <v>122.34735000000001</v>
      </c>
      <c r="CA41" s="13">
        <f t="shared" si="39"/>
        <v>32.221861336884544</v>
      </c>
      <c r="CB41" s="20">
        <f t="shared" si="10"/>
        <v>269.20804307840729</v>
      </c>
      <c r="CC41" s="59">
        <f t="shared" si="11"/>
        <v>562.54137641174066</v>
      </c>
      <c r="CD41" s="59">
        <f ca="1">AVERAGE(OFFSET($CC$3,0,0,'Données projet'!$E$12+1,1))-AVERAGE(OFFSET($H$3,0,0,'Données projet'!$E$12+1,1))</f>
        <v>214.34615950592251</v>
      </c>
      <c r="CE41" s="59">
        <f t="shared" si="40"/>
        <v>159.66077836853066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16.696617949281812</v>
      </c>
      <c r="CL41" s="21">
        <f>EXP(-LN(2)/25)*CL40+(1-EXP(-LN(2)/25))/(LN(2)/25)*Calculateur!CG41*Calculateur!CI41*VLOOKUP('Données projet'!$B$12,Paramètres!$A$1:$I$89,3,0)*0.475*44/12</f>
        <v>10.501964789666516</v>
      </c>
      <c r="CM41" s="21">
        <f>EXP(-LN(2)/2)*CM40+(1-EXP(-LN(2)/2))/(LN(2)/2)*CG41*CJ41*VLOOKUP('Données projet'!$B$12,Paramètres!$A$1:$I$89,3,0)*0.475*44/12</f>
        <v>0.80929268691497125</v>
      </c>
      <c r="CN41" s="22">
        <f t="shared" si="12"/>
        <v>28.0078754258633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18.251999999999999</v>
      </c>
      <c r="D42" s="11">
        <f t="shared" si="32"/>
        <v>5.9985459145634135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187.19719653347192</v>
      </c>
      <c r="H42" s="67">
        <f t="shared" si="1"/>
        <v>335.56970080119794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22.419230769230751</v>
      </c>
      <c r="N42" s="13">
        <f>IF('Données projet'!$A$36&gt;35,N41+M42-V41,IF(A42&lt;'Données projet'!$A$36,$K$205^A42,IF(A42='Données projet'!$A$36,'Données projet'!$B$36,N41+M42-V41)))</f>
        <v>401.46538461538461</v>
      </c>
      <c r="O42" s="13">
        <f>N42*VLOOKUP('Données projet'!$B$9,Paramètres!$A$1:$I$89,3,0)*VLOOKUP('Données projet'!$B$9,Paramètres!$A$1:$I$89,5,0)</f>
        <v>224.41915</v>
      </c>
      <c r="P42" s="13">
        <f t="shared" si="33"/>
        <v>55.074251579267461</v>
      </c>
      <c r="Q42" s="20">
        <f t="shared" si="53"/>
        <v>486.78434108389075</v>
      </c>
      <c r="R42" s="59">
        <f t="shared" si="0"/>
        <v>780.11767441722407</v>
      </c>
      <c r="S42" s="59">
        <f ca="1">AVERAGE(OFFSET($R$3,0,0,'Données projet'!$E$9+1,1))-AVERAGE(OFFSET($H$3,0,0,'Données projet'!$E$9+1,1))</f>
        <v>279.32192402750189</v>
      </c>
      <c r="T42" s="59">
        <f t="shared" si="34"/>
        <v>371.43572414443611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43.380725285428596</v>
      </c>
      <c r="AA42" s="21">
        <f>EXP(-LN(2)/25)*AA41+(1-EXP(-LN(2)/25))/(LN(2)/25)*Calculateur!V42*Calculateur!X42*VLOOKUP('Données projet'!$B$9,Paramètres!$A$1:$I$89,3,0)*0.475*44/12</f>
        <v>18.570678105204781</v>
      </c>
      <c r="AB42" s="21">
        <f>EXP(-LN(2)/2)*AB41+(1-EXP(-LN(2)/2))/(LN(2)/2)*V42*Y42*VLOOKUP('Données projet'!$B$9,Paramètres!$A$1:$I$89,3,0)*0.475*44/12</f>
        <v>2.3224383308684833</v>
      </c>
      <c r="AC42" s="22">
        <f t="shared" si="3"/>
        <v>64.273841721501853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14.690384615384611</v>
      </c>
      <c r="AI42" s="13">
        <f>IF('Données projet'!$A$62&gt;35,AI41+AH42-AQ41,IF(A42&lt;'Données projet'!$A$62,$AF$205^A42,IF(A42='Données projet'!$A$62,'Données projet'!$B$62,AI41+AH42-AQ41)))</f>
        <v>290.95192307692304</v>
      </c>
      <c r="AJ42" s="13">
        <f>AI42*VLOOKUP('Données projet'!$B$10,Paramètres!$A$1:$I$89,3,0)*VLOOKUP('Données projet'!$B$10,Paramètres!$A$1:$I$89,5,0)</f>
        <v>136.16549999999998</v>
      </c>
      <c r="AK42" s="13">
        <f t="shared" si="35"/>
        <v>35.417160641070218</v>
      </c>
      <c r="AL42" s="20">
        <f t="shared" si="4"/>
        <v>298.83980061653057</v>
      </c>
      <c r="AM42" s="59">
        <f t="shared" si="5"/>
        <v>592.17313394986388</v>
      </c>
      <c r="AN42" s="59">
        <f ca="1">AVERAGE(OFFSET($AM$3,0,0,'Données projet'!$E$10+1,1))-AVERAGE(OFFSET($H$3,0,0,'Données projet'!$E$10+1,1))</f>
        <v>192.20041613277965</v>
      </c>
      <c r="AO42" s="59">
        <f t="shared" si="36"/>
        <v>132.76245212522417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11.5</v>
      </c>
      <c r="BD42" s="12">
        <f>IF('Données projet'!$A$88&gt;35,BD41+BC42-BL41,IF(A42&lt;'Données projet'!$A$88,$BA$205^A42,IF(A42='Données projet'!$A$88,'Données projet'!$B$88,BD41+BC42-BL41)))</f>
        <v>220.5</v>
      </c>
      <c r="BE42" s="13">
        <f>BD42*VLOOKUP('Données projet'!$B$11,Paramètres!$A$1:$I$89,3,0)*VLOOKUP('Données projet'!$B$11,Paramètres!$A$1:$I$89,5,0)</f>
        <v>137.59199999999998</v>
      </c>
      <c r="BF42" s="13">
        <f t="shared" si="37"/>
        <v>35.744810729505772</v>
      </c>
      <c r="BG42" s="20">
        <f t="shared" si="7"/>
        <v>301.89494535388923</v>
      </c>
      <c r="BH42" s="59">
        <f t="shared" si="8"/>
        <v>595.22827868722254</v>
      </c>
      <c r="BI42" s="59">
        <f ca="1">AVERAGE(OFFSET($BH$3,0,0,'Données projet'!$E$11+1,1))-AVERAGE(OFFSET($H$3,0,0,'Données projet'!$E$11+1,1))</f>
        <v>180.31844548479722</v>
      </c>
      <c r="BJ42" s="59">
        <f t="shared" si="38"/>
        <v>273.83237400307223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8.7051161399722456</v>
      </c>
      <c r="BQ42" s="21">
        <f>EXP(-LN(2)/25)*BQ41+(1-EXP(-LN(2)/25))/(LN(2)/25)*Calculateur!BL42*Calculateur!BN42*VLOOKUP('Données projet'!$B$11,Paramètres!$A$1:$I$89,3,0)*0.475*44/12</f>
        <v>50.966272199093538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59.671388339065786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12.740384615384613</v>
      </c>
      <c r="BY42" s="12">
        <f>IF('Données projet'!$A$114&gt;35,BY41+BX42-CG41,IF(A42&lt;'Données projet'!$A$114,$BV$205^A42,IF(A42='Données projet'!$A$114,'Données projet'!$B$114,BY41+BX42-CG41)))</f>
        <v>217.33461538461538</v>
      </c>
      <c r="BZ42" s="13">
        <f>BY42*VLOOKUP('Données projet'!$B$12,Paramètres!$A$1:$I$89,3,0)*VLOOKUP('Données projet'!$B$12,Paramètres!$A$1:$I$89,5,0)</f>
        <v>129.96610000000001</v>
      </c>
      <c r="CA42" s="13">
        <f t="shared" si="39"/>
        <v>33.988525918782614</v>
      </c>
      <c r="CB42" s="20">
        <f t="shared" si="10"/>
        <v>285.55430680854636</v>
      </c>
      <c r="CC42" s="59">
        <f t="shared" si="11"/>
        <v>578.88764014187973</v>
      </c>
      <c r="CD42" s="59">
        <f ca="1">AVERAGE(OFFSET($CC$3,0,0,'Données projet'!$E$12+1,1))-AVERAGE(OFFSET($H$3,0,0,'Données projet'!$E$12+1,1))</f>
        <v>214.34615950592251</v>
      </c>
      <c r="CE42" s="59">
        <f t="shared" si="40"/>
        <v>159.66077836853066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16.369207455227766</v>
      </c>
      <c r="CL42" s="21">
        <f>EXP(-LN(2)/25)*CL41+(1-EXP(-LN(2)/25))/(LN(2)/25)*Calculateur!CG42*Calculateur!CI42*VLOOKUP('Données projet'!$B$12,Paramètres!$A$1:$I$89,3,0)*0.475*44/12</f>
        <v>10.21478801021876</v>
      </c>
      <c r="CM42" s="21">
        <f>EXP(-LN(2)/2)*CM41+(1-EXP(-LN(2)/2))/(LN(2)/2)*CG42*CJ42*VLOOKUP('Données projet'!$B$12,Paramètres!$A$1:$I$89,3,0)*0.475*44/12</f>
        <v>0.57225634688225768</v>
      </c>
      <c r="CN42" s="22">
        <f t="shared" si="12"/>
        <v>27.156251812328787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18.72</v>
      </c>
      <c r="D43" s="11">
        <f t="shared" si="32"/>
        <v>6.1342505282708037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191.85737249893251</v>
      </c>
      <c r="H43" s="67">
        <f t="shared" si="1"/>
        <v>336.62115300340497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22.419230769230751</v>
      </c>
      <c r="N43" s="13">
        <f>IF('Données projet'!$A$36&gt;35,N42+M43-V42,IF(A43&lt;'Données projet'!$A$36,$K$205^A43,IF(A43='Données projet'!$A$36,'Données projet'!$B$36,N42+M43-V42)))</f>
        <v>423.88461538461536</v>
      </c>
      <c r="O43" s="13">
        <f>N43*VLOOKUP('Données projet'!$B$9,Paramètres!$A$1:$I$89,3,0)*VLOOKUP('Données projet'!$B$9,Paramètres!$A$1:$I$89,5,0)</f>
        <v>236.95150000000001</v>
      </c>
      <c r="P43" s="13">
        <f t="shared" si="33"/>
        <v>57.783143668102753</v>
      </c>
      <c r="Q43" s="20">
        <f t="shared" si="53"/>
        <v>513.32950438861235</v>
      </c>
      <c r="R43" s="59">
        <f t="shared" si="0"/>
        <v>806.66283772194561</v>
      </c>
      <c r="S43" s="59">
        <f ca="1">AVERAGE(OFFSET($R$3,0,0,'Données projet'!$E$9+1,1))-AVERAGE(OFFSET($H$3,0,0,'Données projet'!$E$9+1,1))</f>
        <v>279.32192402750189</v>
      </c>
      <c r="T43" s="59">
        <f t="shared" si="34"/>
        <v>371.43572414443611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42.530055722211095</v>
      </c>
      <c r="AA43" s="21">
        <f>EXP(-LN(2)/25)*AA42+(1-EXP(-LN(2)/25))/(LN(2)/25)*Calculateur!V43*Calculateur!X43*VLOOKUP('Données projet'!$B$9,Paramètres!$A$1:$I$89,3,0)*0.475*44/12</f>
        <v>18.062861935828437</v>
      </c>
      <c r="AB43" s="21">
        <f>EXP(-LN(2)/2)*AB42+(1-EXP(-LN(2)/2))/(LN(2)/2)*V43*Y43*VLOOKUP('Données projet'!$B$9,Paramètres!$A$1:$I$89,3,0)*0.475*44/12</f>
        <v>1.6422118926446714</v>
      </c>
      <c r="AC43" s="22">
        <f t="shared" si="3"/>
        <v>62.235129550684206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14.690384615384611</v>
      </c>
      <c r="AI43" s="13">
        <f>IF('Données projet'!$A$62&gt;35,AI42+AH43-AQ42,IF(A43&lt;'Données projet'!$A$62,$AF$205^A43,IF(A43='Données projet'!$A$62,'Données projet'!$B$62,AI42+AH43-AQ42)))</f>
        <v>305.64230769230767</v>
      </c>
      <c r="AJ43" s="13">
        <f>AI43*VLOOKUP('Données projet'!$B$10,Paramètres!$A$1:$I$89,3,0)*VLOOKUP('Données projet'!$B$10,Paramètres!$A$1:$I$89,5,0)</f>
        <v>143.04059999999998</v>
      </c>
      <c r="AK43" s="13">
        <f t="shared" si="35"/>
        <v>36.992690828109559</v>
      </c>
      <c r="AL43" s="20">
        <f t="shared" si="4"/>
        <v>313.55798152562414</v>
      </c>
      <c r="AM43" s="59">
        <f t="shared" si="5"/>
        <v>606.89131485895746</v>
      </c>
      <c r="AN43" s="59">
        <f ca="1">AVERAGE(OFFSET($AM$3,0,0,'Données projet'!$E$10+1,1))-AVERAGE(OFFSET($H$3,0,0,'Données projet'!$E$10+1,1))</f>
        <v>192.20041613277965</v>
      </c>
      <c r="AO43" s="59">
        <f t="shared" si="36"/>
        <v>132.76245212522417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11.5</v>
      </c>
      <c r="BD43" s="12">
        <f>IF('Données projet'!$A$88&gt;35,BD42+BC43-BL42,IF(A43&lt;'Données projet'!$A$88,$BA$205^A43,IF(A43='Données projet'!$A$88,'Données projet'!$B$88,BD42+BC43-BL42)))</f>
        <v>232</v>
      </c>
      <c r="BE43" s="13">
        <f>BD43*VLOOKUP('Données projet'!$B$11,Paramètres!$A$1:$I$89,3,0)*VLOOKUP('Données projet'!$B$11,Paramètres!$A$1:$I$89,5,0)</f>
        <v>144.768</v>
      </c>
      <c r="BF43" s="13">
        <f t="shared" si="37"/>
        <v>37.387149255707826</v>
      </c>
      <c r="BG43" s="20">
        <f t="shared" si="7"/>
        <v>317.25355162035777</v>
      </c>
      <c r="BH43" s="59">
        <f t="shared" si="8"/>
        <v>610.58688495369108</v>
      </c>
      <c r="BI43" s="59">
        <f ca="1">AVERAGE(OFFSET($BH$3,0,0,'Données projet'!$E$11+1,1))-AVERAGE(OFFSET($H$3,0,0,'Données projet'!$E$11+1,1))</f>
        <v>180.31844548479722</v>
      </c>
      <c r="BJ43" s="59">
        <f t="shared" si="38"/>
        <v>273.83237400307223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8.5344141220639553</v>
      </c>
      <c r="BQ43" s="21">
        <f>EXP(-LN(2)/25)*BQ42+(1-EXP(-LN(2)/25))/(LN(2)/25)*Calculateur!BL43*Calculateur!BN43*VLOOKUP('Données projet'!$B$11,Paramètres!$A$1:$I$89,3,0)*0.475*44/12</f>
        <v>49.572596805609557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58.107010927673514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12.740384615384613</v>
      </c>
      <c r="BY43" s="12">
        <f>IF('Données projet'!$A$114&gt;35,BY42+BX43-CG42,IF(A43&lt;'Données projet'!$A$114,$BV$205^A43,IF(A43='Données projet'!$A$114,'Données projet'!$B$114,BY42+BX43-CG42)))</f>
        <v>230.07499999999999</v>
      </c>
      <c r="BZ43" s="13">
        <f>BY43*VLOOKUP('Données projet'!$B$12,Paramètres!$A$1:$I$89,3,0)*VLOOKUP('Données projet'!$B$12,Paramètres!$A$1:$I$89,5,0)</f>
        <v>137.58485000000002</v>
      </c>
      <c r="CA43" s="13">
        <f t="shared" si="39"/>
        <v>35.743169448737028</v>
      </c>
      <c r="CB43" s="20">
        <f t="shared" si="10"/>
        <v>301.87963387321702</v>
      </c>
      <c r="CC43" s="59">
        <f t="shared" si="11"/>
        <v>595.21296720655027</v>
      </c>
      <c r="CD43" s="59">
        <f ca="1">AVERAGE(OFFSET($CC$3,0,0,'Données projet'!$E$12+1,1))-AVERAGE(OFFSET($H$3,0,0,'Données projet'!$E$12+1,1))</f>
        <v>214.34615950592251</v>
      </c>
      <c r="CE43" s="59">
        <f t="shared" si="40"/>
        <v>159.66077836853066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16.048217281261437</v>
      </c>
      <c r="CL43" s="21">
        <f>EXP(-LN(2)/25)*CL42+(1-EXP(-LN(2)/25))/(LN(2)/25)*Calculateur!CG43*Calculateur!CI43*VLOOKUP('Données projet'!$B$12,Paramètres!$A$1:$I$89,3,0)*0.475*44/12</f>
        <v>9.9354640949069726</v>
      </c>
      <c r="CM43" s="21">
        <f>EXP(-LN(2)/2)*CM42+(1-EXP(-LN(2)/2))/(LN(2)/2)*CG43*CJ43*VLOOKUP('Données projet'!$B$12,Paramètres!$A$1:$I$89,3,0)*0.475*44/12</f>
        <v>0.40464634345748562</v>
      </c>
      <c r="CN43" s="22">
        <f t="shared" si="12"/>
        <v>26.388327719625895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19.187999999999999</v>
      </c>
      <c r="D44" s="11">
        <f t="shared" si="32"/>
        <v>6.2695607721610704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196.51450420615564</v>
      </c>
      <c r="H44" s="67">
        <f t="shared" si="1"/>
        <v>337.6719183448472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22.419230769230751</v>
      </c>
      <c r="N44" s="13">
        <f>IF('Données projet'!$A$36&gt;35,N43+M44-V43,IF(A44&lt;'Données projet'!$A$36,$K$205^A44,IF(A44='Données projet'!$A$36,'Données projet'!$B$36,N43+M44-V43)))</f>
        <v>446.30384615384611</v>
      </c>
      <c r="O44" s="13">
        <f>N44*VLOOKUP('Données projet'!$B$9,Paramètres!$A$1:$I$89,3,0)*VLOOKUP('Données projet'!$B$9,Paramètres!$A$1:$I$89,5,0)</f>
        <v>249.48384999999996</v>
      </c>
      <c r="P44" s="13">
        <f t="shared" si="33"/>
        <v>60.475401807280001</v>
      </c>
      <c r="Q44" s="20">
        <f t="shared" si="53"/>
        <v>539.8456968976792</v>
      </c>
      <c r="R44" s="59">
        <f t="shared" si="0"/>
        <v>833.17903023101258</v>
      </c>
      <c r="S44" s="59">
        <f ca="1">AVERAGE(OFFSET($R$3,0,0,'Données projet'!$E$9+1,1))-AVERAGE(OFFSET($H$3,0,0,'Données projet'!$E$9+1,1))</f>
        <v>279.32192402750189</v>
      </c>
      <c r="T44" s="59">
        <f t="shared" si="34"/>
        <v>371.43572414443611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41.696067270271087</v>
      </c>
      <c r="AA44" s="21">
        <f>EXP(-LN(2)/25)*AA43+(1-EXP(-LN(2)/25))/(LN(2)/25)*Calculateur!V44*Calculateur!X44*VLOOKUP('Données projet'!$B$9,Paramètres!$A$1:$I$89,3,0)*0.475*44/12</f>
        <v>17.568932026308584</v>
      </c>
      <c r="AB44" s="21">
        <f>EXP(-LN(2)/2)*AB43+(1-EXP(-LN(2)/2))/(LN(2)/2)*V44*Y44*VLOOKUP('Données projet'!$B$9,Paramètres!$A$1:$I$89,3,0)*0.475*44/12</f>
        <v>1.1612191654342419</v>
      </c>
      <c r="AC44" s="22">
        <f t="shared" si="3"/>
        <v>60.426218462013914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14.690384615384611</v>
      </c>
      <c r="AI44" s="13">
        <f>IF('Données projet'!$A$62&gt;35,AI43+AH44-AQ43,IF(A44&lt;'Données projet'!$A$62,$AF$205^A44,IF(A44='Données projet'!$A$62,'Données projet'!$B$62,AI43+AH44-AQ43)))</f>
        <v>320.3326923076923</v>
      </c>
      <c r="AJ44" s="13">
        <f>AI44*VLOOKUP('Données projet'!$B$10,Paramètres!$A$1:$I$89,3,0)*VLOOKUP('Données projet'!$B$10,Paramètres!$A$1:$I$89,5,0)</f>
        <v>149.91569999999999</v>
      </c>
      <c r="AK44" s="13">
        <f t="shared" si="35"/>
        <v>38.559427516613091</v>
      </c>
      <c r="AL44" s="20">
        <f t="shared" si="4"/>
        <v>328.26084709143441</v>
      </c>
      <c r="AM44" s="59">
        <f t="shared" si="5"/>
        <v>621.59418042476773</v>
      </c>
      <c r="AN44" s="59">
        <f ca="1">AVERAGE(OFFSET($AM$3,0,0,'Données projet'!$E$10+1,1))-AVERAGE(OFFSET($H$3,0,0,'Données projet'!$E$10+1,1))</f>
        <v>192.20041613277965</v>
      </c>
      <c r="AO44" s="59">
        <f t="shared" si="36"/>
        <v>132.76245212522417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11.5</v>
      </c>
      <c r="BD44" s="12">
        <f>IF('Données projet'!$A$88&gt;35,BD43+BC44-BL43,IF(A44&lt;'Données projet'!$A$88,$BA$205^A44,IF(A44='Données projet'!$A$88,'Données projet'!$B$88,BD43+BC44-BL43)))</f>
        <v>243.5</v>
      </c>
      <c r="BE44" s="13">
        <f>BD44*VLOOKUP('Données projet'!$B$11,Paramètres!$A$1:$I$89,3,0)*VLOOKUP('Données projet'!$B$11,Paramètres!$A$1:$I$89,5,0)</f>
        <v>151.94399999999999</v>
      </c>
      <c r="BF44" s="13">
        <f t="shared" si="37"/>
        <v>39.02003496976517</v>
      </c>
      <c r="BG44" s="20">
        <f t="shared" si="7"/>
        <v>332.59569423900763</v>
      </c>
      <c r="BH44" s="59">
        <f t="shared" si="8"/>
        <v>625.92902757234094</v>
      </c>
      <c r="BI44" s="59">
        <f ca="1">AVERAGE(OFFSET($BH$3,0,0,'Données projet'!$E$11+1,1))-AVERAGE(OFFSET($H$3,0,0,'Données projet'!$E$11+1,1))</f>
        <v>180.31844548479722</v>
      </c>
      <c r="BJ44" s="59">
        <f t="shared" si="38"/>
        <v>273.83237400307223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8.3670594666088967</v>
      </c>
      <c r="BQ44" s="21">
        <f>EXP(-LN(2)/25)*BQ43+(1-EXP(-LN(2)/25))/(LN(2)/25)*Calculateur!BL44*Calculateur!BN44*VLOOKUP('Données projet'!$B$11,Paramètres!$A$1:$I$89,3,0)*0.475*44/12</f>
        <v>48.217031539050595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56.584091005659488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>
        <f>VLOOKUP(A44,'Données projet'!$A$113:$I$133,2,0)</f>
        <v>242.81538461538457</v>
      </c>
      <c r="BW44" s="12">
        <f>VLOOKUP(A44,'Données projet'!$A$113:$I$133,9,0)</f>
        <v>12.740384615384613</v>
      </c>
      <c r="BX44" s="12">
        <f t="array" ref="BX44">INDEX(BW:BW,MIN(IF(ISNUMBER(BW44:BW240),ROW(BW44:BW240),"")))</f>
        <v>12.740384615384613</v>
      </c>
      <c r="BY44" s="12">
        <f>IF('Données projet'!$A$114&gt;35,BY43+BX44-CG43,IF(A44&lt;'Données projet'!$A$114,$BV$205^A44,IF(A44='Données projet'!$A$114,'Données projet'!$B$114,BY43+BX44-CG43)))</f>
        <v>242.8153846153846</v>
      </c>
      <c r="BZ44" s="13">
        <f>BY44*VLOOKUP('Données projet'!$B$12,Paramètres!$A$1:$I$89,3,0)*VLOOKUP('Données projet'!$B$12,Paramètres!$A$1:$I$89,5,0)</f>
        <v>145.20359999999999</v>
      </c>
      <c r="CA44" s="13">
        <f t="shared" si="39"/>
        <v>37.4865334633907</v>
      </c>
      <c r="CB44" s="20">
        <f t="shared" si="10"/>
        <v>318.18531578207211</v>
      </c>
      <c r="CC44" s="59">
        <f t="shared" si="11"/>
        <v>611.51864911540542</v>
      </c>
      <c r="CD44" s="59">
        <f ca="1">AVERAGE(OFFSET($CC$3,0,0,'Données projet'!$E$12+1,1))-AVERAGE(OFFSET($H$3,0,0,'Données projet'!$E$12+1,1))</f>
        <v>214.34615950592251</v>
      </c>
      <c r="CE44" s="59">
        <f t="shared" si="40"/>
        <v>159.66077836853066</v>
      </c>
      <c r="CF44" s="15">
        <f>IF(ISNA(VLOOKUP(A44,'Données projet'!$A$113:$I$133,3,0)),0,VLOOKUP(A44,'Données projet'!$A$113:$I$133,3,0))</f>
        <v>4</v>
      </c>
      <c r="CG44" s="15">
        <f>IF(ISNA(VLOOKUP(A44,'Données projet'!$A$113:$I$133,4,0)),0,VLOOKUP(A44,'Données projet'!$A$113:$I$133,4,0))</f>
        <v>58.484615384615381</v>
      </c>
      <c r="CH44" s="16">
        <f>IF(ISNA(VLOOKUP(A44,'Données projet'!$A$113:$I$133,5,0)),0%,VLOOKUP(A44,'Données projet'!$A$113:$I$133,5,0)*VLOOKUP('Données projet'!$B$12,Paramètres!$A$1:$I$89,7,0))</f>
        <v>0.315</v>
      </c>
      <c r="CI44" s="16">
        <f>IF(ISNA(VLOOKUP(A44,'Données projet'!$A$113:$I$133,6,0)),0%,VLOOKUP(A44,'Données projet'!$A$113:$I$133,6,0)*VLOOKUP('Données projet'!$B$12,Paramètres!$A$1:$I$89,7,0))</f>
        <v>7.5600000000000001E-2</v>
      </c>
      <c r="CJ44" s="16">
        <f>IF(ISNA(VLOOKUP(A44,'Données projet'!$A$113:$I$133,7,0)),0%,VLOOKUP(A44,'Données projet'!$A$113:$I$133,7,0))</f>
        <v>0.13200000000000001</v>
      </c>
      <c r="CK44" s="21">
        <f>EXP(-LN(2)/35)*CK43+(1-EXP(-LN(2)/35))/(LN(2)/35)*CG44*CH44*VLOOKUP('Données projet'!$B$12,Paramètres!$A$1:$I$89,3,0)*0.475*44/12</f>
        <v>30.347946513592099</v>
      </c>
      <c r="CL44" s="21">
        <f>EXP(-LN(2)/25)*CL43+(1-EXP(-LN(2)/25))/(LN(2)/25)*Calculateur!CG44*Calculateur!CI44*VLOOKUP('Données projet'!$B$12,Paramètres!$A$1:$I$89,3,0)*0.475*44/12</f>
        <v>13.157430088765832</v>
      </c>
      <c r="CM44" s="21">
        <f>EXP(-LN(2)/2)*CM43+(1-EXP(-LN(2)/2))/(LN(2)/2)*CG44*CJ44*VLOOKUP('Données projet'!$B$12,Paramètres!$A$1:$I$89,3,0)*0.475*44/12</f>
        <v>5.5131256758356351</v>
      </c>
      <c r="CN44" s="22">
        <f t="shared" si="12"/>
        <v>49.018502278193566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19.655999999999999</v>
      </c>
      <c r="D45" s="11">
        <f t="shared" si="32"/>
        <v>6.4044873715575275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201.16867444711076</v>
      </c>
      <c r="H45" s="67">
        <f t="shared" si="1"/>
        <v>338.72201550546265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468.72307692307686</v>
      </c>
      <c r="L45" s="12">
        <f>VLOOKUP(A45,'Données projet'!$A$35:$I$55,9,0)</f>
        <v>22.419230769230751</v>
      </c>
      <c r="M45" s="12">
        <f t="array" ref="M45">INDEX(L:L,MIN(IF(ISNUMBER(L45:L241),ROW(L45:L241),"")))</f>
        <v>22.419230769230751</v>
      </c>
      <c r="N45" s="13">
        <f>IF('Données projet'!$A$36&gt;35,N44+M45-V44,IF(A45&lt;'Données projet'!$A$36,$K$205^A45,IF(A45='Données projet'!$A$36,'Données projet'!$B$36,N44+M45-V44)))</f>
        <v>468.72307692307686</v>
      </c>
      <c r="O45" s="13">
        <f>N45*VLOOKUP('Données projet'!$B$9,Paramètres!$A$1:$I$89,3,0)*VLOOKUP('Données projet'!$B$9,Paramètres!$A$1:$I$89,5,0)</f>
        <v>262.01619999999997</v>
      </c>
      <c r="P45" s="13">
        <f t="shared" si="33"/>
        <v>63.151956912854622</v>
      </c>
      <c r="Q45" s="20">
        <f t="shared" si="53"/>
        <v>566.33453995655509</v>
      </c>
      <c r="R45" s="59">
        <f t="shared" si="0"/>
        <v>859.66787328988835</v>
      </c>
      <c r="S45" s="59">
        <f ca="1">AVERAGE(OFFSET($R$3,0,0,'Données projet'!$E$9+1,1))-AVERAGE(OFFSET($H$3,0,0,'Données projet'!$E$9+1,1))</f>
        <v>279.32192402750189</v>
      </c>
      <c r="T45" s="59">
        <f t="shared" si="34"/>
        <v>371.43572414443611</v>
      </c>
      <c r="U45" s="15">
        <f>IF(ISNA(VLOOKUP(A45,'Données projet'!$A$35:$I$55,3,0)),0,VLOOKUP(A45,'Données projet'!$A$35:$I$55,3,0))</f>
        <v>5</v>
      </c>
      <c r="V45" s="15">
        <f>IF(ISNA(VLOOKUP(A45,'Données projet'!$A$35:$I$55,4,0)),0,VLOOKUP(A45,'Données projet'!$A$35:$I$55,4,0))</f>
        <v>73.392307692307682</v>
      </c>
      <c r="W45" s="16">
        <f>IF(ISNA(VLOOKUP(A45,'Données projet'!$A$35:$I$55,5,0)),0%,VLOOKUP(A45,'Données projet'!$A$35:$I$55,5,0)*VLOOKUP('Données projet'!$B$9,Paramètres!$A$1:$I$89,7,0))</f>
        <v>0.38500000000000001</v>
      </c>
      <c r="X45" s="16">
        <f>IF(ISNA(VLOOKUP(A45,'Données projet'!$A$35:$I$55,6,0)),0%,VLOOKUP(A45,'Données projet'!$A$35:$I$55,6,0)*VLOOKUP('Données projet'!$B$9,Paramètres!$A$1:$I$89,7,0))</f>
        <v>9.240000000000001E-2</v>
      </c>
      <c r="Y45" s="16">
        <f>IF(ISNA(VLOOKUP(A45,'Données projet'!$A$35:$I$55,7,0)),0%,VLOOKUP(A45,'Données projet'!$A$35:$I$55,7,0))</f>
        <v>0.13200000000000001</v>
      </c>
      <c r="Z45" s="21">
        <f>EXP(-LN(2)/35)*Z44+(1-EXP(-LN(2)/35))/(LN(2)/35)*V45*W45*VLOOKUP('Données projet'!$B$9,Paramètres!$A$1:$I$89,3,0)*0.475*44/12</f>
        <v>61.831684880697594</v>
      </c>
      <c r="AA45" s="21">
        <f>EXP(-LN(2)/25)*AA44+(1-EXP(-LN(2)/25))/(LN(2)/25)*Calculateur!V45*Calculateur!X45*VLOOKUP('Données projet'!$B$9,Paramètres!$A$1:$I$89,3,0)*0.475*44/12</f>
        <v>22.097488925021114</v>
      </c>
      <c r="AB45" s="21">
        <f>EXP(-LN(2)/2)*AB44+(1-EXP(-LN(2)/2))/(LN(2)/2)*V45*Y45*VLOOKUP('Données projet'!$B$9,Paramètres!$A$1:$I$89,3,0)*0.475*44/12</f>
        <v>6.9526777981796624</v>
      </c>
      <c r="AC45" s="22">
        <f t="shared" si="3"/>
        <v>90.881851603898369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335.02307692307687</v>
      </c>
      <c r="AG45" s="12">
        <f>VLOOKUP(A45,'Données projet'!$A$61:$I$81,9,0)</f>
        <v>14.690384615384611</v>
      </c>
      <c r="AH45" s="12">
        <f t="array" ref="AH45">INDEX(AG:AG,MIN(IF(ISNUMBER(AG45:AG241),ROW(AG45:AG241),"")))</f>
        <v>14.690384615384611</v>
      </c>
      <c r="AI45" s="13">
        <f>IF('Données projet'!$A$62&gt;35,AI44+AH45-AQ44,IF(A45&lt;'Données projet'!$A$62,$AF$205^A45,IF(A45='Données projet'!$A$62,'Données projet'!$B$62,AI44+AH45-AQ44)))</f>
        <v>335.02307692307693</v>
      </c>
      <c r="AJ45" s="13">
        <f>AI45*VLOOKUP('Données projet'!$B$10,Paramètres!$A$1:$I$89,3,0)*VLOOKUP('Données projet'!$B$10,Paramètres!$A$1:$I$89,5,0)</f>
        <v>156.79079999999999</v>
      </c>
      <c r="AK45" s="13">
        <f t="shared" si="35"/>
        <v>40.117820037225911</v>
      </c>
      <c r="AL45" s="20">
        <f t="shared" si="4"/>
        <v>342.94917989816844</v>
      </c>
      <c r="AM45" s="59">
        <f t="shared" si="5"/>
        <v>636.28251323150175</v>
      </c>
      <c r="AN45" s="59">
        <f ca="1">AVERAGE(OFFSET($AM$3,0,0,'Données projet'!$E$10+1,1))-AVERAGE(OFFSET($H$3,0,0,'Données projet'!$E$10+1,1))</f>
        <v>192.20041613277965</v>
      </c>
      <c r="AO45" s="59">
        <f t="shared" si="36"/>
        <v>132.76245212522417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104.98461538461537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0.30800000000000005</v>
      </c>
      <c r="AT45" s="16">
        <f>IF(ISNA(VLOOKUP(A45,'Données projet'!$A$61:$I$81,7,0)),0%,VLOOKUP(A45,'Données projet'!$A$61:$I$81,7,0))</f>
        <v>0.44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19.995728411199782</v>
      </c>
      <c r="AW45" s="21">
        <f>EXP(-LN(2)/2)*AW44+(1-EXP(-LN(2)/2))/(LN(2)/2)*AQ45*AT45*VLOOKUP('Données projet'!$B$10,Paramètres!$A$1:$I$89,3,0)*0.475*44/12</f>
        <v>24.477086932279665</v>
      </c>
      <c r="AX45" s="21">
        <f t="shared" si="6"/>
        <v>44.472815343479446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255</v>
      </c>
      <c r="BB45" s="12">
        <f>VLOOKUP(A45,'Données projet'!$A$87:$I$107,9,0)</f>
        <v>11.5</v>
      </c>
      <c r="BC45" s="12">
        <f t="array" ref="BC45">INDEX(BB:BB,MIN(IF(ISNUMBER(BB45:BB241),ROW(BB45:BB241),"")))</f>
        <v>11.5</v>
      </c>
      <c r="BD45" s="12">
        <f>IF('Données projet'!$A$88&gt;35,BD44+BC45-BL44,IF(A45&lt;'Données projet'!$A$88,$BA$205^A45,IF(A45='Données projet'!$A$88,'Données projet'!$B$88,BD44+BC45-BL44)))</f>
        <v>255</v>
      </c>
      <c r="BE45" s="13">
        <f>BD45*VLOOKUP('Données projet'!$B$11,Paramètres!$A$1:$I$89,3,0)*VLOOKUP('Données projet'!$B$11,Paramètres!$A$1:$I$89,5,0)</f>
        <v>159.12</v>
      </c>
      <c r="BF45" s="13">
        <f t="shared" si="37"/>
        <v>40.643965284387697</v>
      </c>
      <c r="BG45" s="20">
        <f t="shared" si="7"/>
        <v>347.92223953697521</v>
      </c>
      <c r="BH45" s="59">
        <f t="shared" si="8"/>
        <v>641.25557287030847</v>
      </c>
      <c r="BI45" s="59">
        <f ca="1">AVERAGE(OFFSET($BH$3,0,0,'Données projet'!$E$11+1,1))-AVERAGE(OFFSET($H$3,0,0,'Données projet'!$E$11+1,1))</f>
        <v>180.31844548479722</v>
      </c>
      <c r="BJ45" s="59">
        <f t="shared" si="38"/>
        <v>273.83237400307223</v>
      </c>
      <c r="BK45" s="15">
        <f>IF(ISNA(VLOOKUP(A45,'Données projet'!$A$87:$I$107,3,0)),0,VLOOKUP(A45,'Données projet'!$A$87:$I$107,3,0))</f>
        <v>6</v>
      </c>
      <c r="BL45" s="15">
        <f>IF(ISNA(VLOOKUP(A45,'Données projet'!$A$87:$I$107,4,0)),0,VLOOKUP(A45,'Données projet'!$A$87:$I$107,4,0))</f>
        <v>67</v>
      </c>
      <c r="BM45" s="16">
        <f>IF(ISNA(VLOOKUP(A45,'Données projet'!$A$87:$I$107,5,0)),0%,VLOOKUP(A45,'Données projet'!$A$87:$I$107,5,0)*VLOOKUP('Données projet'!$B$11,Paramètres!$A$1:$I$89,7,0))</f>
        <v>0.18</v>
      </c>
      <c r="BN45" s="16">
        <f>IF(ISNA(VLOOKUP(A45,'Données projet'!$A$87:$I$107,6,0)),0%,VLOOKUP(A45,'Données projet'!$A$87:$I$107,6,0)*VLOOKUP('Données projet'!$B$11,Paramètres!$A$1:$I$89,7,0))</f>
        <v>0.36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18.185967749413983</v>
      </c>
      <c r="BQ45" s="21">
        <f>EXP(-LN(2)/25)*BQ44+(1-EXP(-LN(2)/25))/(LN(2)/25)*Calculateur!BL45*Calculateur!BN45*VLOOKUP('Données projet'!$B$11,Paramètres!$A$1:$I$89,3,0)*0.475*44/12</f>
        <v>66.785883105358337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84.971850854772327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11.861538461538462</v>
      </c>
      <c r="BY45" s="12">
        <f>IF('Données projet'!$A$114&gt;35,BY44+BX45-CG44,IF(A45&lt;'Données projet'!$A$114,$BV$205^A45,IF(A45='Données projet'!$A$114,'Données projet'!$B$114,BY44+BX45-CG44)))</f>
        <v>196.19230769230768</v>
      </c>
      <c r="BZ45" s="13">
        <f>BY45*VLOOKUP('Données projet'!$B$12,Paramètres!$A$1:$I$89,3,0)*VLOOKUP('Données projet'!$B$12,Paramètres!$A$1:$I$89,5,0)</f>
        <v>117.32300000000001</v>
      </c>
      <c r="CA45" s="13">
        <f t="shared" si="39"/>
        <v>31.049815552357138</v>
      </c>
      <c r="CB45" s="20">
        <f t="shared" si="10"/>
        <v>258.41598708702196</v>
      </c>
      <c r="CC45" s="59">
        <f t="shared" si="11"/>
        <v>551.74932042035528</v>
      </c>
      <c r="CD45" s="59">
        <f ca="1">AVERAGE(OFFSET($CC$3,0,0,'Données projet'!$E$12+1,1))-AVERAGE(OFFSET($H$3,0,0,'Données projet'!$E$12+1,1))</f>
        <v>214.34615950592251</v>
      </c>
      <c r="CE45" s="59">
        <f t="shared" si="40"/>
        <v>159.66077836853066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29.752841792880179</v>
      </c>
      <c r="CL45" s="21">
        <f>EXP(-LN(2)/25)*CL44+(1-EXP(-LN(2)/25))/(LN(2)/25)*Calculateur!CG45*Calculateur!CI45*VLOOKUP('Données projet'!$B$12,Paramètres!$A$1:$I$89,3,0)*0.475*44/12</f>
        <v>12.797639471069353</v>
      </c>
      <c r="CM45" s="21">
        <f>EXP(-LN(2)/2)*CM44+(1-EXP(-LN(2)/2))/(LN(2)/2)*CG45*CJ45*VLOOKUP('Données projet'!$B$12,Paramètres!$A$1:$I$89,3,0)*0.475*44/12</f>
        <v>3.8983685509170458</v>
      </c>
      <c r="CN45" s="22">
        <f t="shared" si="12"/>
        <v>46.448849814866584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20.123999999999999</v>
      </c>
      <c r="D46" s="11">
        <f t="shared" si="32"/>
        <v>6.539040511923969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205.81996184643063</v>
      </c>
      <c r="H46" s="67">
        <f t="shared" si="1"/>
        <v>339.77146222493423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21.625641025641034</v>
      </c>
      <c r="N46" s="13">
        <f>IF('Données projet'!$A$36&gt;35,N45+M46-V45,IF(A46&lt;'Données projet'!$A$36,$K$205^A46,IF(A46='Données projet'!$A$36,'Données projet'!$B$36,N45+M46-V45)))</f>
        <v>416.95641025641021</v>
      </c>
      <c r="O46" s="13">
        <f>N46*VLOOKUP('Données projet'!$B$9,Paramètres!$A$1:$I$89,3,0)*VLOOKUP('Données projet'!$B$9,Paramètres!$A$1:$I$89,5,0)</f>
        <v>233.0786333333333</v>
      </c>
      <c r="P46" s="13">
        <f t="shared" si="33"/>
        <v>56.947838023653489</v>
      </c>
      <c r="Q46" s="20">
        <f t="shared" si="53"/>
        <v>505.1294376134187</v>
      </c>
      <c r="R46" s="59">
        <f t="shared" si="0"/>
        <v>798.46277094675202</v>
      </c>
      <c r="S46" s="59">
        <f ca="1">AVERAGE(OFFSET($R$3,0,0,'Données projet'!$E$9+1,1))-AVERAGE(OFFSET($H$3,0,0,'Données projet'!$E$9+1,1))</f>
        <v>279.32192402750189</v>
      </c>
      <c r="T46" s="59">
        <f t="shared" si="34"/>
        <v>371.43572414443611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60.619203253790985</v>
      </c>
      <c r="AA46" s="21">
        <f>EXP(-LN(2)/25)*AA45+(1-EXP(-LN(2)/25))/(LN(2)/25)*Calculateur!V46*Calculateur!X46*VLOOKUP('Données projet'!$B$9,Paramètres!$A$1:$I$89,3,0)*0.475*44/12</f>
        <v>21.493231928309974</v>
      </c>
      <c r="AB46" s="21">
        <f>EXP(-LN(2)/2)*AB45+(1-EXP(-LN(2)/2))/(LN(2)/2)*V46*Y46*VLOOKUP('Données projet'!$B$9,Paramètres!$A$1:$I$89,3,0)*0.475*44/12</f>
        <v>4.9162856184979935</v>
      </c>
      <c r="AC46" s="22">
        <f t="shared" si="3"/>
        <v>87.028720800598961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14.989423076923082</v>
      </c>
      <c r="AI46" s="13">
        <f>IF('Données projet'!$A$62&gt;35,AI45+AH46-AQ45,IF(A46&lt;'Données projet'!$A$62,$AF$205^A46,IF(A46='Données projet'!$A$62,'Données projet'!$B$62,AI45+AH46-AQ45)))</f>
        <v>245.02788461538461</v>
      </c>
      <c r="AJ46" s="13">
        <f>AI46*VLOOKUP('Données projet'!$B$10,Paramètres!$A$1:$I$89,3,0)*VLOOKUP('Données projet'!$B$10,Paramètres!$A$1:$I$89,5,0)</f>
        <v>114.67305</v>
      </c>
      <c r="AK46" s="13">
        <f t="shared" si="35"/>
        <v>30.429311489148546</v>
      </c>
      <c r="AL46" s="20">
        <f t="shared" si="4"/>
        <v>252.71994626026705</v>
      </c>
      <c r="AM46" s="59">
        <f t="shared" si="5"/>
        <v>546.05327959360034</v>
      </c>
      <c r="AN46" s="59">
        <f ca="1">AVERAGE(OFFSET($AM$3,0,0,'Données projet'!$E$10+1,1))-AVERAGE(OFFSET($H$3,0,0,'Données projet'!$E$10+1,1))</f>
        <v>192.20041613277965</v>
      </c>
      <c r="AO46" s="59">
        <f t="shared" si="36"/>
        <v>132.76245212522417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19.448944166265868</v>
      </c>
      <c r="AW46" s="21">
        <f>EXP(-LN(2)/2)*AW45+(1-EXP(-LN(2)/2))/(LN(2)/2)*AQ46*AT46*VLOOKUP('Données projet'!$B$10,Paramètres!$A$1:$I$89,3,0)*0.475*44/12</f>
        <v>17.307914153507578</v>
      </c>
      <c r="AX46" s="21">
        <f t="shared" si="6"/>
        <v>36.756858319773443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10.666666666666666</v>
      </c>
      <c r="BD46" s="12">
        <f>IF('Données projet'!$A$88&gt;35,BD45+BC46-BL45,IF(A46&lt;'Données projet'!$A$88,$BA$205^A46,IF(A46='Données projet'!$A$88,'Données projet'!$B$88,BD45+BC46-BL45)))</f>
        <v>198.66666666666669</v>
      </c>
      <c r="BE46" s="13">
        <f>BD46*VLOOKUP('Données projet'!$B$11,Paramètres!$A$1:$I$89,3,0)*VLOOKUP('Données projet'!$B$11,Paramètres!$A$1:$I$89,5,0)</f>
        <v>123.968</v>
      </c>
      <c r="BF46" s="13">
        <f t="shared" si="37"/>
        <v>32.598710622532096</v>
      </c>
      <c r="BG46" s="20">
        <f t="shared" si="7"/>
        <v>272.68702100091008</v>
      </c>
      <c r="BH46" s="59">
        <f t="shared" si="8"/>
        <v>566.02035433424339</v>
      </c>
      <c r="BI46" s="59">
        <f ca="1">AVERAGE(OFFSET($BH$3,0,0,'Données projet'!$E$11+1,1))-AVERAGE(OFFSET($H$3,0,0,'Données projet'!$E$11+1,1))</f>
        <v>180.31844548479722</v>
      </c>
      <c r="BJ46" s="59">
        <f t="shared" si="38"/>
        <v>273.83237400307223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17.829352014193024</v>
      </c>
      <c r="BQ46" s="21">
        <f>EXP(-LN(2)/25)*BQ45+(1-EXP(-LN(2)/25))/(LN(2)/25)*Calculateur!BL46*Calculateur!BN46*VLOOKUP('Données projet'!$B$11,Paramètres!$A$1:$I$89,3,0)*0.475*44/12</f>
        <v>64.959619619725359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82.788971633918379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11.861538461538462</v>
      </c>
      <c r="BY46" s="12">
        <f>IF('Données projet'!$A$114&gt;35,BY45+BX46-CG45,IF(A46&lt;'Données projet'!$A$114,$BV$205^A46,IF(A46='Données projet'!$A$114,'Données projet'!$B$114,BY45+BX46-CG45)))</f>
        <v>208.05384615384614</v>
      </c>
      <c r="BZ46" s="13">
        <f>BY46*VLOOKUP('Données projet'!$B$12,Paramètres!$A$1:$I$89,3,0)*VLOOKUP('Données projet'!$B$12,Paramètres!$A$1:$I$89,5,0)</f>
        <v>124.4162</v>
      </c>
      <c r="CA46" s="13">
        <f t="shared" si="39"/>
        <v>32.702828934083335</v>
      </c>
      <c r="CB46" s="20">
        <f t="shared" si="10"/>
        <v>273.64897539352847</v>
      </c>
      <c r="CC46" s="59">
        <f t="shared" si="11"/>
        <v>566.98230872686179</v>
      </c>
      <c r="CD46" s="59">
        <f ca="1">AVERAGE(OFFSET($CC$3,0,0,'Données projet'!$E$12+1,1))-AVERAGE(OFFSET($H$3,0,0,'Données projet'!$E$12+1,1))</f>
        <v>214.34615950592251</v>
      </c>
      <c r="CE46" s="59">
        <f t="shared" si="40"/>
        <v>159.66077836853066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29.169406712763383</v>
      </c>
      <c r="CL46" s="21">
        <f>EXP(-LN(2)/25)*CL45+(1-EXP(-LN(2)/25))/(LN(2)/25)*Calculateur!CG46*Calculateur!CI46*VLOOKUP('Données projet'!$B$12,Paramètres!$A$1:$I$89,3,0)*0.475*44/12</f>
        <v>12.447687346734352</v>
      </c>
      <c r="CM46" s="21">
        <f>EXP(-LN(2)/2)*CM45+(1-EXP(-LN(2)/2))/(LN(2)/2)*CG46*CJ46*VLOOKUP('Données projet'!$B$12,Paramètres!$A$1:$I$89,3,0)*0.475*44/12</f>
        <v>2.756562837917818</v>
      </c>
      <c r="CN46" s="22">
        <f t="shared" si="12"/>
        <v>44.37365689741555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20.591999999999999</v>
      </c>
      <c r="D47" s="11">
        <f t="shared" si="32"/>
        <v>6.6732298779519512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210.46844116313787</v>
      </c>
      <c r="H47" s="67">
        <f t="shared" si="1"/>
        <v>340.8202753707663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21.625641025641034</v>
      </c>
      <c r="N47" s="13">
        <f>IF('Données projet'!$A$36&gt;35,N46+M47-V46,IF(A47&lt;'Données projet'!$A$36,$K$205^A47,IF(A47='Données projet'!$A$36,'Données projet'!$B$36,N46+M47-V46)))</f>
        <v>438.58205128205122</v>
      </c>
      <c r="O47" s="13">
        <f>N47*VLOOKUP('Données projet'!$B$9,Paramètres!$A$1:$I$89,3,0)*VLOOKUP('Données projet'!$B$9,Paramètres!$A$1:$I$89,5,0)</f>
        <v>245.16736666666665</v>
      </c>
      <c r="P47" s="13">
        <f t="shared" si="33"/>
        <v>59.549932468183236</v>
      </c>
      <c r="Q47" s="20">
        <f t="shared" si="53"/>
        <v>530.71596265986352</v>
      </c>
      <c r="R47" s="59">
        <f t="shared" si="0"/>
        <v>824.04929599319689</v>
      </c>
      <c r="S47" s="59">
        <f ca="1">AVERAGE(OFFSET($R$3,0,0,'Données projet'!$E$9+1,1))-AVERAGE(OFFSET($H$3,0,0,'Données projet'!$E$9+1,1))</f>
        <v>279.32192402750189</v>
      </c>
      <c r="T47" s="59">
        <f t="shared" si="34"/>
        <v>371.43572414443611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59.430497652047244</v>
      </c>
      <c r="AA47" s="21">
        <f>EXP(-LN(2)/25)*AA46+(1-EXP(-LN(2)/25))/(LN(2)/25)*Calculateur!V47*Calculateur!X47*VLOOKUP('Données projet'!$B$9,Paramètres!$A$1:$I$89,3,0)*0.475*44/12</f>
        <v>20.905498370950394</v>
      </c>
      <c r="AB47" s="21">
        <f>EXP(-LN(2)/2)*AB46+(1-EXP(-LN(2)/2))/(LN(2)/2)*V47*Y47*VLOOKUP('Données projet'!$B$9,Paramètres!$A$1:$I$89,3,0)*0.475*44/12</f>
        <v>3.4763388990898312</v>
      </c>
      <c r="AC47" s="22">
        <f t="shared" si="3"/>
        <v>83.812334922087459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14.989423076923082</v>
      </c>
      <c r="AI47" s="13">
        <f>IF('Données projet'!$A$62&gt;35,AI46+AH47-AQ46,IF(A47&lt;'Données projet'!$A$62,$AF$205^A47,IF(A47='Données projet'!$A$62,'Données projet'!$B$62,AI46+AH47-AQ46)))</f>
        <v>260.01730769230767</v>
      </c>
      <c r="AJ47" s="13">
        <f>AI47*VLOOKUP('Données projet'!$B$10,Paramètres!$A$1:$I$89,3,0)*VLOOKUP('Données projet'!$B$10,Paramètres!$A$1:$I$89,5,0)</f>
        <v>121.68809999999999</v>
      </c>
      <c r="AK47" s="13">
        <f t="shared" si="35"/>
        <v>32.068400221328496</v>
      </c>
      <c r="AL47" s="20">
        <f t="shared" si="4"/>
        <v>267.79257121881375</v>
      </c>
      <c r="AM47" s="59">
        <f t="shared" si="5"/>
        <v>561.12590455214706</v>
      </c>
      <c r="AN47" s="59">
        <f ca="1">AVERAGE(OFFSET($AM$3,0,0,'Données projet'!$E$10+1,1))-AVERAGE(OFFSET($H$3,0,0,'Données projet'!$E$10+1,1))</f>
        <v>192.20041613277965</v>
      </c>
      <c r="AO47" s="59">
        <f t="shared" si="36"/>
        <v>132.76245212522417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18.917111765263805</v>
      </c>
      <c r="AW47" s="21">
        <f>EXP(-LN(2)/2)*AW46+(1-EXP(-LN(2)/2))/(LN(2)/2)*AQ47*AT47*VLOOKUP('Données projet'!$B$10,Paramètres!$A$1:$I$89,3,0)*0.475*44/12</f>
        <v>12.238543466139832</v>
      </c>
      <c r="AX47" s="21">
        <f t="shared" si="6"/>
        <v>31.155655231403635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10.666666666666666</v>
      </c>
      <c r="BD47" s="12">
        <f>IF('Données projet'!$A$88&gt;35,BD46+BC47-BL46,IF(A47&lt;'Données projet'!$A$88,$BA$205^A47,IF(A47='Données projet'!$A$88,'Données projet'!$B$88,BD46+BC47-BL46)))</f>
        <v>209.33333333333334</v>
      </c>
      <c r="BE47" s="13">
        <f>BD47*VLOOKUP('Données projet'!$B$11,Paramètres!$A$1:$I$89,3,0)*VLOOKUP('Données projet'!$B$11,Paramètres!$A$1:$I$89,5,0)</f>
        <v>130.62400000000002</v>
      </c>
      <c r="BF47" s="13">
        <f t="shared" si="37"/>
        <v>34.140507202645395</v>
      </c>
      <c r="BG47" s="20">
        <f t="shared" si="7"/>
        <v>286.96485004460743</v>
      </c>
      <c r="BH47" s="59">
        <f t="shared" si="8"/>
        <v>580.29818337794075</v>
      </c>
      <c r="BI47" s="59">
        <f ca="1">AVERAGE(OFFSET($BH$3,0,0,'Données projet'!$E$11+1,1))-AVERAGE(OFFSET($H$3,0,0,'Données projet'!$E$11+1,1))</f>
        <v>180.31844548479722</v>
      </c>
      <c r="BJ47" s="59">
        <f t="shared" si="38"/>
        <v>273.83237400307223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17.479729296025628</v>
      </c>
      <c r="BQ47" s="21">
        <f>EXP(-LN(2)/25)*BQ46+(1-EXP(-LN(2)/25))/(LN(2)/25)*Calculateur!BL47*Calculateur!BN47*VLOOKUP('Données projet'!$B$11,Paramètres!$A$1:$I$89,3,0)*0.475*44/12</f>
        <v>63.18329540514604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80.663024701171665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11.861538461538462</v>
      </c>
      <c r="BY47" s="12">
        <f>IF('Données projet'!$A$114&gt;35,BY46+BX47-CG46,IF(A47&lt;'Données projet'!$A$114,$BV$205^A47,IF(A47='Données projet'!$A$114,'Données projet'!$B$114,BY46+BX47-CG46)))</f>
        <v>219.9153846153846</v>
      </c>
      <c r="BZ47" s="13">
        <f>BY47*VLOOKUP('Données projet'!$B$12,Paramètres!$A$1:$I$89,3,0)*VLOOKUP('Données projet'!$B$12,Paramètres!$A$1:$I$89,5,0)</f>
        <v>131.5094</v>
      </c>
      <c r="CA47" s="13">
        <f t="shared" si="39"/>
        <v>34.344902681781569</v>
      </c>
      <c r="CB47" s="20">
        <f t="shared" si="10"/>
        <v>288.8629105041029</v>
      </c>
      <c r="CC47" s="59">
        <f t="shared" si="11"/>
        <v>582.19624383743621</v>
      </c>
      <c r="CD47" s="59">
        <f ca="1">AVERAGE(OFFSET($CC$3,0,0,'Données projet'!$E$12+1,1))-AVERAGE(OFFSET($H$3,0,0,'Données projet'!$E$12+1,1))</f>
        <v>214.34615950592251</v>
      </c>
      <c r="CE47" s="59">
        <f t="shared" si="40"/>
        <v>159.66077836853066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28.597412438707416</v>
      </c>
      <c r="CL47" s="21">
        <f>EXP(-LN(2)/25)*CL46+(1-EXP(-LN(2)/25))/(LN(2)/25)*Calculateur!CG47*Calculateur!CI47*VLOOKUP('Données projet'!$B$12,Paramètres!$A$1:$I$89,3,0)*0.475*44/12</f>
        <v>12.107304681642473</v>
      </c>
      <c r="CM47" s="21">
        <f>EXP(-LN(2)/2)*CM46+(1-EXP(-LN(2)/2))/(LN(2)/2)*CG47*CJ47*VLOOKUP('Données projet'!$B$12,Paramètres!$A$1:$I$89,3,0)*0.475*44/12</f>
        <v>1.9491842754585231</v>
      </c>
      <c r="CN47" s="22">
        <f t="shared" si="12"/>
        <v>42.653901395808411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21.06</v>
      </c>
      <c r="D48" s="11">
        <f t="shared" si="32"/>
        <v>6.8070646889944983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215.11418356416803</v>
      </c>
      <c r="H48" s="67">
        <f t="shared" si="1"/>
        <v>341.86847099999875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21.625641025641034</v>
      </c>
      <c r="N48" s="13">
        <f>IF('Données projet'!$A$36&gt;35,N47+M48-V47,IF(A48&lt;'Données projet'!$A$36,$K$205^A48,IF(A48='Données projet'!$A$36,'Données projet'!$B$36,N47+M48-V47)))</f>
        <v>460.20769230769224</v>
      </c>
      <c r="O48" s="13">
        <f>N48*VLOOKUP('Données projet'!$B$9,Paramètres!$A$1:$I$89,3,0)*VLOOKUP('Données projet'!$B$9,Paramètres!$A$1:$I$89,5,0)</f>
        <v>257.25609999999995</v>
      </c>
      <c r="P48" s="13">
        <f t="shared" si="33"/>
        <v>62.137128695600659</v>
      </c>
      <c r="Q48" s="20">
        <f t="shared" si="53"/>
        <v>556.27653997817106</v>
      </c>
      <c r="R48" s="59">
        <f t="shared" si="0"/>
        <v>849.60987331150432</v>
      </c>
      <c r="S48" s="59">
        <f ca="1">AVERAGE(OFFSET($R$3,0,0,'Données projet'!$E$9+1,1))-AVERAGE(OFFSET($H$3,0,0,'Données projet'!$E$9+1,1))</f>
        <v>279.32192402750189</v>
      </c>
      <c r="T48" s="59">
        <f t="shared" si="34"/>
        <v>371.43572414443611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58.265101842114873</v>
      </c>
      <c r="AA48" s="21">
        <f>EXP(-LN(2)/25)*AA47+(1-EXP(-LN(2)/25))/(LN(2)/25)*Calculateur!V48*Calculateur!X48*VLOOKUP('Données projet'!$B$9,Paramètres!$A$1:$I$89,3,0)*0.475*44/12</f>
        <v>20.333836418624376</v>
      </c>
      <c r="AB48" s="21">
        <f>EXP(-LN(2)/2)*AB47+(1-EXP(-LN(2)/2))/(LN(2)/2)*V48*Y48*VLOOKUP('Données projet'!$B$9,Paramètres!$A$1:$I$89,3,0)*0.475*44/12</f>
        <v>2.4581428092489968</v>
      </c>
      <c r="AC48" s="22">
        <f t="shared" si="3"/>
        <v>81.057081069988243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14.989423076923082</v>
      </c>
      <c r="AI48" s="13">
        <f>IF('Données projet'!$A$62&gt;35,AI47+AH48-AQ47,IF(A48&lt;'Données projet'!$A$62,$AF$205^A48,IF(A48='Données projet'!$A$62,'Données projet'!$B$62,AI47+AH48-AQ47)))</f>
        <v>275.00673076923073</v>
      </c>
      <c r="AJ48" s="13">
        <f>AI48*VLOOKUP('Données projet'!$B$10,Paramètres!$A$1:$I$89,3,0)*VLOOKUP('Données projet'!$B$10,Paramètres!$A$1:$I$89,5,0)</f>
        <v>128.70314999999999</v>
      </c>
      <c r="AK48" s="13">
        <f t="shared" si="35"/>
        <v>33.696520742668326</v>
      </c>
      <c r="AL48" s="20">
        <f t="shared" si="4"/>
        <v>282.84609321014727</v>
      </c>
      <c r="AM48" s="59">
        <f t="shared" si="5"/>
        <v>576.17942654348053</v>
      </c>
      <c r="AN48" s="59">
        <f ca="1">AVERAGE(OFFSET($AM$3,0,0,'Données projet'!$E$10+1,1))-AVERAGE(OFFSET($H$3,0,0,'Données projet'!$E$10+1,1))</f>
        <v>192.20041613277965</v>
      </c>
      <c r="AO48" s="59">
        <f t="shared" si="36"/>
        <v>132.76245212522417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18.399822349234995</v>
      </c>
      <c r="AW48" s="21">
        <f>EXP(-LN(2)/2)*AW47+(1-EXP(-LN(2)/2))/(LN(2)/2)*AQ48*AT48*VLOOKUP('Données projet'!$B$10,Paramètres!$A$1:$I$89,3,0)*0.475*44/12</f>
        <v>8.6539570767537892</v>
      </c>
      <c r="AX48" s="21">
        <f t="shared" si="6"/>
        <v>27.053779425988786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10.666666666666666</v>
      </c>
      <c r="BD48" s="12">
        <f>IF('Données projet'!$A$88&gt;35,BD47+BC48-BL47,IF(A48&lt;'Données projet'!$A$88,$BA$205^A48,IF(A48='Données projet'!$A$88,'Données projet'!$B$88,BD47+BC48-BL47)))</f>
        <v>220</v>
      </c>
      <c r="BE48" s="13">
        <f>BD48*VLOOKUP('Données projet'!$B$11,Paramètres!$A$1:$I$89,3,0)*VLOOKUP('Données projet'!$B$11,Paramètres!$A$1:$I$89,5,0)</f>
        <v>137.28</v>
      </c>
      <c r="BF48" s="13">
        <f t="shared" si="37"/>
        <v>35.673181961873446</v>
      </c>
      <c r="BG48" s="20">
        <f t="shared" si="7"/>
        <v>301.22679191692959</v>
      </c>
      <c r="BH48" s="59">
        <f t="shared" si="8"/>
        <v>594.5601252502629</v>
      </c>
      <c r="BI48" s="59">
        <f ca="1">AVERAGE(OFFSET($BH$3,0,0,'Données projet'!$E$11+1,1))-AVERAGE(OFFSET($H$3,0,0,'Données projet'!$E$11+1,1))</f>
        <v>180.31844548479722</v>
      </c>
      <c r="BJ48" s="59">
        <f t="shared" si="38"/>
        <v>273.83237400307223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17.136962466112692</v>
      </c>
      <c r="BQ48" s="21">
        <f>EXP(-LN(2)/25)*BQ47+(1-EXP(-LN(2)/25))/(LN(2)/25)*Calculateur!BL48*Calculateur!BN48*VLOOKUP('Données projet'!$B$11,Paramètres!$A$1:$I$89,3,0)*0.475*44/12</f>
        <v>61.455544869627225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78.592507335739924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11.861538461538462</v>
      </c>
      <c r="BY48" s="12">
        <f>IF('Données projet'!$A$114&gt;35,BY47+BX48-CG47,IF(A48&lt;'Données projet'!$A$114,$BV$205^A48,IF(A48='Données projet'!$A$114,'Données projet'!$B$114,BY47+BX48-CG47)))</f>
        <v>231.77692307692305</v>
      </c>
      <c r="BZ48" s="13">
        <f>BY48*VLOOKUP('Données projet'!$B$12,Paramètres!$A$1:$I$89,3,0)*VLOOKUP('Données projet'!$B$12,Paramètres!$A$1:$I$89,5,0)</f>
        <v>138.6026</v>
      </c>
      <c r="CA48" s="13">
        <f t="shared" si="39"/>
        <v>35.976694116938198</v>
      </c>
      <c r="CB48" s="20">
        <f t="shared" si="10"/>
        <v>304.05893725366735</v>
      </c>
      <c r="CC48" s="59">
        <f t="shared" si="11"/>
        <v>597.39227058700067</v>
      </c>
      <c r="CD48" s="59">
        <f ca="1">AVERAGE(OFFSET($CC$3,0,0,'Données projet'!$E$12+1,1))-AVERAGE(OFFSET($H$3,0,0,'Données projet'!$E$12+1,1))</f>
        <v>214.34615950592251</v>
      </c>
      <c r="CE48" s="59">
        <f t="shared" si="40"/>
        <v>159.66077836853066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28.036634623483629</v>
      </c>
      <c r="CL48" s="21">
        <f>EXP(-LN(2)/25)*CL47+(1-EXP(-LN(2)/25))/(LN(2)/25)*Calculateur!CG48*Calculateur!CI48*VLOOKUP('Données projet'!$B$12,Paramètres!$A$1:$I$89,3,0)*0.475*44/12</f>
        <v>11.776229798427478</v>
      </c>
      <c r="CM48" s="21">
        <f>EXP(-LN(2)/2)*CM47+(1-EXP(-LN(2)/2))/(LN(2)/2)*CG48*CJ48*VLOOKUP('Données projet'!$B$12,Paramètres!$A$1:$I$89,3,0)*0.475*44/12</f>
        <v>1.3782814189589092</v>
      </c>
      <c r="CN48" s="22">
        <f t="shared" si="12"/>
        <v>41.191145840870014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49" s="11">
        <f t="shared" si="32"/>
        <v>6.9405537312613585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219.75725687289471</v>
      </c>
      <c r="H49" s="67">
        <f t="shared" si="1"/>
        <v>342.91606441528018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21.625641025641034</v>
      </c>
      <c r="N49" s="13">
        <f>IF('Données projet'!$A$36&gt;35,N48+M49-V48,IF(A49&lt;'Données projet'!$A$36,$K$205^A49,IF(A49='Données projet'!$A$36,'Données projet'!$B$36,N48+M49-V48)))</f>
        <v>481.83333333333326</v>
      </c>
      <c r="O49" s="13">
        <f>N49*VLOOKUP('Données projet'!$B$9,Paramètres!$A$1:$I$89,3,0)*VLOOKUP('Données projet'!$B$9,Paramètres!$A$1:$I$89,5,0)</f>
        <v>269.34483333333333</v>
      </c>
      <c r="P49" s="13">
        <f t="shared" si="33"/>
        <v>64.710206731812576</v>
      </c>
      <c r="Q49" s="20">
        <f t="shared" si="53"/>
        <v>581.81252811346246</v>
      </c>
      <c r="R49" s="59">
        <f t="shared" si="0"/>
        <v>875.14586144679583</v>
      </c>
      <c r="S49" s="59">
        <f ca="1">AVERAGE(OFFSET($R$3,0,0,'Données projet'!$E$9+1,1))-AVERAGE(OFFSET($H$3,0,0,'Données projet'!$E$9+1,1))</f>
        <v>279.32192402750189</v>
      </c>
      <c r="T49" s="59">
        <f t="shared" si="34"/>
        <v>371.43572414443611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57.122558733194019</v>
      </c>
      <c r="AA49" s="21">
        <f>EXP(-LN(2)/25)*AA48+(1-EXP(-LN(2)/25))/(LN(2)/25)*Calculateur!V49*Calculateur!X49*VLOOKUP('Données projet'!$B$9,Paramètres!$A$1:$I$89,3,0)*0.475*44/12</f>
        <v>19.77780659244711</v>
      </c>
      <c r="AB49" s="21">
        <f>EXP(-LN(2)/2)*AB48+(1-EXP(-LN(2)/2))/(LN(2)/2)*V49*Y49*VLOOKUP('Données projet'!$B$9,Paramètres!$A$1:$I$89,3,0)*0.475*44/12</f>
        <v>1.7381694495449156</v>
      </c>
      <c r="AC49" s="22">
        <f t="shared" si="3"/>
        <v>78.638534775186045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14.989423076923082</v>
      </c>
      <c r="AI49" s="13">
        <f>IF('Données projet'!$A$62&gt;35,AI48+AH49-AQ48,IF(A49&lt;'Données projet'!$A$62,$AF$205^A49,IF(A49='Données projet'!$A$62,'Données projet'!$B$62,AI48+AH49-AQ48)))</f>
        <v>289.99615384615379</v>
      </c>
      <c r="AJ49" s="13">
        <f>AI49*VLOOKUP('Données projet'!$B$10,Paramètres!$A$1:$I$89,3,0)*VLOOKUP('Données projet'!$B$10,Paramètres!$A$1:$I$89,5,0)</f>
        <v>135.71819999999997</v>
      </c>
      <c r="AK49" s="13">
        <f t="shared" si="35"/>
        <v>35.314339034341074</v>
      </c>
      <c r="AL49" s="20">
        <f t="shared" si="4"/>
        <v>297.88167215147729</v>
      </c>
      <c r="AM49" s="59">
        <f t="shared" si="5"/>
        <v>591.2150054848106</v>
      </c>
      <c r="AN49" s="59">
        <f ca="1">AVERAGE(OFFSET($AM$3,0,0,'Données projet'!$E$10+1,1))-AVERAGE(OFFSET($H$3,0,0,'Données projet'!$E$10+1,1))</f>
        <v>192.20041613277965</v>
      </c>
      <c r="AO49" s="59">
        <f t="shared" si="36"/>
        <v>132.76245212522417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17.896678239490559</v>
      </c>
      <c r="AW49" s="21">
        <f>EXP(-LN(2)/2)*AW48+(1-EXP(-LN(2)/2))/(LN(2)/2)*AQ49*AT49*VLOOKUP('Données projet'!$B$10,Paramètres!$A$1:$I$89,3,0)*0.475*44/12</f>
        <v>6.1192717330699162</v>
      </c>
      <c r="AX49" s="21">
        <f t="shared" si="6"/>
        <v>24.015949972560474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10.666666666666666</v>
      </c>
      <c r="BD49" s="12">
        <f>IF('Données projet'!$A$88&gt;35,BD48+BC49-BL48,IF(A49&lt;'Données projet'!$A$88,$BA$205^A49,IF(A49='Données projet'!$A$88,'Données projet'!$B$88,BD48+BC49-BL48)))</f>
        <v>230.66666666666666</v>
      </c>
      <c r="BE49" s="13">
        <f>BD49*VLOOKUP('Données projet'!$B$11,Paramètres!$A$1:$I$89,3,0)*VLOOKUP('Données projet'!$B$11,Paramètres!$A$1:$I$89,5,0)</f>
        <v>143.93599999999998</v>
      </c>
      <c r="BF49" s="13">
        <f t="shared" si="37"/>
        <v>37.197227655019397</v>
      </c>
      <c r="BG49" s="20">
        <f t="shared" si="7"/>
        <v>315.47370483249205</v>
      </c>
      <c r="BH49" s="59">
        <f t="shared" si="8"/>
        <v>608.80703816582536</v>
      </c>
      <c r="BI49" s="59">
        <f ca="1">AVERAGE(OFFSET($BH$3,0,0,'Données projet'!$E$11+1,1))-AVERAGE(OFFSET($H$3,0,0,'Données projet'!$E$11+1,1))</f>
        <v>180.31844548479722</v>
      </c>
      <c r="BJ49" s="59">
        <f t="shared" si="38"/>
        <v>273.83237400307223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16.800917084667226</v>
      </c>
      <c r="BQ49" s="21">
        <f>EXP(-LN(2)/25)*BQ48+(1-EXP(-LN(2)/25))/(LN(2)/25)*Calculateur!BL49*Calculateur!BN49*VLOOKUP('Données projet'!$B$11,Paramètres!$A$1:$I$89,3,0)*0.475*44/12</f>
        <v>59.775039763360624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76.575956848027857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11.861538461538462</v>
      </c>
      <c r="BY49" s="12">
        <f>IF('Données projet'!$A$114&gt;35,BY48+BX49-CG48,IF(A49&lt;'Données projet'!$A$114,$BV$205^A49,IF(A49='Données projet'!$A$114,'Données projet'!$B$114,BY48+BX49-CG48)))</f>
        <v>243.63846153846151</v>
      </c>
      <c r="BZ49" s="13">
        <f>BY49*VLOOKUP('Données projet'!$B$12,Paramètres!$A$1:$I$89,3,0)*VLOOKUP('Données projet'!$B$12,Paramètres!$A$1:$I$89,5,0)</f>
        <v>145.69579999999999</v>
      </c>
      <c r="CA49" s="13">
        <f t="shared" si="39"/>
        <v>37.598789481990465</v>
      </c>
      <c r="CB49" s="20">
        <f t="shared" si="10"/>
        <v>319.23807668113335</v>
      </c>
      <c r="CC49" s="59">
        <f t="shared" si="11"/>
        <v>612.57141001446666</v>
      </c>
      <c r="CD49" s="59">
        <f ca="1">AVERAGE(OFFSET($CC$3,0,0,'Données projet'!$E$12+1,1))-AVERAGE(OFFSET($H$3,0,0,'Données projet'!$E$12+1,1))</f>
        <v>214.34615950592251</v>
      </c>
      <c r="CE49" s="59">
        <f t="shared" si="40"/>
        <v>159.66077836853066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27.486853319175687</v>
      </c>
      <c r="CL49" s="21">
        <f>EXP(-LN(2)/25)*CL48+(1-EXP(-LN(2)/25))/(LN(2)/25)*Calculateur!CG49*Calculateur!CI49*VLOOKUP('Données projet'!$B$12,Paramètres!$A$1:$I$89,3,0)*0.475*44/12</f>
        <v>11.454208175304467</v>
      </c>
      <c r="CM49" s="21">
        <f>EXP(-LN(2)/2)*CM48+(1-EXP(-LN(2)/2))/(LN(2)/2)*CG49*CJ49*VLOOKUP('Données projet'!$B$12,Paramètres!$A$1:$I$89,3,0)*0.475*44/12</f>
        <v>0.97459213772926168</v>
      </c>
      <c r="CN49" s="22">
        <f t="shared" si="12"/>
        <v>39.915653632209413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21.995999999999999</v>
      </c>
      <c r="D50" s="11">
        <f t="shared" si="32"/>
        <v>7.0737053871356732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224.39772579543327</v>
      </c>
      <c r="H50" s="67">
        <f t="shared" si="1"/>
        <v>343.96307021592793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21.625641025641034</v>
      </c>
      <c r="N50" s="13">
        <f>IF('Données projet'!$A$36&gt;35,N49+M50-V49,IF(A50&lt;'Données projet'!$A$36,$K$205^A50,IF(A50='Données projet'!$A$36,'Données projet'!$B$36,N49+M50-V49)))</f>
        <v>503.45897435897427</v>
      </c>
      <c r="O50" s="13">
        <f>N50*VLOOKUP('Données projet'!$B$9,Paramètres!$A$1:$I$89,3,0)*VLOOKUP('Données projet'!$B$9,Paramètres!$A$1:$I$89,5,0)</f>
        <v>281.43356666666659</v>
      </c>
      <c r="P50" s="13">
        <f t="shared" si="33"/>
        <v>67.26987262617007</v>
      </c>
      <c r="Q50" s="20">
        <f t="shared" si="53"/>
        <v>607.32515676835726</v>
      </c>
      <c r="R50" s="59">
        <f t="shared" si="0"/>
        <v>900.65849010169063</v>
      </c>
      <c r="S50" s="59">
        <f ca="1">AVERAGE(OFFSET($R$3,0,0,'Données projet'!$E$9+1,1))-AVERAGE(OFFSET($H$3,0,0,'Données projet'!$E$9+1,1))</f>
        <v>279.32192402750189</v>
      </c>
      <c r="T50" s="59">
        <f t="shared" si="34"/>
        <v>371.43572414443611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56.002420197756614</v>
      </c>
      <c r="AA50" s="21">
        <f>EXP(-LN(2)/25)*AA49+(1-EXP(-LN(2)/25))/(LN(2)/25)*Calculateur!V50*Calculateur!X50*VLOOKUP('Données projet'!$B$9,Paramètres!$A$1:$I$89,3,0)*0.475*44/12</f>
        <v>19.236981431106997</v>
      </c>
      <c r="AB50" s="21">
        <f>EXP(-LN(2)/2)*AB49+(1-EXP(-LN(2)/2))/(LN(2)/2)*V50*Y50*VLOOKUP('Données projet'!$B$9,Paramètres!$A$1:$I$89,3,0)*0.475*44/12</f>
        <v>1.2290714046244984</v>
      </c>
      <c r="AC50" s="22">
        <f t="shared" si="3"/>
        <v>76.46847303348811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14.989423076923082</v>
      </c>
      <c r="AI50" s="13">
        <f>IF('Données projet'!$A$62&gt;35,AI49+AH50-AQ49,IF(A50&lt;'Données projet'!$A$62,$AF$205^A50,IF(A50='Données projet'!$A$62,'Données projet'!$B$62,AI49+AH50-AQ49)))</f>
        <v>304.98557692307685</v>
      </c>
      <c r="AJ50" s="13">
        <f>AI50*VLOOKUP('Données projet'!$B$10,Paramètres!$A$1:$I$89,3,0)*VLOOKUP('Données projet'!$B$10,Paramètres!$A$1:$I$89,5,0)</f>
        <v>142.73324999999997</v>
      </c>
      <c r="AK50" s="13">
        <f t="shared" si="35"/>
        <v>36.922448341951835</v>
      </c>
      <c r="AL50" s="20">
        <f t="shared" si="4"/>
        <v>312.90034127889936</v>
      </c>
      <c r="AM50" s="59">
        <f t="shared" si="5"/>
        <v>606.23367461223268</v>
      </c>
      <c r="AN50" s="59">
        <f ca="1">AVERAGE(OFFSET($AM$3,0,0,'Données projet'!$E$10+1,1))-AVERAGE(OFFSET($H$3,0,0,'Données projet'!$E$10+1,1))</f>
        <v>192.20041613277965</v>
      </c>
      <c r="AO50" s="59">
        <f t="shared" si="36"/>
        <v>132.76245212522417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17.407292631886286</v>
      </c>
      <c r="AW50" s="21">
        <f>EXP(-LN(2)/2)*AW49+(1-EXP(-LN(2)/2))/(LN(2)/2)*AQ50*AT50*VLOOKUP('Données projet'!$B$10,Paramètres!$A$1:$I$89,3,0)*0.475*44/12</f>
        <v>4.3269785383768946</v>
      </c>
      <c r="AX50" s="21">
        <f t="shared" si="6"/>
        <v>21.734271170263181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10.666666666666666</v>
      </c>
      <c r="BD50" s="12">
        <f>IF('Données projet'!$A$88&gt;35,BD49+BC50-BL49,IF(A50&lt;'Données projet'!$A$88,$BA$205^A50,IF(A50='Données projet'!$A$88,'Données projet'!$B$88,BD49+BC50-BL49)))</f>
        <v>241.33333333333331</v>
      </c>
      <c r="BE50" s="13">
        <f>BD50*VLOOKUP('Données projet'!$B$11,Paramètres!$A$1:$I$89,3,0)*VLOOKUP('Données projet'!$B$11,Paramètres!$A$1:$I$89,5,0)</f>
        <v>150.59199999999998</v>
      </c>
      <c r="BF50" s="13">
        <f t="shared" si="37"/>
        <v>38.713088888505631</v>
      </c>
      <c r="BG50" s="20">
        <f t="shared" si="7"/>
        <v>329.70636314748066</v>
      </c>
      <c r="BH50" s="59">
        <f t="shared" si="8"/>
        <v>623.03969648081397</v>
      </c>
      <c r="BI50" s="59">
        <f ca="1">AVERAGE(OFFSET($BH$3,0,0,'Données projet'!$E$11+1,1))-AVERAGE(OFFSET($H$3,0,0,'Données projet'!$E$11+1,1))</f>
        <v>180.31844548479722</v>
      </c>
      <c r="BJ50" s="59">
        <f t="shared" si="38"/>
        <v>273.83237400307223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16.471461348184462</v>
      </c>
      <c r="BQ50" s="21">
        <f>EXP(-LN(2)/25)*BQ49+(1-EXP(-LN(2)/25))/(LN(2)/25)*Calculateur!BL50*Calculateur!BN50*VLOOKUP('Données projet'!$B$11,Paramètres!$A$1:$I$89,3,0)*0.475*44/12</f>
        <v>58.140488157598803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74.611949505783258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11.861538461538462</v>
      </c>
      <c r="BY50" s="12">
        <f>IF('Données projet'!$A$114&gt;35,BY49+BX50-CG49,IF(A50&lt;'Données projet'!$A$114,$BV$205^A50,IF(A50='Données projet'!$A$114,'Données projet'!$B$114,BY49+BX50-CG49)))</f>
        <v>255.49999999999997</v>
      </c>
      <c r="BZ50" s="13">
        <f>BY50*VLOOKUP('Données projet'!$B$12,Paramètres!$A$1:$I$89,3,0)*VLOOKUP('Données projet'!$B$12,Paramètres!$A$1:$I$89,5,0)</f>
        <v>152.78899999999999</v>
      </c>
      <c r="CA50" s="13">
        <f t="shared" si="39"/>
        <v>39.211714711932316</v>
      </c>
      <c r="CB50" s="20">
        <f t="shared" si="10"/>
        <v>334.40124478994869</v>
      </c>
      <c r="CC50" s="59">
        <f t="shared" si="11"/>
        <v>627.73457812328206</v>
      </c>
      <c r="CD50" s="59">
        <f ca="1">AVERAGE(OFFSET($CC$3,0,0,'Données projet'!$E$12+1,1))-AVERAGE(OFFSET($H$3,0,0,'Données projet'!$E$12+1,1))</f>
        <v>214.34615950592251</v>
      </c>
      <c r="CE50" s="59">
        <f t="shared" si="40"/>
        <v>159.66077836853066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26.947852890911737</v>
      </c>
      <c r="CL50" s="21">
        <f>EXP(-LN(2)/25)*CL49+(1-EXP(-LN(2)/25))/(LN(2)/25)*Calculateur!CG50*Calculateur!CI50*VLOOKUP('Données projet'!$B$12,Paramètres!$A$1:$I$89,3,0)*0.475*44/12</f>
        <v>11.140992250400137</v>
      </c>
      <c r="CM50" s="21">
        <f>EXP(-LN(2)/2)*CM49+(1-EXP(-LN(2)/2))/(LN(2)/2)*CG50*CJ50*VLOOKUP('Données projet'!$B$12,Paramètres!$A$1:$I$89,3,0)*0.475*44/12</f>
        <v>0.68914070947945472</v>
      </c>
      <c r="CN50" s="22">
        <f t="shared" si="12"/>
        <v>38.777985850791325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22.463999999999999</v>
      </c>
      <c r="D51" s="11">
        <f t="shared" si="32"/>
        <v>7.2065276619252296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229.03565212714213</v>
      </c>
      <c r="H51" s="67">
        <f t="shared" si="1"/>
        <v>345.00950234451977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525.0846153846154</v>
      </c>
      <c r="L51" s="12">
        <f>VLOOKUP(A51,'Données projet'!$A$35:$I$55,9,0)</f>
        <v>21.625641025641034</v>
      </c>
      <c r="M51" s="12">
        <f t="array" ref="M51">INDEX(L:L,MIN(IF(ISNUMBER(L51:L247),ROW(L51:L247),"")))</f>
        <v>21.625641025641034</v>
      </c>
      <c r="N51" s="13">
        <f>IF('Données projet'!$A$36&gt;35,N50+M51-V50,IF(A51&lt;'Données projet'!$A$36,$K$205^A51,IF(A51='Données projet'!$A$36,'Données projet'!$B$36,N50+M51-V50)))</f>
        <v>525.08461538461529</v>
      </c>
      <c r="O51" s="13">
        <f>N51*VLOOKUP('Données projet'!$B$9,Paramètres!$A$1:$I$89,3,0)*VLOOKUP('Données projet'!$B$9,Paramètres!$A$1:$I$89,5,0)</f>
        <v>293.52229999999997</v>
      </c>
      <c r="P51" s="13">
        <f t="shared" si="33"/>
        <v>69.816768342057628</v>
      </c>
      <c r="Q51" s="20">
        <f t="shared" si="53"/>
        <v>632.81554402908364</v>
      </c>
      <c r="R51" s="59">
        <f t="shared" si="0"/>
        <v>926.1488773624169</v>
      </c>
      <c r="S51" s="59">
        <f ca="1">AVERAGE(OFFSET($R$3,0,0,'Données projet'!$E$9+1,1))-AVERAGE(OFFSET($H$3,0,0,'Données projet'!$E$9+1,1))</f>
        <v>279.32192402750189</v>
      </c>
      <c r="T51" s="59">
        <f t="shared" si="34"/>
        <v>371.43572414443611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81.330769230769235</v>
      </c>
      <c r="W51" s="16">
        <f>IF(ISNA(VLOOKUP(A51,'Données projet'!$A$35:$I$55,5,0)),0%,VLOOKUP(A51,'Données projet'!$A$35:$I$55,5,0)*VLOOKUP('Données projet'!$B$9,Paramètres!$A$1:$I$89,7,0))</f>
        <v>0.38500000000000001</v>
      </c>
      <c r="X51" s="16">
        <f>IF(ISNA(VLOOKUP(A51,'Données projet'!$A$35:$I$55,6,0)),0%,VLOOKUP(A51,'Données projet'!$A$35:$I$55,6,0)*VLOOKUP('Données projet'!$B$9,Paramètres!$A$1:$I$89,7,0))</f>
        <v>9.240000000000001E-2</v>
      </c>
      <c r="Y51" s="16">
        <f>IF(ISNA(VLOOKUP(A51,'Données projet'!$A$35:$I$55,7,0)),0%,VLOOKUP(A51,'Données projet'!$A$35:$I$55,7,0))</f>
        <v>0.13200000000000001</v>
      </c>
      <c r="Z51" s="21">
        <f>EXP(-LN(2)/35)*Z50+(1-EXP(-LN(2)/35))/(LN(2)/35)*V51*W51*VLOOKUP('Données projet'!$B$9,Paramètres!$A$1:$I$89,3,0)*0.475*44/12</f>
        <v>78.12390248786032</v>
      </c>
      <c r="AA51" s="21">
        <f>EXP(-LN(2)/25)*AA50+(1-EXP(-LN(2)/25))/(LN(2)/25)*Calculateur!V51*Calculateur!X51*VLOOKUP('Données projet'!$B$9,Paramètres!$A$1:$I$89,3,0)*0.475*44/12</f>
        <v>24.261720592795644</v>
      </c>
      <c r="AB51" s="21">
        <f>EXP(-LN(2)/2)*AB50+(1-EXP(-LN(2)/2))/(LN(2)/2)*V51*Y51*VLOOKUP('Données projet'!$B$9,Paramètres!$A$1:$I$89,3,0)*0.475*44/12</f>
        <v>7.6638765903722392</v>
      </c>
      <c r="AC51" s="22">
        <f t="shared" si="3"/>
        <v>110.0494996710282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14.989423076923082</v>
      </c>
      <c r="AI51" s="13">
        <f>IF('Données projet'!$A$62&gt;35,AI50+AH51-AQ50,IF(A51&lt;'Données projet'!$A$62,$AF$205^A51,IF(A51='Données projet'!$A$62,'Données projet'!$B$62,AI50+AH51-AQ50)))</f>
        <v>319.97499999999991</v>
      </c>
      <c r="AJ51" s="13">
        <f>AI51*VLOOKUP('Données projet'!$B$10,Paramètres!$A$1:$I$89,3,0)*VLOOKUP('Données projet'!$B$10,Paramètres!$A$1:$I$89,5,0)</f>
        <v>149.74829999999994</v>
      </c>
      <c r="AK51" s="13">
        <f t="shared" si="35"/>
        <v>38.521380303068611</v>
      </c>
      <c r="AL51" s="20">
        <f t="shared" si="4"/>
        <v>327.90302652784436</v>
      </c>
      <c r="AM51" s="59">
        <f t="shared" si="5"/>
        <v>621.23635986117768</v>
      </c>
      <c r="AN51" s="59">
        <f ca="1">AVERAGE(OFFSET($AM$3,0,0,'Données projet'!$E$10+1,1))-AVERAGE(OFFSET($H$3,0,0,'Données projet'!$E$10+1,1))</f>
        <v>192.20041613277965</v>
      </c>
      <c r="AO51" s="59">
        <f t="shared" si="36"/>
        <v>132.76245212522417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16.931289299457621</v>
      </c>
      <c r="AW51" s="21">
        <f>EXP(-LN(2)/2)*AW50+(1-EXP(-LN(2)/2))/(LN(2)/2)*AQ51*AT51*VLOOKUP('Données projet'!$B$10,Paramètres!$A$1:$I$89,3,0)*0.475*44/12</f>
        <v>3.0596358665349581</v>
      </c>
      <c r="AX51" s="21">
        <f t="shared" si="6"/>
        <v>19.990925165992579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>
        <f>VLOOKUP(A51,'Données projet'!$A$87:$I$107,2,0)</f>
        <v>252</v>
      </c>
      <c r="BB51" s="12">
        <f>VLOOKUP(A51,'Données projet'!$A$87:$I$107,9,0)</f>
        <v>10.666666666666666</v>
      </c>
      <c r="BC51" s="12">
        <f t="array" ref="BC51">INDEX(BB:BB,MIN(IF(ISNUMBER(BB51:BB247),ROW(BB51:BB247),"")))</f>
        <v>10.666666666666666</v>
      </c>
      <c r="BD51" s="12">
        <f>IF('Données projet'!$A$88&gt;35,BD50+BC51-BL50,IF(A51&lt;'Données projet'!$A$88,$BA$205^A51,IF(A51='Données projet'!$A$88,'Données projet'!$B$88,BD50+BC51-BL50)))</f>
        <v>251.99999999999997</v>
      </c>
      <c r="BE51" s="13">
        <f>BD51*VLOOKUP('Données projet'!$B$11,Paramètres!$A$1:$I$89,3,0)*VLOOKUP('Données projet'!$B$11,Paramètres!$A$1:$I$89,5,0)</f>
        <v>157.24799999999999</v>
      </c>
      <c r="BF51" s="13">
        <f t="shared" si="37"/>
        <v>40.22116874434861</v>
      </c>
      <c r="BG51" s="20">
        <f t="shared" si="7"/>
        <v>343.92546889640715</v>
      </c>
      <c r="BH51" s="59">
        <f t="shared" si="8"/>
        <v>637.25880222974047</v>
      </c>
      <c r="BI51" s="59">
        <f ca="1">AVERAGE(OFFSET($BH$3,0,0,'Données projet'!$E$11+1,1))-AVERAGE(OFFSET($H$3,0,0,'Données projet'!$E$11+1,1))</f>
        <v>180.31844548479722</v>
      </c>
      <c r="BJ51" s="59">
        <f t="shared" si="38"/>
        <v>273.83237400307223</v>
      </c>
      <c r="BK51" s="15">
        <f>IF(ISNA(VLOOKUP(A51,'Données projet'!$A$87:$I$107,3,0)),0,VLOOKUP(A51,'Données projet'!$A$87:$I$107,3,0))</f>
        <v>7</v>
      </c>
      <c r="BL51" s="15">
        <f>IF(ISNA(VLOOKUP(A51,'Données projet'!$A$87:$I$107,4,0)),0,VLOOKUP(A51,'Données projet'!$A$87:$I$107,4,0))</f>
        <v>65</v>
      </c>
      <c r="BM51" s="16">
        <f>IF(ISNA(VLOOKUP(A51,'Données projet'!$A$87:$I$107,5,0)),0%,VLOOKUP(A51,'Données projet'!$A$87:$I$107,5,0)*VLOOKUP('Données projet'!$B$11,Paramètres!$A$1:$I$89,7,0))</f>
        <v>0.24</v>
      </c>
      <c r="BN51" s="16">
        <f>IF(ISNA(VLOOKUP(A51,'Données projet'!$A$87:$I$107,6,0)),0%,VLOOKUP(A51,'Données projet'!$A$87:$I$107,6,0)*VLOOKUP('Données projet'!$B$11,Paramètres!$A$1:$I$89,7,0))</f>
        <v>0.36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29.061775072776626</v>
      </c>
      <c r="BQ51" s="21">
        <f>EXP(-LN(2)/25)*BQ50+(1-EXP(-LN(2)/25))/(LN(2)/25)*Calculateur!BL51*Calculateur!BN51*VLOOKUP('Données projet'!$B$11,Paramètres!$A$1:$I$89,3,0)*0.475*44/12</f>
        <v>75.844330076958755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104.90610514973538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11.861538461538462</v>
      </c>
      <c r="BY51" s="12">
        <f>IF('Données projet'!$A$114&gt;35,BY50+BX51-CG50,IF(A51&lt;'Données projet'!$A$114,$BV$205^A51,IF(A51='Données projet'!$A$114,'Données projet'!$B$114,BY50+BX51-CG50)))</f>
        <v>267.36153846153843</v>
      </c>
      <c r="BZ51" s="13">
        <f>BY51*VLOOKUP('Données projet'!$B$12,Paramètres!$A$1:$I$89,3,0)*VLOOKUP('Données projet'!$B$12,Paramètres!$A$1:$I$89,5,0)</f>
        <v>159.88219999999998</v>
      </c>
      <c r="CA51" s="13">
        <f t="shared" si="39"/>
        <v>40.815944149041762</v>
      </c>
      <c r="CB51" s="20">
        <f t="shared" si="10"/>
        <v>349.54926772624771</v>
      </c>
      <c r="CC51" s="59">
        <f t="shared" si="11"/>
        <v>642.88260105958102</v>
      </c>
      <c r="CD51" s="59">
        <f ca="1">AVERAGE(OFFSET($CC$3,0,0,'Données projet'!$E$12+1,1))-AVERAGE(OFFSET($H$3,0,0,'Données projet'!$E$12+1,1))</f>
        <v>214.34615950592251</v>
      </c>
      <c r="CE51" s="59">
        <f t="shared" si="40"/>
        <v>159.66077836853066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26.419421932288245</v>
      </c>
      <c r="CL51" s="21">
        <f>EXP(-LN(2)/25)*CL50+(1-EXP(-LN(2)/25))/(LN(2)/25)*Calculateur!CG51*Calculateur!CI51*VLOOKUP('Données projet'!$B$12,Paramètres!$A$1:$I$89,3,0)*0.475*44/12</f>
        <v>10.836341231433625</v>
      </c>
      <c r="CM51" s="21">
        <f>EXP(-LN(2)/2)*CM50+(1-EXP(-LN(2)/2))/(LN(2)/2)*CG51*CJ51*VLOOKUP('Données projet'!$B$12,Paramètres!$A$1:$I$89,3,0)*0.475*44/12</f>
        <v>0.48729606886463095</v>
      </c>
      <c r="CN51" s="22">
        <f t="shared" si="12"/>
        <v>37.743059232586496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22.931999999999999</v>
      </c>
      <c r="D52" s="11">
        <f t="shared" si="32"/>
        <v>7.3390282083215084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233.67109494142917</v>
      </c>
      <c r="H52" s="67">
        <f t="shared" si="1"/>
        <v>346.05537412949326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20.507692307692299</v>
      </c>
      <c r="N52" s="13">
        <f>IF('Données projet'!$A$36&gt;35,N51+M52-V51,IF(A52&lt;'Données projet'!$A$36,$K$205^A52,IF(A52='Données projet'!$A$36,'Données projet'!$B$36,N51+M52-V51)))</f>
        <v>464.26153846153835</v>
      </c>
      <c r="O52" s="13">
        <f>N52*VLOOKUP('Données projet'!$B$9,Paramètres!$A$1:$I$89,3,0)*VLOOKUP('Données projet'!$B$9,Paramètres!$A$1:$I$89,5,0)</f>
        <v>259.52219999999994</v>
      </c>
      <c r="P52" s="13">
        <f t="shared" si="33"/>
        <v>62.620519404058925</v>
      </c>
      <c r="Q52" s="20">
        <f t="shared" si="53"/>
        <v>561.06523629540254</v>
      </c>
      <c r="R52" s="59">
        <f t="shared" si="0"/>
        <v>854.39856962873591</v>
      </c>
      <c r="S52" s="59">
        <f ca="1">AVERAGE(OFFSET($R$3,0,0,'Données projet'!$E$9+1,1))-AVERAGE(OFFSET($H$3,0,0,'Données projet'!$E$9+1,1))</f>
        <v>279.32192402750189</v>
      </c>
      <c r="T52" s="59">
        <f t="shared" si="34"/>
        <v>371.43572414443611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76.591940410948766</v>
      </c>
      <c r="AA52" s="21">
        <f>EXP(-LN(2)/25)*AA51+(1-EXP(-LN(2)/25))/(LN(2)/25)*Calculateur!V52*Calculateur!X52*VLOOKUP('Données projet'!$B$9,Paramètres!$A$1:$I$89,3,0)*0.475*44/12</f>
        <v>23.598282567317213</v>
      </c>
      <c r="AB52" s="21">
        <f>EXP(-LN(2)/2)*AB51+(1-EXP(-LN(2)/2))/(LN(2)/2)*V52*Y52*VLOOKUP('Données projet'!$B$9,Paramètres!$A$1:$I$89,3,0)*0.475*44/12</f>
        <v>5.4191791072290476</v>
      </c>
      <c r="AC52" s="22">
        <f t="shared" si="3"/>
        <v>105.60940208549502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14.989423076923082</v>
      </c>
      <c r="AI52" s="13">
        <f>IF('Données projet'!$A$62&gt;35,AI51+AH52-AQ51,IF(A52&lt;'Données projet'!$A$62,$AF$205^A52,IF(A52='Données projet'!$A$62,'Données projet'!$B$62,AI51+AH52-AQ51)))</f>
        <v>334.96442307692297</v>
      </c>
      <c r="AJ52" s="13">
        <f>AI52*VLOOKUP('Données projet'!$B$10,Paramètres!$A$1:$I$89,3,0)*VLOOKUP('Données projet'!$B$10,Paramètres!$A$1:$I$89,5,0)</f>
        <v>156.76334999999995</v>
      </c>
      <c r="AK52" s="13">
        <f t="shared" si="35"/>
        <v>40.111613930623022</v>
      </c>
      <c r="AL52" s="20">
        <f t="shared" si="4"/>
        <v>342.8905621791684</v>
      </c>
      <c r="AM52" s="59">
        <f t="shared" si="5"/>
        <v>636.22389551250171</v>
      </c>
      <c r="AN52" s="59">
        <f ca="1">AVERAGE(OFFSET($AM$3,0,0,'Données projet'!$E$10+1,1))-AVERAGE(OFFSET($H$3,0,0,'Données projet'!$E$10+1,1))</f>
        <v>192.20041613277965</v>
      </c>
      <c r="AO52" s="59">
        <f t="shared" si="36"/>
        <v>132.76245212522417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16.468302303186146</v>
      </c>
      <c r="AW52" s="21">
        <f>EXP(-LN(2)/2)*AW51+(1-EXP(-LN(2)/2))/(LN(2)/2)*AQ52*AT52*VLOOKUP('Données projet'!$B$10,Paramètres!$A$1:$I$89,3,0)*0.475*44/12</f>
        <v>2.1634892691884473</v>
      </c>
      <c r="AX52" s="21">
        <f t="shared" si="6"/>
        <v>18.631791572374592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9.75</v>
      </c>
      <c r="BD52" s="12">
        <f>IF('Données projet'!$A$88&gt;35,BD51+BC52-BL51,IF(A52&lt;'Données projet'!$A$88,$BA$205^A52,IF(A52='Données projet'!$A$88,'Données projet'!$B$88,BD51+BC52-BL51)))</f>
        <v>196.75</v>
      </c>
      <c r="BE52" s="13">
        <f>BD52*VLOOKUP('Données projet'!$B$11,Paramètres!$A$1:$I$89,3,0)*VLOOKUP('Données projet'!$B$11,Paramètres!$A$1:$I$89,5,0)</f>
        <v>122.77200000000001</v>
      </c>
      <c r="BF52" s="13">
        <f t="shared" si="37"/>
        <v>32.320660955470466</v>
      </c>
      <c r="BG52" s="20">
        <f t="shared" si="7"/>
        <v>270.11971783077774</v>
      </c>
      <c r="BH52" s="59">
        <f t="shared" si="8"/>
        <v>563.453051164111</v>
      </c>
      <c r="BI52" s="59">
        <f ca="1">AVERAGE(OFFSET($BH$3,0,0,'Données projet'!$E$11+1,1))-AVERAGE(OFFSET($H$3,0,0,'Données projet'!$E$11+1,1))</f>
        <v>180.31844548479722</v>
      </c>
      <c r="BJ52" s="59">
        <f t="shared" si="38"/>
        <v>273.83237400307223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28.491891389531979</v>
      </c>
      <c r="BQ52" s="21">
        <f>EXP(-LN(2)/25)*BQ51+(1-EXP(-LN(2)/25))/(LN(2)/25)*Calculateur!BL52*Calculateur!BN52*VLOOKUP('Données projet'!$B$11,Paramètres!$A$1:$I$89,3,0)*0.475*44/12</f>
        <v>73.770362882524338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102.26225427205631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11.861538461538462</v>
      </c>
      <c r="BY52" s="12">
        <f>IF('Données projet'!$A$114&gt;35,BY51+BX52-CG51,IF(A52&lt;'Données projet'!$A$114,$BV$205^A52,IF(A52='Données projet'!$A$114,'Données projet'!$B$114,BY51+BX52-CG51)))</f>
        <v>279.22307692307692</v>
      </c>
      <c r="BZ52" s="13">
        <f>BY52*VLOOKUP('Données projet'!$B$12,Paramètres!$A$1:$I$89,3,0)*VLOOKUP('Données projet'!$B$12,Paramètres!$A$1:$I$89,5,0)</f>
        <v>166.97540000000001</v>
      </c>
      <c r="CA52" s="13">
        <f t="shared" si="39"/>
        <v>42.411907667415186</v>
      </c>
      <c r="CB52" s="20">
        <f t="shared" si="10"/>
        <v>364.68289418741483</v>
      </c>
      <c r="CC52" s="59">
        <f t="shared" si="11"/>
        <v>658.01622752074809</v>
      </c>
      <c r="CD52" s="59">
        <f ca="1">AVERAGE(OFFSET($CC$3,0,0,'Données projet'!$E$12+1,1))-AVERAGE(OFFSET($H$3,0,0,'Données projet'!$E$12+1,1))</f>
        <v>214.34615950592251</v>
      </c>
      <c r="CE52" s="59">
        <f t="shared" si="40"/>
        <v>159.66077836853066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25.901353182452301</v>
      </c>
      <c r="CL52" s="21">
        <f>EXP(-LN(2)/25)*CL51+(1-EXP(-LN(2)/25))/(LN(2)/25)*Calculateur!CG52*Calculateur!CI52*VLOOKUP('Données projet'!$B$12,Paramètres!$A$1:$I$89,3,0)*0.475*44/12</f>
        <v>10.540020910601655</v>
      </c>
      <c r="CM52" s="21">
        <f>EXP(-LN(2)/2)*CM51+(1-EXP(-LN(2)/2))/(LN(2)/2)*CG52*CJ52*VLOOKUP('Données projet'!$B$12,Paramètres!$A$1:$I$89,3,0)*0.475*44/12</f>
        <v>0.34457035473972741</v>
      </c>
      <c r="CN52" s="22">
        <f t="shared" si="12"/>
        <v>36.785944447793682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</v>
      </c>
      <c r="D53" s="11">
        <f t="shared" si="32"/>
        <v>7.4712143488056828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238.30411076271048</v>
      </c>
      <c r="H53" s="67">
        <f t="shared" si="1"/>
        <v>347.10069832416985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20.507692307692299</v>
      </c>
      <c r="N53" s="13">
        <f>IF('Données projet'!$A$36&gt;35,N52+M53-V52,IF(A53&lt;'Données projet'!$A$36,$K$205^A53,IF(A53='Données projet'!$A$36,'Données projet'!$B$36,N52+M53-V52)))</f>
        <v>484.76923076923066</v>
      </c>
      <c r="O53" s="13">
        <f>N53*VLOOKUP('Données projet'!$B$9,Paramètres!$A$1:$I$89,3,0)*VLOOKUP('Données projet'!$B$9,Paramètres!$A$1:$I$89,5,0)</f>
        <v>270.98599999999993</v>
      </c>
      <c r="P53" s="13">
        <f t="shared" si="33"/>
        <v>65.058478958733772</v>
      </c>
      <c r="Q53" s="20">
        <f t="shared" si="53"/>
        <v>585.27746751979453</v>
      </c>
      <c r="R53" s="59">
        <f t="shared" si="0"/>
        <v>878.61080085312778</v>
      </c>
      <c r="S53" s="59">
        <f ca="1">AVERAGE(OFFSET($R$3,0,0,'Données projet'!$E$9+1,1))-AVERAGE(OFFSET($H$3,0,0,'Données projet'!$E$9+1,1))</f>
        <v>279.32192402750189</v>
      </c>
      <c r="T53" s="59">
        <f t="shared" si="34"/>
        <v>371.43572414443611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75.090019175960848</v>
      </c>
      <c r="AA53" s="21">
        <f>EXP(-LN(2)/25)*AA52+(1-EXP(-LN(2)/25))/(LN(2)/25)*Calculateur!V53*Calculateur!X53*VLOOKUP('Données projet'!$B$9,Paramètres!$A$1:$I$89,3,0)*0.475*44/12</f>
        <v>22.952986289534177</v>
      </c>
      <c r="AB53" s="21">
        <f>EXP(-LN(2)/2)*AB52+(1-EXP(-LN(2)/2))/(LN(2)/2)*V53*Y53*VLOOKUP('Données projet'!$B$9,Paramètres!$A$1:$I$89,3,0)*0.475*44/12</f>
        <v>3.8319382951861205</v>
      </c>
      <c r="AC53" s="22">
        <f t="shared" si="3"/>
        <v>101.87494376068115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349.95384615384614</v>
      </c>
      <c r="AG53" s="12">
        <f>VLOOKUP(A53,'Données projet'!$A$61:$I$81,9,0)</f>
        <v>14.989423076923082</v>
      </c>
      <c r="AH53" s="12">
        <f t="array" ref="AH53">INDEX(AG:AG,MIN(IF(ISNUMBER(AG53:AG249),ROW(AG53:AG249),"")))</f>
        <v>14.989423076923082</v>
      </c>
      <c r="AI53" s="13">
        <f>IF('Données projet'!$A$62&gt;35,AI52+AH53-AQ52,IF(A53&lt;'Données projet'!$A$62,$AF$205^A53,IF(A53='Données projet'!$A$62,'Données projet'!$B$62,AI52+AH53-AQ52)))</f>
        <v>349.95384615384603</v>
      </c>
      <c r="AJ53" s="13">
        <f>AI53*VLOOKUP('Données projet'!$B$10,Paramètres!$A$1:$I$89,3,0)*VLOOKUP('Données projet'!$B$10,Paramètres!$A$1:$I$89,5,0)</f>
        <v>163.77839999999995</v>
      </c>
      <c r="AK53" s="13">
        <f t="shared" si="35"/>
        <v>41.693582942883204</v>
      </c>
      <c r="AL53" s="20">
        <f t="shared" si="4"/>
        <v>357.86370362552151</v>
      </c>
      <c r="AM53" s="59">
        <f t="shared" si="5"/>
        <v>651.19703695885482</v>
      </c>
      <c r="AN53" s="59">
        <f ca="1">AVERAGE(OFFSET($AM$3,0,0,'Données projet'!$E$10+1,1))-AVERAGE(OFFSET($H$3,0,0,'Données projet'!$E$10+1,1))</f>
        <v>192.20041613277965</v>
      </c>
      <c r="AO53" s="59">
        <f t="shared" si="36"/>
        <v>132.76245212522417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100.66923076923077</v>
      </c>
      <c r="AR53" s="16">
        <f>IF(ISNA(VLOOKUP(A53,'Données projet'!$A$61:$I$81,5,0)),0%,VLOOKUP(A53,'Données projet'!$A$61:$I$81,5,0)*VLOOKUP('Données projet'!$B$10,Paramètres!$A$1:$I$89,7,0))</f>
        <v>0.38500000000000001</v>
      </c>
      <c r="AS53" s="16">
        <f>IF(ISNA(VLOOKUP(A53,'Données projet'!$A$61:$I$81,6,0)),0%,VLOOKUP(A53,'Données projet'!$A$61:$I$81,6,0)*VLOOKUP('Données projet'!$B$10,Paramètres!$A$1:$I$89,7,0))</f>
        <v>9.240000000000001E-2</v>
      </c>
      <c r="AT53" s="16">
        <f>IF(ISNA(VLOOKUP(A53,'Données projet'!$A$61:$I$81,7,0)),0%,VLOOKUP(A53,'Données projet'!$A$61:$I$81,7,0))</f>
        <v>0.13200000000000001</v>
      </c>
      <c r="AU53" s="21">
        <f>EXP(-LN(2)/35)*AU52+(1-EXP(-LN(2)/35))/(LN(2)/35)*AQ53*AR53*VLOOKUP('Données projet'!$B$10,Paramètres!$A$1:$I$89,3,0)*0.475*44/12</f>
        <v>24.061998153275443</v>
      </c>
      <c r="AV53" s="21">
        <f>EXP(-LN(2)/25)*AV52+(1-EXP(-LN(2)/25))/(LN(2)/25)*Calculateur!AQ53*Calculateur!AS53*VLOOKUP('Données projet'!$B$10,Paramètres!$A$1:$I$89,3,0)*0.475*44/12</f>
        <v>21.770117366244563</v>
      </c>
      <c r="AW53" s="21">
        <f>EXP(-LN(2)/2)*AW52+(1-EXP(-LN(2)/2))/(LN(2)/2)*AQ53*AT53*VLOOKUP('Données projet'!$B$10,Paramètres!$A$1:$I$89,3,0)*0.475*44/12</f>
        <v>8.5711053750042332</v>
      </c>
      <c r="AX53" s="21">
        <f t="shared" si="6"/>
        <v>54.403220894524239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9.75</v>
      </c>
      <c r="BD53" s="12">
        <f>IF('Données projet'!$A$88&gt;35,BD52+BC53-BL52,IF(A53&lt;'Données projet'!$A$88,$BA$205^A53,IF(A53='Données projet'!$A$88,'Données projet'!$B$88,BD52+BC53-BL52)))</f>
        <v>206.5</v>
      </c>
      <c r="BE53" s="13">
        <f>BD53*VLOOKUP('Données projet'!$B$11,Paramètres!$A$1:$I$89,3,0)*VLOOKUP('Données projet'!$B$11,Paramètres!$A$1:$I$89,5,0)</f>
        <v>128.85599999999999</v>
      </c>
      <c r="BF53" s="13">
        <f t="shared" si="37"/>
        <v>33.731878688740906</v>
      </c>
      <c r="BG53" s="20">
        <f t="shared" si="7"/>
        <v>283.1738887162237</v>
      </c>
      <c r="BH53" s="59">
        <f t="shared" si="8"/>
        <v>576.50722204955696</v>
      </c>
      <c r="BI53" s="59">
        <f ca="1">AVERAGE(OFFSET($BH$3,0,0,'Données projet'!$E$11+1,1))-AVERAGE(OFFSET($H$3,0,0,'Données projet'!$E$11+1,1))</f>
        <v>180.31844548479722</v>
      </c>
      <c r="BJ53" s="59">
        <f t="shared" si="38"/>
        <v>273.83237400307223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27.933182777721036</v>
      </c>
      <c r="BQ53" s="21">
        <f>EXP(-LN(2)/25)*BQ52+(1-EXP(-LN(2)/25))/(LN(2)/25)*Calculateur!BL53*Calculateur!BN53*VLOOKUP('Données projet'!$B$11,Paramètres!$A$1:$I$89,3,0)*0.475*44/12</f>
        <v>71.753108430086925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99.686291207807955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291.08461538461535</v>
      </c>
      <c r="BW53" s="12">
        <f>VLOOKUP(A53,'Données projet'!$A$113:$I$133,9,0)</f>
        <v>11.861538461538462</v>
      </c>
      <c r="BX53" s="12">
        <f t="array" ref="BX53">INDEX(BW:BW,MIN(IF(ISNUMBER(BW53:BW249),ROW(BW53:BW249),"")))</f>
        <v>11.861538461538462</v>
      </c>
      <c r="BY53" s="12">
        <f>IF('Données projet'!$A$114&gt;35,BY52+BX53-CG52,IF(A53&lt;'Données projet'!$A$114,$BV$205^A53,IF(A53='Données projet'!$A$114,'Données projet'!$B$114,BY52+BX53-CG52)))</f>
        <v>291.0846153846154</v>
      </c>
      <c r="BZ53" s="13">
        <f>BY53*VLOOKUP('Données projet'!$B$12,Paramètres!$A$1:$I$89,3,0)*VLOOKUP('Données projet'!$B$12,Paramètres!$A$1:$I$89,5,0)</f>
        <v>174.06860000000003</v>
      </c>
      <c r="CA53" s="13">
        <f t="shared" si="39"/>
        <v>43.999996552753835</v>
      </c>
      <c r="CB53" s="20">
        <f t="shared" si="10"/>
        <v>379.80280566271296</v>
      </c>
      <c r="CC53" s="59">
        <f t="shared" si="11"/>
        <v>673.13613899604627</v>
      </c>
      <c r="CD53" s="59">
        <f ca="1">AVERAGE(OFFSET($CC$3,0,0,'Données projet'!$E$12+1,1))-AVERAGE(OFFSET($H$3,0,0,'Données projet'!$E$12+1,1))</f>
        <v>214.34615950592251</v>
      </c>
      <c r="CE53" s="59">
        <f t="shared" si="40"/>
        <v>159.66077836853066</v>
      </c>
      <c r="CF53" s="15">
        <f>IF(ISNA(VLOOKUP(A53,'Données projet'!$A$113:$I$133,3,0)),0,VLOOKUP(A53,'Données projet'!$A$113:$I$133,3,0))</f>
        <v>5</v>
      </c>
      <c r="CG53" s="15">
        <f>IF(ISNA(VLOOKUP(A53,'Données projet'!$A$113:$I$133,4,0)),0,VLOOKUP(A53,'Données projet'!$A$113:$I$133,4,0))</f>
        <v>55.292307692307688</v>
      </c>
      <c r="CH53" s="16">
        <f>IF(ISNA(VLOOKUP(A53,'Données projet'!$A$113:$I$133,5,0)),0%,VLOOKUP(A53,'Données projet'!$A$113:$I$133,5,0)*VLOOKUP('Données projet'!$B$12,Paramètres!$A$1:$I$89,7,0))</f>
        <v>0.315</v>
      </c>
      <c r="CI53" s="16">
        <f>IF(ISNA(VLOOKUP(A53,'Données projet'!$A$113:$I$133,6,0)),0%,VLOOKUP(A53,'Données projet'!$A$113:$I$133,6,0)*VLOOKUP('Données projet'!$B$12,Paramètres!$A$1:$I$89,7,0))</f>
        <v>7.5600000000000001E-2</v>
      </c>
      <c r="CJ53" s="16">
        <f>IF(ISNA(VLOOKUP(A53,'Données projet'!$A$113:$I$133,7,0)),0%,VLOOKUP(A53,'Données projet'!$A$113:$I$133,7,0))</f>
        <v>0.13200000000000001</v>
      </c>
      <c r="CK53" s="21">
        <f>EXP(-LN(2)/35)*CK52+(1-EXP(-LN(2)/35))/(LN(2)/35)*CG53*CH53*VLOOKUP('Données projet'!$B$12,Paramètres!$A$1:$I$89,3,0)*0.475*44/12</f>
        <v>39.210158792768354</v>
      </c>
      <c r="CL53" s="21">
        <f>EXP(-LN(2)/25)*CL52+(1-EXP(-LN(2)/25))/(LN(2)/25)*Calculateur!CG53*Calculateur!CI53*VLOOKUP('Données projet'!$B$12,Paramètres!$A$1:$I$89,3,0)*0.475*44/12</f>
        <v>13.554758766538184</v>
      </c>
      <c r="CM53" s="21">
        <f>EXP(-LN(2)/2)*CM52+(1-EXP(-LN(2)/2))/(LN(2)/2)*CG53*CJ53*VLOOKUP('Données projet'!$B$12,Paramètres!$A$1:$I$89,3,0)*0.475*44/12</f>
        <v>5.1853365846377217</v>
      </c>
      <c r="CN53" s="22">
        <f t="shared" si="12"/>
        <v>57.950254143944264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23.867999999999999</v>
      </c>
      <c r="D54" s="11">
        <f t="shared" si="32"/>
        <v>7.6030930962115368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242.93475372514169</v>
      </c>
      <c r="H54" s="67">
        <f t="shared" si="1"/>
        <v>348.14548714256841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20.507692307692299</v>
      </c>
      <c r="N54" s="13">
        <f>IF('Données projet'!$A$36&gt;35,N53+M54-V53,IF(A54&lt;'Données projet'!$A$36,$K$205^A54,IF(A54='Données projet'!$A$36,'Données projet'!$B$36,N53+M54-V53)))</f>
        <v>505.27692307692297</v>
      </c>
      <c r="O54" s="13">
        <f>N54*VLOOKUP('Données projet'!$B$9,Paramètres!$A$1:$I$89,3,0)*VLOOKUP('Données projet'!$B$9,Paramètres!$A$1:$I$89,5,0)</f>
        <v>282.44979999999998</v>
      </c>
      <c r="P54" s="13">
        <f t="shared" si="33"/>
        <v>67.484459274997945</v>
      </c>
      <c r="Q54" s="20">
        <f t="shared" si="53"/>
        <v>609.46883490395464</v>
      </c>
      <c r="R54" s="59">
        <f t="shared" si="0"/>
        <v>902.80216823728802</v>
      </c>
      <c r="S54" s="59">
        <f ca="1">AVERAGE(OFFSET($R$3,0,0,'Données projet'!$E$9+1,1))-AVERAGE(OFFSET($H$3,0,0,'Données projet'!$E$9+1,1))</f>
        <v>279.32192402750189</v>
      </c>
      <c r="T54" s="59">
        <f t="shared" si="34"/>
        <v>371.43572414443611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73.617549700309539</v>
      </c>
      <c r="AA54" s="21">
        <f>EXP(-LN(2)/25)*AA53+(1-EXP(-LN(2)/25))/(LN(2)/25)*Calculateur!V54*Calculateur!X54*VLOOKUP('Données projet'!$B$9,Paramètres!$A$1:$I$89,3,0)*0.475*44/12</f>
        <v>22.325335672401774</v>
      </c>
      <c r="AB54" s="21">
        <f>EXP(-LN(2)/2)*AB53+(1-EXP(-LN(2)/2))/(LN(2)/2)*V54*Y54*VLOOKUP('Données projet'!$B$9,Paramètres!$A$1:$I$89,3,0)*0.475*44/12</f>
        <v>2.7095895536145242</v>
      </c>
      <c r="AC54" s="22">
        <f t="shared" si="3"/>
        <v>98.652474926325837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14.254807692307693</v>
      </c>
      <c r="AI54" s="13">
        <f>IF('Données projet'!$A$62&gt;35,AI53+AH54-AQ53,IF(A54&lt;'Données projet'!$A$62,$AF$205^A54,IF(A54='Données projet'!$A$62,'Données projet'!$B$62,AI53+AH54-AQ53)))</f>
        <v>263.53942307692296</v>
      </c>
      <c r="AJ54" s="13">
        <f>AI54*VLOOKUP('Données projet'!$B$10,Paramètres!$A$1:$I$89,3,0)*VLOOKUP('Données projet'!$B$10,Paramètres!$A$1:$I$89,5,0)</f>
        <v>123.33644999999993</v>
      </c>
      <c r="AK54" s="13">
        <f t="shared" si="35"/>
        <v>32.451925084991807</v>
      </c>
      <c r="AL54" s="20">
        <f t="shared" si="4"/>
        <v>271.33141993969394</v>
      </c>
      <c r="AM54" s="59">
        <f t="shared" si="5"/>
        <v>564.66475327302726</v>
      </c>
      <c r="AN54" s="59">
        <f ca="1">AVERAGE(OFFSET($AM$3,0,0,'Données projet'!$E$10+1,1))-AVERAGE(OFFSET($H$3,0,0,'Données projet'!$E$10+1,1))</f>
        <v>192.20041613277965</v>
      </c>
      <c r="AO54" s="59">
        <f t="shared" si="36"/>
        <v>132.76245212522417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23.590157045859414</v>
      </c>
      <c r="AV54" s="21">
        <f>EXP(-LN(2)/25)*AV53+(1-EXP(-LN(2)/25))/(LN(2)/25)*Calculateur!AQ54*Calculateur!AS54*VLOOKUP('Données projet'!$B$10,Paramètres!$A$1:$I$89,3,0)*0.475*44/12</f>
        <v>21.174812362023889</v>
      </c>
      <c r="AW54" s="21">
        <f>EXP(-LN(2)/2)*AW53+(1-EXP(-LN(2)/2))/(LN(2)/2)*AQ54*AT54*VLOOKUP('Données projet'!$B$10,Paramètres!$A$1:$I$89,3,0)*0.475*44/12</f>
        <v>6.0606867329299599</v>
      </c>
      <c r="AX54" s="21">
        <f t="shared" si="6"/>
        <v>50.825656140813258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9.75</v>
      </c>
      <c r="BD54" s="12">
        <f>IF('Données projet'!$A$88&gt;35,BD53+BC54-BL53,IF(A54&lt;'Données projet'!$A$88,$BA$205^A54,IF(A54='Données projet'!$A$88,'Données projet'!$B$88,BD53+BC54-BL53)))</f>
        <v>216.25</v>
      </c>
      <c r="BE54" s="13">
        <f>BD54*VLOOKUP('Données projet'!$B$11,Paramètres!$A$1:$I$89,3,0)*VLOOKUP('Données projet'!$B$11,Paramètres!$A$1:$I$89,5,0)</f>
        <v>134.94</v>
      </c>
      <c r="BF54" s="13">
        <f t="shared" si="37"/>
        <v>35.135358771568036</v>
      </c>
      <c r="BG54" s="20">
        <f t="shared" si="7"/>
        <v>296.21458319381429</v>
      </c>
      <c r="BH54" s="59">
        <f t="shared" si="8"/>
        <v>589.54791652714766</v>
      </c>
      <c r="BI54" s="59">
        <f ca="1">AVERAGE(OFFSET($BH$3,0,0,'Données projet'!$E$11+1,1))-AVERAGE(OFFSET($H$3,0,0,'Données projet'!$E$11+1,1))</f>
        <v>180.31844548479722</v>
      </c>
      <c r="BJ54" s="59">
        <f t="shared" si="38"/>
        <v>273.83237400307223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27.385430101009103</v>
      </c>
      <c r="BQ54" s="21">
        <f>EXP(-LN(2)/25)*BQ53+(1-EXP(-LN(2)/25))/(LN(2)/25)*Calculateur!BL54*Calculateur!BN54*VLOOKUP('Données projet'!$B$11,Paramètres!$A$1:$I$89,3,0)*0.475*44/12</f>
        <v>69.791015906734216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97.176446007743323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10.663076923076932</v>
      </c>
      <c r="BY54" s="12">
        <f>IF('Données projet'!$A$114&gt;35,BY53+BX54-CG53,IF(A54&lt;'Données projet'!$A$114,$BV$205^A54,IF(A54='Données projet'!$A$114,'Données projet'!$B$114,BY53+BX54-CG53)))</f>
        <v>246.45538461538462</v>
      </c>
      <c r="BZ54" s="13">
        <f>BY54*VLOOKUP('Données projet'!$B$12,Paramètres!$A$1:$I$89,3,0)*VLOOKUP('Données projet'!$B$12,Paramètres!$A$1:$I$89,5,0)</f>
        <v>147.38032000000001</v>
      </c>
      <c r="CA54" s="13">
        <f t="shared" si="39"/>
        <v>37.982644854557613</v>
      </c>
      <c r="CB54" s="20">
        <f t="shared" si="10"/>
        <v>322.84049712168786</v>
      </c>
      <c r="CC54" s="59">
        <f t="shared" si="11"/>
        <v>616.17383045502118</v>
      </c>
      <c r="CD54" s="59">
        <f ca="1">AVERAGE(OFFSET($CC$3,0,0,'Données projet'!$E$12+1,1))-AVERAGE(OFFSET($H$3,0,0,'Données projet'!$E$12+1,1))</f>
        <v>214.34615950592251</v>
      </c>
      <c r="CE54" s="59">
        <f t="shared" si="40"/>
        <v>159.66077836853066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38.441271494677537</v>
      </c>
      <c r="CL54" s="21">
        <f>EXP(-LN(2)/25)*CL53+(1-EXP(-LN(2)/25))/(LN(2)/25)*Calculateur!CG54*Calculateur!CI54*VLOOKUP('Données projet'!$B$12,Paramètres!$A$1:$I$89,3,0)*0.475*44/12</f>
        <v>13.184103175253414</v>
      </c>
      <c r="CM54" s="21">
        <f>EXP(-LN(2)/2)*CM53+(1-EXP(-LN(2)/2))/(LN(2)/2)*CG54*CJ54*VLOOKUP('Données projet'!$B$12,Paramètres!$A$1:$I$89,3,0)*0.475*44/12</f>
        <v>3.6665866617320253</v>
      </c>
      <c r="CN54" s="22">
        <f t="shared" si="12"/>
        <v>55.291961331662975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24.335999999999999</v>
      </c>
      <c r="D55" s="11">
        <f t="shared" si="32"/>
        <v>7.7346711726299766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247.56307571854714</v>
      </c>
      <c r="H55" s="67">
        <f t="shared" si="1"/>
        <v>349.18975229233052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20.507692307692299</v>
      </c>
      <c r="N55" s="13">
        <f>IF('Données projet'!$A$36&gt;35,N54+M55-V54,IF(A55&lt;'Données projet'!$A$36,$K$205^A55,IF(A55='Données projet'!$A$36,'Données projet'!$B$36,N54+M55-V54)))</f>
        <v>525.78461538461522</v>
      </c>
      <c r="O55" s="13">
        <f>N55*VLOOKUP('Données projet'!$B$9,Paramètres!$A$1:$I$89,3,0)*VLOOKUP('Données projet'!$B$9,Paramètres!$A$1:$I$89,5,0)</f>
        <v>293.91359999999992</v>
      </c>
      <c r="P55" s="13">
        <f t="shared" si="33"/>
        <v>69.899002171586702</v>
      </c>
      <c r="Q55" s="20">
        <f t="shared" si="53"/>
        <v>633.64028211551329</v>
      </c>
      <c r="R55" s="59">
        <f t="shared" si="0"/>
        <v>926.97361544884666</v>
      </c>
      <c r="S55" s="59">
        <f ca="1">AVERAGE(OFFSET($R$3,0,0,'Données projet'!$E$9+1,1))-AVERAGE(OFFSET($H$3,0,0,'Données projet'!$E$9+1,1))</f>
        <v>279.32192402750189</v>
      </c>
      <c r="T55" s="59">
        <f t="shared" si="34"/>
        <v>371.43572414443611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72.173954452958057</v>
      </c>
      <c r="AA55" s="21">
        <f>EXP(-LN(2)/25)*AA54+(1-EXP(-LN(2)/25))/(LN(2)/25)*Calculateur!V55*Calculateur!X55*VLOOKUP('Données projet'!$B$9,Paramètres!$A$1:$I$89,3,0)*0.475*44/12</f>
        <v>21.714848194401569</v>
      </c>
      <c r="AB55" s="21">
        <f>EXP(-LN(2)/2)*AB54+(1-EXP(-LN(2)/2))/(LN(2)/2)*V55*Y55*VLOOKUP('Données projet'!$B$9,Paramètres!$A$1:$I$89,3,0)*0.475*44/12</f>
        <v>1.9159691475930605</v>
      </c>
      <c r="AC55" s="22">
        <f t="shared" si="3"/>
        <v>95.804771794952686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14.254807692307693</v>
      </c>
      <c r="AI55" s="13">
        <f>IF('Données projet'!$A$62&gt;35,AI54+AH55-AQ54,IF(A55&lt;'Données projet'!$A$62,$AF$205^A55,IF(A55='Données projet'!$A$62,'Données projet'!$B$62,AI54+AH55-AQ54)))</f>
        <v>277.79423076923064</v>
      </c>
      <c r="AJ55" s="13">
        <f>AI55*VLOOKUP('Données projet'!$B$10,Paramètres!$A$1:$I$89,3,0)*VLOOKUP('Données projet'!$B$10,Paramètres!$A$1:$I$89,5,0)</f>
        <v>130.00769999999994</v>
      </c>
      <c r="AK55" s="13">
        <f t="shared" si="35"/>
        <v>33.99813857013887</v>
      </c>
      <c r="AL55" s="20">
        <f t="shared" si="4"/>
        <v>285.64350217632511</v>
      </c>
      <c r="AM55" s="59">
        <f t="shared" si="5"/>
        <v>578.97683550965849</v>
      </c>
      <c r="AN55" s="59">
        <f ca="1">AVERAGE(OFFSET($AM$3,0,0,'Données projet'!$E$10+1,1))-AVERAGE(OFFSET($H$3,0,0,'Données projet'!$E$10+1,1))</f>
        <v>192.20041613277965</v>
      </c>
      <c r="AO55" s="59">
        <f t="shared" si="36"/>
        <v>132.76245212522417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23.127568454765154</v>
      </c>
      <c r="AV55" s="21">
        <f>EXP(-LN(2)/25)*AV54+(1-EXP(-LN(2)/25))/(LN(2)/25)*Calculateur!AQ55*Calculateur!AS55*VLOOKUP('Données projet'!$B$10,Paramètres!$A$1:$I$89,3,0)*0.475*44/12</f>
        <v>20.595786004449359</v>
      </c>
      <c r="AW55" s="21">
        <f>EXP(-LN(2)/2)*AW54+(1-EXP(-LN(2)/2))/(LN(2)/2)*AQ55*AT55*VLOOKUP('Données projet'!$B$10,Paramètres!$A$1:$I$89,3,0)*0.475*44/12</f>
        <v>4.2855526875021166</v>
      </c>
      <c r="AX55" s="21">
        <f t="shared" si="6"/>
        <v>48.008907146716631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9.75</v>
      </c>
      <c r="BD55" s="12">
        <f>IF('Données projet'!$A$88&gt;35,BD54+BC55-BL54,IF(A55&lt;'Données projet'!$A$88,$BA$205^A55,IF(A55='Données projet'!$A$88,'Données projet'!$B$88,BD54+BC55-BL54)))</f>
        <v>226</v>
      </c>
      <c r="BE55" s="13">
        <f>BD55*VLOOKUP('Données projet'!$B$11,Paramètres!$A$1:$I$89,3,0)*VLOOKUP('Données projet'!$B$11,Paramètres!$A$1:$I$89,5,0)</f>
        <v>141.024</v>
      </c>
      <c r="BF55" s="13">
        <f t="shared" si="37"/>
        <v>36.531489925882461</v>
      </c>
      <c r="BG55" s="20">
        <f t="shared" si="7"/>
        <v>309.24247828757859</v>
      </c>
      <c r="BH55" s="59">
        <f t="shared" si="8"/>
        <v>602.57581162091196</v>
      </c>
      <c r="BI55" s="59">
        <f ca="1">AVERAGE(OFFSET($BH$3,0,0,'Données projet'!$E$11+1,1))-AVERAGE(OFFSET($H$3,0,0,'Données projet'!$E$11+1,1))</f>
        <v>180.31844548479722</v>
      </c>
      <c r="BJ55" s="59">
        <f t="shared" si="38"/>
        <v>273.83237400307223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26.848418520191345</v>
      </c>
      <c r="BQ55" s="21">
        <f>EXP(-LN(2)/25)*BQ54+(1-EXP(-LN(2)/25))/(LN(2)/25)*Calculateur!BL55*Calculateur!BN55*VLOOKUP('Données projet'!$B$11,Paramètres!$A$1:$I$89,3,0)*0.475*44/12</f>
        <v>67.882576906614545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94.73099542680589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10.663076923076932</v>
      </c>
      <c r="BY55" s="12">
        <f>IF('Données projet'!$A$114&gt;35,BY54+BX55-CG54,IF(A55&lt;'Données projet'!$A$114,$BV$205^A55,IF(A55='Données projet'!$A$114,'Données projet'!$B$114,BY54+BX55-CG54)))</f>
        <v>257.11846153846153</v>
      </c>
      <c r="BZ55" s="13">
        <f>BY55*VLOOKUP('Données projet'!$B$12,Paramètres!$A$1:$I$89,3,0)*VLOOKUP('Données projet'!$B$12,Paramètres!$A$1:$I$89,5,0)</f>
        <v>153.75684000000001</v>
      </c>
      <c r="CA55" s="13">
        <f t="shared" si="39"/>
        <v>39.431107959482766</v>
      </c>
      <c r="CB55" s="20">
        <f t="shared" si="10"/>
        <v>336.4690093627658</v>
      </c>
      <c r="CC55" s="59">
        <f t="shared" si="11"/>
        <v>629.80234269609912</v>
      </c>
      <c r="CD55" s="59">
        <f ca="1">AVERAGE(OFFSET($CC$3,0,0,'Données projet'!$E$12+1,1))-AVERAGE(OFFSET($H$3,0,0,'Données projet'!$E$12+1,1))</f>
        <v>214.34615950592251</v>
      </c>
      <c r="CE55" s="59">
        <f t="shared" si="40"/>
        <v>159.66077836853066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37.687461607527339</v>
      </c>
      <c r="CL55" s="21">
        <f>EXP(-LN(2)/25)*CL54+(1-EXP(-LN(2)/25))/(LN(2)/25)*Calculateur!CG55*Calculateur!CI55*VLOOKUP('Données projet'!$B$12,Paramètres!$A$1:$I$89,3,0)*0.475*44/12</f>
        <v>12.823583180604256</v>
      </c>
      <c r="CM55" s="21">
        <f>EXP(-LN(2)/2)*CM54+(1-EXP(-LN(2)/2))/(LN(2)/2)*CG55*CJ55*VLOOKUP('Données projet'!$B$12,Paramètres!$A$1:$I$89,3,0)*0.475*44/12</f>
        <v>2.5926682923188613</v>
      </c>
      <c r="CN55" s="22">
        <f t="shared" si="12"/>
        <v>53.103713080450461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24.803999999999998</v>
      </c>
      <c r="D56" s="11">
        <f t="shared" si="32"/>
        <v>7.8659550268183116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252.18912652280798</v>
      </c>
      <c r="H56" s="67">
        <f t="shared" si="1"/>
        <v>350.23350500504188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20.507692307692299</v>
      </c>
      <c r="N56" s="13">
        <f>IF('Données projet'!$A$36&gt;35,N55+M56-V55,IF(A56&lt;'Données projet'!$A$36,$K$205^A56,IF(A56='Données projet'!$A$36,'Données projet'!$B$36,N55+M56-V55)))</f>
        <v>546.29230769230753</v>
      </c>
      <c r="O56" s="13">
        <f>N56*VLOOKUP('Données projet'!$B$9,Paramètres!$A$1:$I$89,3,0)*VLOOKUP('Données projet'!$B$9,Paramètres!$A$1:$I$89,5,0)</f>
        <v>305.37739999999991</v>
      </c>
      <c r="P56" s="13">
        <f t="shared" si="33"/>
        <v>72.302604807906476</v>
      </c>
      <c r="Q56" s="20">
        <f t="shared" si="53"/>
        <v>657.79267504043685</v>
      </c>
      <c r="R56" s="59">
        <f t="shared" si="0"/>
        <v>951.12600837377022</v>
      </c>
      <c r="S56" s="59">
        <f ca="1">AVERAGE(OFFSET($R$3,0,0,'Données projet'!$E$9+1,1))-AVERAGE(OFFSET($H$3,0,0,'Données projet'!$E$9+1,1))</f>
        <v>279.32192402750189</v>
      </c>
      <c r="T56" s="59">
        <f t="shared" si="34"/>
        <v>371.43572414443611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70.758667227900972</v>
      </c>
      <c r="AA56" s="21">
        <f>EXP(-LN(2)/25)*AA55+(1-EXP(-LN(2)/25))/(LN(2)/25)*Calculateur!V56*Calculateur!X56*VLOOKUP('Données projet'!$B$9,Paramètres!$A$1:$I$89,3,0)*0.475*44/12</f>
        <v>21.121054528591422</v>
      </c>
      <c r="AB56" s="21">
        <f>EXP(-LN(2)/2)*AB55+(1-EXP(-LN(2)/2))/(LN(2)/2)*V56*Y56*VLOOKUP('Données projet'!$B$9,Paramètres!$A$1:$I$89,3,0)*0.475*44/12</f>
        <v>1.3547947768072623</v>
      </c>
      <c r="AC56" s="22">
        <f t="shared" si="3"/>
        <v>93.234516533299654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14.254807692307693</v>
      </c>
      <c r="AI56" s="13">
        <f>IF('Données projet'!$A$62&gt;35,AI55+AH56-AQ55,IF(A56&lt;'Données projet'!$A$62,$AF$205^A56,IF(A56='Données projet'!$A$62,'Données projet'!$B$62,AI55+AH56-AQ55)))</f>
        <v>292.04903846153832</v>
      </c>
      <c r="AJ56" s="13">
        <f>AI56*VLOOKUP('Données projet'!$B$10,Paramètres!$A$1:$I$89,3,0)*VLOOKUP('Données projet'!$B$10,Paramètres!$A$1:$I$89,5,0)</f>
        <v>136.67894999999993</v>
      </c>
      <c r="AK56" s="13">
        <f t="shared" si="35"/>
        <v>35.535139810553957</v>
      </c>
      <c r="AL56" s="20">
        <f t="shared" si="4"/>
        <v>299.93953975338138</v>
      </c>
      <c r="AM56" s="59">
        <f t="shared" si="5"/>
        <v>593.27287308671475</v>
      </c>
      <c r="AN56" s="59">
        <f ca="1">AVERAGE(OFFSET($AM$3,0,0,'Données projet'!$E$10+1,1))-AVERAGE(OFFSET($H$3,0,0,'Données projet'!$E$10+1,1))</f>
        <v>192.20041613277965</v>
      </c>
      <c r="AO56" s="59">
        <f t="shared" si="36"/>
        <v>132.76245212522417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22.674050943791073</v>
      </c>
      <c r="AV56" s="21">
        <f>EXP(-LN(2)/25)*AV55+(1-EXP(-LN(2)/25))/(LN(2)/25)*Calculateur!AQ56*Calculateur!AS56*VLOOKUP('Données projet'!$B$10,Paramètres!$A$1:$I$89,3,0)*0.475*44/12</f>
        <v>20.032593153072376</v>
      </c>
      <c r="AW56" s="21">
        <f>EXP(-LN(2)/2)*AW55+(1-EXP(-LN(2)/2))/(LN(2)/2)*AQ56*AT56*VLOOKUP('Données projet'!$B$10,Paramètres!$A$1:$I$89,3,0)*0.475*44/12</f>
        <v>3.0303433664649799</v>
      </c>
      <c r="AX56" s="21">
        <f t="shared" si="6"/>
        <v>45.736987463328433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9.75</v>
      </c>
      <c r="BD56" s="12">
        <f>IF('Données projet'!$A$88&gt;35,BD55+BC56-BL55,IF(A56&lt;'Données projet'!$A$88,$BA$205^A56,IF(A56='Données projet'!$A$88,'Données projet'!$B$88,BD55+BC56-BL55)))</f>
        <v>235.75</v>
      </c>
      <c r="BE56" s="13">
        <f>BD56*VLOOKUP('Données projet'!$B$11,Paramètres!$A$1:$I$89,3,0)*VLOOKUP('Données projet'!$B$11,Paramètres!$A$1:$I$89,5,0)</f>
        <v>147.108</v>
      </c>
      <c r="BF56" s="13">
        <f t="shared" si="37"/>
        <v>37.920625436598897</v>
      </c>
      <c r="BG56" s="20">
        <f t="shared" si="7"/>
        <v>322.25818930207646</v>
      </c>
      <c r="BH56" s="59">
        <f t="shared" si="8"/>
        <v>615.59152263540977</v>
      </c>
      <c r="BI56" s="59">
        <f ca="1">AVERAGE(OFFSET($BH$3,0,0,'Données projet'!$E$11+1,1))-AVERAGE(OFFSET($H$3,0,0,'Données projet'!$E$11+1,1))</f>
        <v>180.31844548479722</v>
      </c>
      <c r="BJ56" s="59">
        <f t="shared" si="38"/>
        <v>273.83237400307223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26.321937408928701</v>
      </c>
      <c r="BQ56" s="21">
        <f>EXP(-LN(2)/25)*BQ55+(1-EXP(-LN(2)/25))/(LN(2)/25)*Calculateur!BL56*Calculateur!BN56*VLOOKUP('Données projet'!$B$11,Paramètres!$A$1:$I$89,3,0)*0.475*44/12</f>
        <v>66.026324271313598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92.348261680242302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10.663076923076932</v>
      </c>
      <c r="BY56" s="12">
        <f>IF('Données projet'!$A$114&gt;35,BY55+BX56-CG55,IF(A56&lt;'Données projet'!$A$114,$BV$205^A56,IF(A56='Données projet'!$A$114,'Données projet'!$B$114,BY55+BX56-CG55)))</f>
        <v>267.78153846153845</v>
      </c>
      <c r="BZ56" s="13">
        <f>BY56*VLOOKUP('Données projet'!$B$12,Paramètres!$A$1:$I$89,3,0)*VLOOKUP('Données projet'!$B$12,Paramètres!$A$1:$I$89,5,0)</f>
        <v>160.13336000000001</v>
      </c>
      <c r="CA56" s="13">
        <f t="shared" si="39"/>
        <v>40.872593668242253</v>
      </c>
      <c r="CB56" s="20">
        <f t="shared" si="10"/>
        <v>350.08536930552191</v>
      </c>
      <c r="CC56" s="59">
        <f t="shared" si="11"/>
        <v>643.41870263885517</v>
      </c>
      <c r="CD56" s="59">
        <f ca="1">AVERAGE(OFFSET($CC$3,0,0,'Données projet'!$E$12+1,1))-AVERAGE(OFFSET($H$3,0,0,'Données projet'!$E$12+1,1))</f>
        <v>214.34615950592251</v>
      </c>
      <c r="CE56" s="59">
        <f t="shared" si="40"/>
        <v>159.66077836853066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36.948433472485526</v>
      </c>
      <c r="CL56" s="21">
        <f>EXP(-LN(2)/25)*CL55+(1-EXP(-LN(2)/25))/(LN(2)/25)*Calculateur!CG56*Calculateur!CI56*VLOOKUP('Données projet'!$B$12,Paramètres!$A$1:$I$89,3,0)*0.475*44/12</f>
        <v>12.472921624167702</v>
      </c>
      <c r="CM56" s="21">
        <f>EXP(-LN(2)/2)*CM55+(1-EXP(-LN(2)/2))/(LN(2)/2)*CG56*CJ56*VLOOKUP('Données projet'!$B$12,Paramètres!$A$1:$I$89,3,0)*0.475*44/12</f>
        <v>1.8332933308660131</v>
      </c>
      <c r="CN56" s="22">
        <f t="shared" si="12"/>
        <v>51.254648427519243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25.271999999999998</v>
      </c>
      <c r="D57" s="11">
        <f t="shared" si="32"/>
        <v>7.996950850258413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256.81295393181932</v>
      </c>
      <c r="H57" s="67">
        <f t="shared" si="1"/>
        <v>351.27675606420007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566.79999999999995</v>
      </c>
      <c r="L57" s="12">
        <f>VLOOKUP(A57,'Données projet'!$A$35:$I$55,9,0)</f>
        <v>20.507692307692299</v>
      </c>
      <c r="M57" s="12">
        <f t="array" ref="M57">INDEX(L:L,MIN(IF(ISNUMBER(L57:L253),ROW(L57:L253),"")))</f>
        <v>20.507692307692299</v>
      </c>
      <c r="N57" s="13">
        <f>IF('Données projet'!$A$36&gt;35,N56+M57-V56,IF(A57&lt;'Données projet'!$A$36,$K$205^A57,IF(A57='Données projet'!$A$36,'Données projet'!$B$36,N56+M57-V56)))</f>
        <v>566.79999999999984</v>
      </c>
      <c r="O57" s="13">
        <f>N57*VLOOKUP('Données projet'!$B$9,Paramètres!$A$1:$I$89,3,0)*VLOOKUP('Données projet'!$B$9,Paramètres!$A$1:$I$89,5,0)</f>
        <v>316.8411999999999</v>
      </c>
      <c r="P57" s="13">
        <f t="shared" si="33"/>
        <v>74.695724902330795</v>
      </c>
      <c r="Q57" s="20">
        <f t="shared" si="53"/>
        <v>681.92681087155927</v>
      </c>
      <c r="R57" s="59">
        <f t="shared" si="0"/>
        <v>975.26014420489264</v>
      </c>
      <c r="S57" s="59">
        <f ca="1">AVERAGE(OFFSET($R$3,0,0,'Données projet'!$E$9+1,1))-AVERAGE(OFFSET($H$3,0,0,'Données projet'!$E$9+1,1))</f>
        <v>279.32192402750189</v>
      </c>
      <c r="T57" s="59">
        <f t="shared" si="34"/>
        <v>371.43572414443611</v>
      </c>
      <c r="U57" s="15">
        <f>IF(ISNA(VLOOKUP(A57,'Données projet'!$A$35:$I$55,3,0)),0,VLOOKUP(A57,'Données projet'!$A$35:$I$55,3,0))</f>
        <v>7</v>
      </c>
      <c r="V57" s="15">
        <f>IF(ISNA(VLOOKUP(A57,'Données projet'!$A$35:$I$55,4,0)),0,VLOOKUP(A57,'Données projet'!$A$35:$I$55,4,0))</f>
        <v>566.79999999999995</v>
      </c>
      <c r="W57" s="16">
        <f>IF(ISNA(VLOOKUP(A57,'Données projet'!$A$35:$I$55,5,0)),0%,VLOOKUP(A57,'Données projet'!$A$35:$I$55,5,0)*VLOOKUP('Données projet'!$B$9,Paramètres!$A$1:$I$89,7,0))</f>
        <v>0.38500000000000001</v>
      </c>
      <c r="X57" s="16">
        <f>IF(ISNA(VLOOKUP(A57,'Données projet'!$A$35:$I$55,6,0)),0%,VLOOKUP(A57,'Données projet'!$A$35:$I$55,6,0)*VLOOKUP('Données projet'!$B$9,Paramètres!$A$1:$I$89,7,0))</f>
        <v>9.240000000000001E-2</v>
      </c>
      <c r="Y57" s="16">
        <f>IF(ISNA(VLOOKUP(A57,'Données projet'!$A$35:$I$55,7,0)),0%,VLOOKUP(A57,'Données projet'!$A$35:$I$55,7,0))</f>
        <v>0.13200000000000001</v>
      </c>
      <c r="Z57" s="21">
        <f>EXP(-LN(2)/35)*Z56+(1-EXP(-LN(2)/35))/(LN(2)/35)*V57*W57*VLOOKUP('Données projet'!$B$9,Paramètres!$A$1:$I$89,3,0)*0.475*44/12</f>
        <v>231.19058838852931</v>
      </c>
      <c r="AA57" s="21">
        <f>EXP(-LN(2)/25)*AA56+(1-EXP(-LN(2)/25))/(LN(2)/25)*Calculateur!V57*Calculateur!X57*VLOOKUP('Données projet'!$B$9,Paramètres!$A$1:$I$89,3,0)*0.475*44/12</f>
        <v>59.227252728732921</v>
      </c>
      <c r="AB57" s="21">
        <f>EXP(-LN(2)/2)*AB56+(1-EXP(-LN(2)/2))/(LN(2)/2)*V57*Y57*VLOOKUP('Données projet'!$B$9,Paramètres!$A$1:$I$89,3,0)*0.475*44/12</f>
        <v>48.311379430966142</v>
      </c>
      <c r="AC57" s="22">
        <f t="shared" si="3"/>
        <v>338.7292205482284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14.254807692307693</v>
      </c>
      <c r="AI57" s="13">
        <f>IF('Données projet'!$A$62&gt;35,AI56+AH57-AQ56,IF(A57&lt;'Données projet'!$A$62,$AF$205^A57,IF(A57='Données projet'!$A$62,'Données projet'!$B$62,AI56+AH57-AQ56)))</f>
        <v>306.303846153846</v>
      </c>
      <c r="AJ57" s="13">
        <f>AI57*VLOOKUP('Données projet'!$B$10,Paramètres!$A$1:$I$89,3,0)*VLOOKUP('Données projet'!$B$10,Paramètres!$A$1:$I$89,5,0)</f>
        <v>143.35019999999992</v>
      </c>
      <c r="AK57" s="13">
        <f t="shared" si="35"/>
        <v>37.063429775262271</v>
      </c>
      <c r="AL57" s="20">
        <f t="shared" si="4"/>
        <v>314.22040519191495</v>
      </c>
      <c r="AM57" s="59">
        <f t="shared" si="5"/>
        <v>607.55373852524826</v>
      </c>
      <c r="AN57" s="59">
        <f ca="1">AVERAGE(OFFSET($AM$3,0,0,'Données projet'!$E$10+1,1))-AVERAGE(OFFSET($H$3,0,0,'Données projet'!$E$10+1,1))</f>
        <v>192.20041613277965</v>
      </c>
      <c r="AO57" s="59">
        <f t="shared" si="36"/>
        <v>132.76245212522417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22.229426634588826</v>
      </c>
      <c r="AV57" s="21">
        <f>EXP(-LN(2)/25)*AV56+(1-EXP(-LN(2)/25))/(LN(2)/25)*Calculateur!AQ57*Calculateur!AS57*VLOOKUP('Données projet'!$B$10,Paramètres!$A$1:$I$89,3,0)*0.475*44/12</f>
        <v>19.484800839833323</v>
      </c>
      <c r="AW57" s="21">
        <f>EXP(-LN(2)/2)*AW56+(1-EXP(-LN(2)/2))/(LN(2)/2)*AQ57*AT57*VLOOKUP('Données projet'!$B$10,Paramètres!$A$1:$I$89,3,0)*0.475*44/12</f>
        <v>2.1427763437510583</v>
      </c>
      <c r="AX57" s="21">
        <f t="shared" si="6"/>
        <v>43.857003818173204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9.75</v>
      </c>
      <c r="BD57" s="12">
        <f>IF('Données projet'!$A$88&gt;35,BD56+BC57-BL56,IF(A57&lt;'Données projet'!$A$88,$BA$205^A57,IF(A57='Données projet'!$A$88,'Données projet'!$B$88,BD56+BC57-BL56)))</f>
        <v>245.5</v>
      </c>
      <c r="BE57" s="13">
        <f>BD57*VLOOKUP('Données projet'!$B$11,Paramètres!$A$1:$I$89,3,0)*VLOOKUP('Données projet'!$B$11,Paramètres!$A$1:$I$89,5,0)</f>
        <v>153.19199999999998</v>
      </c>
      <c r="BF57" s="13">
        <f t="shared" si="37"/>
        <v>39.303087713366921</v>
      </c>
      <c r="BG57" s="20">
        <f t="shared" si="7"/>
        <v>335.2622777674473</v>
      </c>
      <c r="BH57" s="59">
        <f t="shared" si="8"/>
        <v>628.59561110078062</v>
      </c>
      <c r="BI57" s="59">
        <f ca="1">AVERAGE(OFFSET($BH$3,0,0,'Données projet'!$E$11+1,1))-AVERAGE(OFFSET($H$3,0,0,'Données projet'!$E$11+1,1))</f>
        <v>180.31844548479722</v>
      </c>
      <c r="BJ57" s="59">
        <f t="shared" si="38"/>
        <v>273.83237400307223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25.80578027113615</v>
      </c>
      <c r="BQ57" s="21">
        <f>EXP(-LN(2)/25)*BQ56+(1-EXP(-LN(2)/25))/(LN(2)/25)*Calculateur!BL57*Calculateur!BN57*VLOOKUP('Données projet'!$B$11,Paramètres!$A$1:$I$89,3,0)*0.475*44/12</f>
        <v>64.220830961941033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90.026611233077176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10.663076923076932</v>
      </c>
      <c r="BY57" s="12">
        <f>IF('Données projet'!$A$114&gt;35,BY56+BX57-CG56,IF(A57&lt;'Données projet'!$A$114,$BV$205^A57,IF(A57='Données projet'!$A$114,'Données projet'!$B$114,BY56+BX57-CG56)))</f>
        <v>278.44461538461536</v>
      </c>
      <c r="BZ57" s="13">
        <f>BY57*VLOOKUP('Données projet'!$B$12,Paramètres!$A$1:$I$89,3,0)*VLOOKUP('Données projet'!$B$12,Paramètres!$A$1:$I$89,5,0)</f>
        <v>166.50987999999998</v>
      </c>
      <c r="CA57" s="13">
        <f t="shared" si="39"/>
        <v>42.307411610776938</v>
      </c>
      <c r="CB57" s="20">
        <f t="shared" si="10"/>
        <v>363.69011622210314</v>
      </c>
      <c r="CC57" s="59">
        <f t="shared" si="11"/>
        <v>657.0234495554364</v>
      </c>
      <c r="CD57" s="59">
        <f ca="1">AVERAGE(OFFSET($CC$3,0,0,'Données projet'!$E$12+1,1))-AVERAGE(OFFSET($H$3,0,0,'Données projet'!$E$12+1,1))</f>
        <v>214.34615950592251</v>
      </c>
      <c r="CE57" s="59">
        <f t="shared" si="40"/>
        <v>159.66077836853066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36.223897228409228</v>
      </c>
      <c r="CL57" s="21">
        <f>EXP(-LN(2)/25)*CL56+(1-EXP(-LN(2)/25))/(LN(2)/25)*Calculateur!CG57*Calculateur!CI57*VLOOKUP('Données projet'!$B$12,Paramètres!$A$1:$I$89,3,0)*0.475*44/12</f>
        <v>12.131848926432395</v>
      </c>
      <c r="CM57" s="21">
        <f>EXP(-LN(2)/2)*CM56+(1-EXP(-LN(2)/2))/(LN(2)/2)*CG57*CJ57*VLOOKUP('Données projet'!$B$12,Paramètres!$A$1:$I$89,3,0)*0.475*44/12</f>
        <v>1.2963341461594309</v>
      </c>
      <c r="CN57" s="22">
        <f t="shared" si="12"/>
        <v>49.652080301001057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25.74</v>
      </c>
      <c r="D58" s="11">
        <f t="shared" si="32"/>
        <v>8.1276645919917723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261.43460386800666</v>
      </c>
      <c r="H58" s="67">
        <f t="shared" si="1"/>
        <v>352.31951583105229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-1.1368683772161603E-13</v>
      </c>
      <c r="O58" s="13">
        <f>N58*VLOOKUP('Données projet'!$B$9,Paramètres!$A$1:$I$89,3,0)*VLOOKUP('Données projet'!$B$9,Paramètres!$A$1:$I$89,5,0)</f>
        <v>-6.3550942286383367E-14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279.32192402750189</v>
      </c>
      <c r="T58" s="59">
        <f t="shared" si="34"/>
        <v>371.43572414443611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226.65708196256534</v>
      </c>
      <c r="AA58" s="21">
        <f>EXP(-LN(2)/25)*AA57+(1-EXP(-LN(2)/25))/(LN(2)/25)*Calculateur!V58*Calculateur!X58*VLOOKUP('Données projet'!$B$9,Paramètres!$A$1:$I$89,3,0)*0.475*44/12</f>
        <v>57.607680388239864</v>
      </c>
      <c r="AB58" s="21">
        <f>EXP(-LN(2)/2)*AB57+(1-EXP(-LN(2)/2))/(LN(2)/2)*V58*Y58*VLOOKUP('Données projet'!$B$9,Paramètres!$A$1:$I$89,3,0)*0.475*44/12</f>
        <v>34.161304004112452</v>
      </c>
      <c r="AC58" s="22">
        <f t="shared" si="3"/>
        <v>318.42606635491768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14.254807692307693</v>
      </c>
      <c r="AI58" s="13">
        <f>IF('Données projet'!$A$62&gt;35,AI57+AH58-AQ57,IF(A58&lt;'Données projet'!$A$62,$AF$205^A58,IF(A58='Données projet'!$A$62,'Données projet'!$B$62,AI57+AH58-AQ57)))</f>
        <v>320.55865384615367</v>
      </c>
      <c r="AJ58" s="13">
        <f>AI58*VLOOKUP('Données projet'!$B$10,Paramètres!$A$1:$I$89,3,0)*VLOOKUP('Données projet'!$B$10,Paramètres!$A$1:$I$89,5,0)</f>
        <v>150.02144999999993</v>
      </c>
      <c r="AK58" s="13">
        <f t="shared" si="35"/>
        <v>38.583460169756968</v>
      </c>
      <c r="AL58" s="20">
        <f t="shared" si="4"/>
        <v>328.48688521232657</v>
      </c>
      <c r="AM58" s="59">
        <f t="shared" si="5"/>
        <v>621.82021854565983</v>
      </c>
      <c r="AN58" s="59">
        <f ca="1">AVERAGE(OFFSET($AM$3,0,0,'Données projet'!$E$10+1,1))-AVERAGE(OFFSET($H$3,0,0,'Données projet'!$E$10+1,1))</f>
        <v>192.20041613277965</v>
      </c>
      <c r="AO58" s="59">
        <f t="shared" si="36"/>
        <v>132.76245212522417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21.793521136895986</v>
      </c>
      <c r="AV58" s="21">
        <f>EXP(-LN(2)/25)*AV57+(1-EXP(-LN(2)/25))/(LN(2)/25)*Calculateur!AQ58*Calculateur!AS58*VLOOKUP('Données projet'!$B$10,Paramètres!$A$1:$I$89,3,0)*0.475*44/12</f>
        <v>18.951987936206937</v>
      </c>
      <c r="AW58" s="21">
        <f>EXP(-LN(2)/2)*AW57+(1-EXP(-LN(2)/2))/(LN(2)/2)*AQ58*AT58*VLOOKUP('Données projet'!$B$10,Paramètres!$A$1:$I$89,3,0)*0.475*44/12</f>
        <v>1.51517168323249</v>
      </c>
      <c r="AX58" s="21">
        <f t="shared" si="6"/>
        <v>42.260680756335411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9.75</v>
      </c>
      <c r="BD58" s="12">
        <f>IF('Données projet'!$A$88&gt;35,BD57+BC58-BL57,IF(A58&lt;'Données projet'!$A$88,$BA$205^A58,IF(A58='Données projet'!$A$88,'Données projet'!$B$88,BD57+BC58-BL57)))</f>
        <v>255.25</v>
      </c>
      <c r="BE58" s="13">
        <f>BD58*VLOOKUP('Données projet'!$B$11,Paramètres!$A$1:$I$89,3,0)*VLOOKUP('Données projet'!$B$11,Paramètres!$A$1:$I$89,5,0)</f>
        <v>159.27600000000001</v>
      </c>
      <c r="BF58" s="13">
        <f t="shared" si="37"/>
        <v>40.679172107249002</v>
      </c>
      <c r="BG58" s="20">
        <f t="shared" si="7"/>
        <v>348.25525808679203</v>
      </c>
      <c r="BH58" s="59">
        <f t="shared" si="8"/>
        <v>641.58859142012534</v>
      </c>
      <c r="BI58" s="59">
        <f ca="1">AVERAGE(OFFSET($BH$3,0,0,'Données projet'!$E$11+1,1))-AVERAGE(OFFSET($H$3,0,0,'Données projet'!$E$11+1,1))</f>
        <v>180.31844548479722</v>
      </c>
      <c r="BJ58" s="59">
        <f t="shared" si="38"/>
        <v>273.83237400307223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25.299744659990942</v>
      </c>
      <c r="BQ58" s="21">
        <f>EXP(-LN(2)/25)*BQ57+(1-EXP(-LN(2)/25))/(LN(2)/25)*Calculateur!BL58*Calculateur!BN58*VLOOKUP('Données projet'!$B$11,Paramètres!$A$1:$I$89,3,0)*0.475*44/12</f>
        <v>62.464708962060037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87.764453622050979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10.663076923076932</v>
      </c>
      <c r="BY58" s="12">
        <f>IF('Données projet'!$A$114&gt;35,BY57+BX58-CG57,IF(A58&lt;'Données projet'!$A$114,$BV$205^A58,IF(A58='Données projet'!$A$114,'Données projet'!$B$114,BY57+BX58-CG57)))</f>
        <v>289.10769230769228</v>
      </c>
      <c r="BZ58" s="13">
        <f>BY58*VLOOKUP('Données projet'!$B$12,Paramètres!$A$1:$I$89,3,0)*VLOOKUP('Données projet'!$B$12,Paramètres!$A$1:$I$89,5,0)</f>
        <v>172.88639999999998</v>
      </c>
      <c r="CA58" s="13">
        <f t="shared" si="39"/>
        <v>43.735846359314316</v>
      </c>
      <c r="CB58" s="20">
        <f t="shared" si="10"/>
        <v>377.28374574247232</v>
      </c>
      <c r="CC58" s="59">
        <f t="shared" si="11"/>
        <v>670.61707907580558</v>
      </c>
      <c r="CD58" s="59">
        <f ca="1">AVERAGE(OFFSET($CC$3,0,0,'Données projet'!$E$12+1,1))-AVERAGE(OFFSET($H$3,0,0,'Données projet'!$E$12+1,1))</f>
        <v>214.34615950592251</v>
      </c>
      <c r="CE58" s="59">
        <f t="shared" si="40"/>
        <v>159.66077836853066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35.513568698155794</v>
      </c>
      <c r="CL58" s="21">
        <f>EXP(-LN(2)/25)*CL57+(1-EXP(-LN(2)/25))/(LN(2)/25)*Calculateur!CG58*Calculateur!CI58*VLOOKUP('Données projet'!$B$12,Paramètres!$A$1:$I$89,3,0)*0.475*44/12</f>
        <v>11.800102879552893</v>
      </c>
      <c r="CM58" s="21">
        <f>EXP(-LN(2)/2)*CM57+(1-EXP(-LN(2)/2))/(LN(2)/2)*CG58*CJ58*VLOOKUP('Données projet'!$B$12,Paramètres!$A$1:$I$89,3,0)*0.475*44/12</f>
        <v>0.91664666543300666</v>
      </c>
      <c r="CN58" s="22">
        <f t="shared" si="12"/>
        <v>48.230318243141696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26.207999999999998</v>
      </c>
      <c r="D59" s="11">
        <f t="shared" si="32"/>
        <v>8.2581019723450986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266.05412048827799</v>
      </c>
      <c r="H59" s="67">
        <f t="shared" si="1"/>
        <v>353.361794268501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-1.1368683772161603E-13</v>
      </c>
      <c r="O59" s="13">
        <f>N59*VLOOKUP('Données projet'!$B$9,Paramètres!$A$1:$I$89,3,0)*VLOOKUP('Données projet'!$B$9,Paramètres!$A$1:$I$89,5,0)</f>
        <v>-6.3550942286383367E-14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279.32192402750189</v>
      </c>
      <c r="T59" s="59">
        <f t="shared" si="34"/>
        <v>371.43572414443611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222.21247483244866</v>
      </c>
      <c r="AA59" s="21">
        <f>EXP(-LN(2)/25)*AA58+(1-EXP(-LN(2)/25))/(LN(2)/25)*Calculateur!V59*Calculateur!X59*VLOOKUP('Données projet'!$B$9,Paramètres!$A$1:$I$89,3,0)*0.475*44/12</f>
        <v>56.032395338567198</v>
      </c>
      <c r="AB59" s="21">
        <f>EXP(-LN(2)/2)*AB58+(1-EXP(-LN(2)/2))/(LN(2)/2)*V59*Y59*VLOOKUP('Données projet'!$B$9,Paramètres!$A$1:$I$89,3,0)*0.475*44/12</f>
        <v>24.155689715483074</v>
      </c>
      <c r="AC59" s="22">
        <f t="shared" si="3"/>
        <v>302.40055988649891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14.254807692307693</v>
      </c>
      <c r="AI59" s="13">
        <f>IF('Données projet'!$A$62&gt;35,AI58+AH59-AQ58,IF(A59&lt;'Données projet'!$A$62,$AF$205^A59,IF(A59='Données projet'!$A$62,'Données projet'!$B$62,AI58+AH59-AQ58)))</f>
        <v>334.81346153846135</v>
      </c>
      <c r="AJ59" s="13">
        <f>AI59*VLOOKUP('Données projet'!$B$10,Paramètres!$A$1:$I$89,3,0)*VLOOKUP('Données projet'!$B$10,Paramètres!$A$1:$I$89,5,0)</f>
        <v>156.69269999999992</v>
      </c>
      <c r="AK59" s="13">
        <f t="shared" si="35"/>
        <v>40.095640254763687</v>
      </c>
      <c r="AL59" s="20">
        <f t="shared" si="4"/>
        <v>342.73969261037996</v>
      </c>
      <c r="AM59" s="59">
        <f t="shared" si="5"/>
        <v>636.07302594371322</v>
      </c>
      <c r="AN59" s="59">
        <f ca="1">AVERAGE(OFFSET($AM$3,0,0,'Données projet'!$E$10+1,1))-AVERAGE(OFFSET($H$3,0,0,'Données projet'!$E$10+1,1))</f>
        <v>192.20041613277965</v>
      </c>
      <c r="AO59" s="59">
        <f t="shared" si="36"/>
        <v>132.76245212522417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21.366163480136802</v>
      </c>
      <c r="AV59" s="21">
        <f>EXP(-LN(2)/25)*AV58+(1-EXP(-LN(2)/25))/(LN(2)/25)*Calculateur!AQ59*Calculateur!AS59*VLOOKUP('Données projet'!$B$10,Paramètres!$A$1:$I$89,3,0)*0.475*44/12</f>
        <v>18.433744829449626</v>
      </c>
      <c r="AW59" s="21">
        <f>EXP(-LN(2)/2)*AW58+(1-EXP(-LN(2)/2))/(LN(2)/2)*AQ59*AT59*VLOOKUP('Données projet'!$B$10,Paramètres!$A$1:$I$89,3,0)*0.475*44/12</f>
        <v>1.0713881718755291</v>
      </c>
      <c r="AX59" s="21">
        <f t="shared" si="6"/>
        <v>40.871296481461954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9.75</v>
      </c>
      <c r="BD59" s="12">
        <f>IF('Données projet'!$A$88&gt;35,BD58+BC59-BL58,IF(A59&lt;'Données projet'!$A$88,$BA$205^A59,IF(A59='Données projet'!$A$88,'Données projet'!$B$88,BD58+BC59-BL58)))</f>
        <v>265</v>
      </c>
      <c r="BE59" s="13">
        <f>BD59*VLOOKUP('Données projet'!$B$11,Paramètres!$A$1:$I$89,3,0)*VLOOKUP('Données projet'!$B$11,Paramètres!$A$1:$I$89,5,0)</f>
        <v>165.35999999999999</v>
      </c>
      <c r="BF59" s="13">
        <f t="shared" si="37"/>
        <v>42.04915012784209</v>
      </c>
      <c r="BG59" s="20">
        <f t="shared" si="7"/>
        <v>361.2376031393249</v>
      </c>
      <c r="BH59" s="59">
        <f t="shared" si="8"/>
        <v>654.57093647265822</v>
      </c>
      <c r="BI59" s="59">
        <f ca="1">AVERAGE(OFFSET($BH$3,0,0,'Données projet'!$E$11+1,1))-AVERAGE(OFFSET($H$3,0,0,'Données projet'!$E$11+1,1))</f>
        <v>180.31844548479722</v>
      </c>
      <c r="BJ59" s="59">
        <f t="shared" si="38"/>
        <v>273.83237400307223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24.803632098529047</v>
      </c>
      <c r="BQ59" s="21">
        <f>EXP(-LN(2)/25)*BQ58+(1-EXP(-LN(2)/25))/(LN(2)/25)*Calculateur!BL59*Calculateur!BN59*VLOOKUP('Données projet'!$B$11,Paramètres!$A$1:$I$89,3,0)*0.475*44/12</f>
        <v>60.756608210616228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85.560240309145271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10.663076923076932</v>
      </c>
      <c r="BY59" s="12">
        <f>IF('Données projet'!$A$114&gt;35,BY58+BX59-CG58,IF(A59&lt;'Données projet'!$A$114,$BV$205^A59,IF(A59='Données projet'!$A$114,'Données projet'!$B$114,BY58+BX59-CG58)))</f>
        <v>299.77076923076919</v>
      </c>
      <c r="BZ59" s="13">
        <f>BY59*VLOOKUP('Données projet'!$B$12,Paramètres!$A$1:$I$89,3,0)*VLOOKUP('Données projet'!$B$12,Paramètres!$A$1:$I$89,5,0)</f>
        <v>179.26291999999998</v>
      </c>
      <c r="CA59" s="13">
        <f t="shared" si="39"/>
        <v>45.158160305042841</v>
      </c>
      <c r="CB59" s="20">
        <f t="shared" si="10"/>
        <v>390.8667148646162</v>
      </c>
      <c r="CC59" s="59">
        <f t="shared" si="11"/>
        <v>684.20004819794951</v>
      </c>
      <c r="CD59" s="59">
        <f ca="1">AVERAGE(OFFSET($CC$3,0,0,'Données projet'!$E$12+1,1))-AVERAGE(OFFSET($H$3,0,0,'Données projet'!$E$12+1,1))</f>
        <v>214.34615950592251</v>
      </c>
      <c r="CE59" s="59">
        <f t="shared" si="40"/>
        <v>159.66077836853066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34.817169277123007</v>
      </c>
      <c r="CL59" s="21">
        <f>EXP(-LN(2)/25)*CL58+(1-EXP(-LN(2)/25))/(LN(2)/25)*Calculateur!CG59*Calculateur!CI59*VLOOKUP('Données projet'!$B$12,Paramètres!$A$1:$I$89,3,0)*0.475*44/12</f>
        <v>11.477428445771078</v>
      </c>
      <c r="CM59" s="21">
        <f>EXP(-LN(2)/2)*CM58+(1-EXP(-LN(2)/2))/(LN(2)/2)*CG59*CJ59*VLOOKUP('Données projet'!$B$12,Paramètres!$A$1:$I$89,3,0)*0.475*44/12</f>
        <v>0.64816707307971555</v>
      </c>
      <c r="CN59" s="22">
        <f t="shared" si="12"/>
        <v>46.942764795973801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26.675999999999998</v>
      </c>
      <c r="D60" s="11">
        <f t="shared" si="32"/>
        <v>8.388268495647786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270.67154628219339</v>
      </c>
      <c r="H60" s="67">
        <f t="shared" si="1"/>
        <v>354.40360096325321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-1.1368683772161603E-13</v>
      </c>
      <c r="O60" s="13">
        <f>N60*VLOOKUP('Données projet'!$B$9,Paramètres!$A$1:$I$89,3,0)*VLOOKUP('Données projet'!$B$9,Paramètres!$A$1:$I$89,5,0)</f>
        <v>-6.3550942286383367E-14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279.32192402750189</v>
      </c>
      <c r="T60" s="59">
        <f t="shared" si="34"/>
        <v>371.43572414443611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217.8550237372109</v>
      </c>
      <c r="AA60" s="21">
        <f>EXP(-LN(2)/25)*AA59+(1-EXP(-LN(2)/25))/(LN(2)/25)*Calculateur!V60*Calculateur!X60*VLOOKUP('Données projet'!$B$9,Paramètres!$A$1:$I$89,3,0)*0.475*44/12</f>
        <v>54.500186541418472</v>
      </c>
      <c r="AB60" s="21">
        <f>EXP(-LN(2)/2)*AB59+(1-EXP(-LN(2)/2))/(LN(2)/2)*V60*Y60*VLOOKUP('Données projet'!$B$9,Paramètres!$A$1:$I$89,3,0)*0.475*44/12</f>
        <v>17.08065200205623</v>
      </c>
      <c r="AC60" s="22">
        <f t="shared" si="3"/>
        <v>289.43586228068563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14.254807692307693</v>
      </c>
      <c r="AI60" s="13">
        <f>IF('Données projet'!$A$62&gt;35,AI59+AH60-AQ59,IF(A60&lt;'Données projet'!$A$62,$AF$205^A60,IF(A60='Données projet'!$A$62,'Données projet'!$B$62,AI59+AH60-AQ59)))</f>
        <v>349.06826923076903</v>
      </c>
      <c r="AJ60" s="13">
        <f>AI60*VLOOKUP('Données projet'!$B$10,Paramètres!$A$1:$I$89,3,0)*VLOOKUP('Données projet'!$B$10,Paramètres!$A$1:$I$89,5,0)</f>
        <v>163.3639499999999</v>
      </c>
      <c r="AK60" s="13">
        <f t="shared" si="35"/>
        <v>41.600342471015871</v>
      </c>
      <c r="AL60" s="20">
        <f t="shared" si="4"/>
        <v>356.9794760536858</v>
      </c>
      <c r="AM60" s="59">
        <f t="shared" si="5"/>
        <v>650.31280938701912</v>
      </c>
      <c r="AN60" s="59">
        <f ca="1">AVERAGE(OFFSET($AM$3,0,0,'Données projet'!$E$10+1,1))-AVERAGE(OFFSET($H$3,0,0,'Données projet'!$E$10+1,1))</f>
        <v>192.20041613277965</v>
      </c>
      <c r="AO60" s="59">
        <f t="shared" si="36"/>
        <v>132.76245212522417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20.94718604636423</v>
      </c>
      <c r="AV60" s="21">
        <f>EXP(-LN(2)/25)*AV59+(1-EXP(-LN(2)/25))/(LN(2)/25)*Calculateur!AQ60*Calculateur!AS60*VLOOKUP('Données projet'!$B$10,Paramètres!$A$1:$I$89,3,0)*0.475*44/12</f>
        <v>17.929673107699816</v>
      </c>
      <c r="AW60" s="21">
        <f>EXP(-LN(2)/2)*AW59+(1-EXP(-LN(2)/2))/(LN(2)/2)*AQ60*AT60*VLOOKUP('Données projet'!$B$10,Paramètres!$A$1:$I$89,3,0)*0.475*44/12</f>
        <v>0.75758584161624498</v>
      </c>
      <c r="AX60" s="21">
        <f t="shared" si="6"/>
        <v>39.634444995680298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9.75</v>
      </c>
      <c r="BD60" s="12">
        <f>IF('Données projet'!$A$88&gt;35,BD59+BC60-BL59,IF(A60&lt;'Données projet'!$A$88,$BA$205^A60,IF(A60='Données projet'!$A$88,'Données projet'!$B$88,BD59+BC60-BL59)))</f>
        <v>274.75</v>
      </c>
      <c r="BE60" s="13">
        <f>BD60*VLOOKUP('Données projet'!$B$11,Paramètres!$A$1:$I$89,3,0)*VLOOKUP('Données projet'!$B$11,Paramètres!$A$1:$I$89,5,0)</f>
        <v>171.44399999999999</v>
      </c>
      <c r="BF60" s="13">
        <f t="shared" si="37"/>
        <v>43.413272173627242</v>
      </c>
      <c r="BG60" s="20">
        <f t="shared" si="7"/>
        <v>374.20974903573409</v>
      </c>
      <c r="BH60" s="59">
        <f t="shared" si="8"/>
        <v>667.54308236906741</v>
      </c>
      <c r="BI60" s="59">
        <f ca="1">AVERAGE(OFFSET($BH$3,0,0,'Données projet'!$E$11+1,1))-AVERAGE(OFFSET($H$3,0,0,'Données projet'!$E$11+1,1))</f>
        <v>180.31844548479722</v>
      </c>
      <c r="BJ60" s="59">
        <f t="shared" si="38"/>
        <v>273.83237400307223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24.317248001798635</v>
      </c>
      <c r="BQ60" s="21">
        <f>EXP(-LN(2)/25)*BQ59+(1-EXP(-LN(2)/25))/(LN(2)/25)*Calculateur!BL60*Calculateur!BN60*VLOOKUP('Données projet'!$B$11,Paramètres!$A$1:$I$89,3,0)*0.475*44/12</f>
        <v>59.095215564045766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83.412463565844405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10.663076923076932</v>
      </c>
      <c r="BY60" s="12">
        <f>IF('Données projet'!$A$114&gt;35,BY59+BX60-CG59,IF(A60&lt;'Données projet'!$A$114,$BV$205^A60,IF(A60='Données projet'!$A$114,'Données projet'!$B$114,BY59+BX60-CG59)))</f>
        <v>310.4338461538461</v>
      </c>
      <c r="BZ60" s="13">
        <f>BY60*VLOOKUP('Données projet'!$B$12,Paramètres!$A$1:$I$89,3,0)*VLOOKUP('Données projet'!$B$12,Paramètres!$A$1:$I$89,5,0)</f>
        <v>185.63943999999998</v>
      </c>
      <c r="CA60" s="13">
        <f t="shared" si="39"/>
        <v>46.574596113982338</v>
      </c>
      <c r="CB60" s="20">
        <f t="shared" si="10"/>
        <v>404.43944623185251</v>
      </c>
      <c r="CC60" s="59">
        <f t="shared" si="11"/>
        <v>697.77277956518583</v>
      </c>
      <c r="CD60" s="59">
        <f ca="1">AVERAGE(OFFSET($CC$3,0,0,'Données projet'!$E$12+1,1))-AVERAGE(OFFSET($H$3,0,0,'Données projet'!$E$12+1,1))</f>
        <v>214.34615950592251</v>
      </c>
      <c r="CE60" s="59">
        <f t="shared" si="40"/>
        <v>159.66077836853066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34.134425823974965</v>
      </c>
      <c r="CL60" s="21">
        <f>EXP(-LN(2)/25)*CL59+(1-EXP(-LN(2)/25))/(LN(2)/25)*Calculateur!CG60*Calculateur!CI60*VLOOKUP('Données projet'!$B$12,Paramètres!$A$1:$I$89,3,0)*0.475*44/12</f>
        <v>11.163577561349738</v>
      </c>
      <c r="CM60" s="21">
        <f>EXP(-LN(2)/2)*CM59+(1-EXP(-LN(2)/2))/(LN(2)/2)*CG60*CJ60*VLOOKUP('Données projet'!$B$12,Paramètres!$A$1:$I$89,3,0)*0.475*44/12</f>
        <v>0.45832333271650344</v>
      </c>
      <c r="CN60" s="22">
        <f t="shared" si="12"/>
        <v>45.756326718041208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27.143999999999998</v>
      </c>
      <c r="D61" s="11">
        <f t="shared" si="32"/>
        <v>8.5181694620316346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275.2869221630512</v>
      </c>
      <c r="H61" s="67">
        <f t="shared" si="1"/>
        <v>355.44494514637177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-1.1368683772161603E-13</v>
      </c>
      <c r="O61" s="13">
        <f>N61*VLOOKUP('Données projet'!$B$9,Paramètres!$A$1:$I$89,3,0)*VLOOKUP('Données projet'!$B$9,Paramètres!$A$1:$I$89,5,0)</f>
        <v>-6.3550942286383367E-14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279.32192402750189</v>
      </c>
      <c r="T61" s="59">
        <f t="shared" si="34"/>
        <v>371.43572414443611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213.58301960016803</v>
      </c>
      <c r="AA61" s="21">
        <f>EXP(-LN(2)/25)*AA60+(1-EXP(-LN(2)/25))/(LN(2)/25)*Calculateur!V61*Calculateur!X61*VLOOKUP('Données projet'!$B$9,Paramètres!$A$1:$I$89,3,0)*0.475*44/12</f>
        <v>53.009876074403138</v>
      </c>
      <c r="AB61" s="21">
        <f>EXP(-LN(2)/2)*AB60+(1-EXP(-LN(2)/2))/(LN(2)/2)*V61*Y61*VLOOKUP('Données projet'!$B$9,Paramètres!$A$1:$I$89,3,0)*0.475*44/12</f>
        <v>12.077844857741541</v>
      </c>
      <c r="AC61" s="22">
        <f t="shared" si="3"/>
        <v>278.67074053231272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363.32307692307694</v>
      </c>
      <c r="AG61" s="12">
        <f>VLOOKUP(A61,'Données projet'!$A$61:$I$81,9,0)</f>
        <v>14.254807692307693</v>
      </c>
      <c r="AH61" s="12">
        <f t="array" ref="AH61">INDEX(AG:AG,MIN(IF(ISNUMBER(AG61:AG257),ROW(AG61:AG257),"")))</f>
        <v>14.254807692307693</v>
      </c>
      <c r="AI61" s="13">
        <f>IF('Données projet'!$A$62&gt;35,AI60+AH61-AQ60,IF(A61&lt;'Données projet'!$A$62,$AF$205^A61,IF(A61='Données projet'!$A$62,'Données projet'!$B$62,AI60+AH61-AQ60)))</f>
        <v>363.32307692307671</v>
      </c>
      <c r="AJ61" s="13">
        <f>AI61*VLOOKUP('Données projet'!$B$10,Paramètres!$A$1:$I$89,3,0)*VLOOKUP('Données projet'!$B$10,Paramètres!$A$1:$I$89,5,0)</f>
        <v>170.03519999999989</v>
      </c>
      <c r="AK61" s="13">
        <f t="shared" si="35"/>
        <v>43.097907119364415</v>
      </c>
      <c r="AL61" s="20">
        <f t="shared" si="4"/>
        <v>371.2068282328928</v>
      </c>
      <c r="AM61" s="59">
        <f t="shared" si="5"/>
        <v>664.54016156622606</v>
      </c>
      <c r="AN61" s="59">
        <f ca="1">AVERAGE(OFFSET($AM$3,0,0,'Données projet'!$E$10+1,1))-AVERAGE(OFFSET($H$3,0,0,'Données projet'!$E$10+1,1))</f>
        <v>192.20041613277965</v>
      </c>
      <c r="AO61" s="59">
        <f t="shared" si="36"/>
        <v>132.76245212522417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80.315384615384616</v>
      </c>
      <c r="AR61" s="16">
        <f>IF(ISNA(VLOOKUP(A61,'Données projet'!$A$61:$I$81,5,0)),0%,VLOOKUP(A61,'Données projet'!$A$61:$I$81,5,0)*VLOOKUP('Données projet'!$B$10,Paramètres!$A$1:$I$89,7,0))</f>
        <v>0.38500000000000001</v>
      </c>
      <c r="AS61" s="16">
        <f>IF(ISNA(VLOOKUP(A61,'Données projet'!$A$61:$I$81,6,0)),0%,VLOOKUP(A61,'Données projet'!$A$61:$I$81,6,0)*VLOOKUP('Données projet'!$B$10,Paramètres!$A$1:$I$89,7,0))</f>
        <v>9.240000000000001E-2</v>
      </c>
      <c r="AT61" s="16">
        <f>IF(ISNA(VLOOKUP(A61,'Données projet'!$A$61:$I$81,7,0)),0%,VLOOKUP(A61,'Données projet'!$A$61:$I$81,7,0))</f>
        <v>0.13200000000000001</v>
      </c>
      <c r="AU61" s="21">
        <f>EXP(-LN(2)/35)*AU60+(1-EXP(-LN(2)/35))/(LN(2)/35)*AQ61*AR61*VLOOKUP('Données projet'!$B$10,Paramètres!$A$1:$I$89,3,0)*0.475*44/12</f>
        <v>39.733438542749454</v>
      </c>
      <c r="AV61" s="21">
        <f>EXP(-LN(2)/25)*AV60+(1-EXP(-LN(2)/25))/(LN(2)/25)*Calculateur!AQ61*Calculateur!AS61*VLOOKUP('Données projet'!$B$10,Paramètres!$A$1:$I$89,3,0)*0.475*44/12</f>
        <v>22.028527992728002</v>
      </c>
      <c r="AW61" s="21">
        <f>EXP(-LN(2)/2)*AW60+(1-EXP(-LN(2)/2))/(LN(2)/2)*AQ61*AT61*VLOOKUP('Données projet'!$B$10,Paramètres!$A$1:$I$89,3,0)*0.475*44/12</f>
        <v>6.153336187196528</v>
      </c>
      <c r="AX61" s="21">
        <f t="shared" si="6"/>
        <v>67.915302722673985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9.75</v>
      </c>
      <c r="BD61" s="12">
        <f>IF('Données projet'!$A$88&gt;35,BD60+BC61-BL60,IF(A61&lt;'Données projet'!$A$88,$BA$205^A61,IF(A61='Données projet'!$A$88,'Données projet'!$B$88,BD60+BC61-BL60)))</f>
        <v>284.5</v>
      </c>
      <c r="BE61" s="13">
        <f>BD61*VLOOKUP('Données projet'!$B$11,Paramètres!$A$1:$I$89,3,0)*VLOOKUP('Données projet'!$B$11,Paramètres!$A$1:$I$89,5,0)</f>
        <v>177.52800000000002</v>
      </c>
      <c r="BF61" s="13">
        <f t="shared" si="37"/>
        <v>44.771769863863661</v>
      </c>
      <c r="BG61" s="20">
        <f t="shared" si="7"/>
        <v>387.17209917956257</v>
      </c>
      <c r="BH61" s="59">
        <f t="shared" si="8"/>
        <v>680.50543251289582</v>
      </c>
      <c r="BI61" s="59">
        <f ca="1">AVERAGE(OFFSET($BH$3,0,0,'Données projet'!$E$11+1,1))-AVERAGE(OFFSET($H$3,0,0,'Données projet'!$E$11+1,1))</f>
        <v>180.31844548479722</v>
      </c>
      <c r="BJ61" s="59">
        <f t="shared" si="38"/>
        <v>273.83237400307223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23.840401600540101</v>
      </c>
      <c r="BQ61" s="21">
        <f>EXP(-LN(2)/25)*BQ60+(1-EXP(-LN(2)/25))/(LN(2)/25)*Calculateur!BL61*Calculateur!BN61*VLOOKUP('Données projet'!$B$11,Paramètres!$A$1:$I$89,3,0)*0.475*44/12</f>
        <v>57.479253786764609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81.319655387304707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10.663076923076932</v>
      </c>
      <c r="BY61" s="12">
        <f>IF('Données projet'!$A$114&gt;35,BY60+BX61-CG60,IF(A61&lt;'Données projet'!$A$114,$BV$205^A61,IF(A61='Données projet'!$A$114,'Données projet'!$B$114,BY60+BX61-CG60)))</f>
        <v>321.09692307692302</v>
      </c>
      <c r="BZ61" s="13">
        <f>BY61*VLOOKUP('Données projet'!$B$12,Paramètres!$A$1:$I$89,3,0)*VLOOKUP('Données projet'!$B$12,Paramètres!$A$1:$I$89,5,0)</f>
        <v>192.01595999999998</v>
      </c>
      <c r="CA61" s="13">
        <f t="shared" si="39"/>
        <v>47.985378835949042</v>
      </c>
      <c r="CB61" s="20">
        <f t="shared" si="10"/>
        <v>418.00233180594455</v>
      </c>
      <c r="CC61" s="59">
        <f t="shared" si="11"/>
        <v>711.33566513927781</v>
      </c>
      <c r="CD61" s="59">
        <f ca="1">AVERAGE(OFFSET($CC$3,0,0,'Données projet'!$E$12+1,1))-AVERAGE(OFFSET($H$3,0,0,'Données projet'!$E$12+1,1))</f>
        <v>214.34615950592251</v>
      </c>
      <c r="CE61" s="59">
        <f t="shared" si="40"/>
        <v>159.66077836853066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33.46507055351077</v>
      </c>
      <c r="CL61" s="21">
        <f>EXP(-LN(2)/25)*CL60+(1-EXP(-LN(2)/25))/(LN(2)/25)*Calculateur!CG61*Calculateur!CI61*VLOOKUP('Données projet'!$B$12,Paramètres!$A$1:$I$89,3,0)*0.475*44/12</f>
        <v>10.8583089458676</v>
      </c>
      <c r="CM61" s="21">
        <f>EXP(-LN(2)/2)*CM60+(1-EXP(-LN(2)/2))/(LN(2)/2)*CG61*CJ61*VLOOKUP('Données projet'!$B$12,Paramètres!$A$1:$I$89,3,0)*0.475*44/12</f>
        <v>0.32408353653985783</v>
      </c>
      <c r="CN61" s="22">
        <f t="shared" si="12"/>
        <v>44.647463035918229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27.611999999999998</v>
      </c>
      <c r="D62" s="11">
        <f t="shared" si="32"/>
        <v>8.6478099783937541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279.90028755251325</v>
      </c>
      <c r="H62" s="67">
        <f t="shared" si="1"/>
        <v>356.48583571236912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-1.1368683772161603E-13</v>
      </c>
      <c r="O62" s="13">
        <f>N62*VLOOKUP('Données projet'!$B$9,Paramètres!$A$1:$I$89,3,0)*VLOOKUP('Données projet'!$B$9,Paramètres!$A$1:$I$89,5,0)</f>
        <v>-6.3550942286383367E-14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279.32192402750189</v>
      </c>
      <c r="T62" s="59">
        <f t="shared" si="34"/>
        <v>371.43572414443611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209.39478685858731</v>
      </c>
      <c r="AA62" s="21">
        <f>EXP(-LN(2)/25)*AA61+(1-EXP(-LN(2)/25))/(LN(2)/25)*Calculateur!V62*Calculateur!X62*VLOOKUP('Données projet'!$B$9,Paramètres!$A$1:$I$89,3,0)*0.475*44/12</f>
        <v>51.560318225480358</v>
      </c>
      <c r="AB62" s="21">
        <f>EXP(-LN(2)/2)*AB61+(1-EXP(-LN(2)/2))/(LN(2)/2)*V62*Y62*VLOOKUP('Données projet'!$B$9,Paramètres!$A$1:$I$89,3,0)*0.475*44/12</f>
        <v>8.5403260010281166</v>
      </c>
      <c r="AC62" s="22">
        <f t="shared" si="3"/>
        <v>269.49543108509579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13.723076923076924</v>
      </c>
      <c r="AI62" s="13">
        <f>IF('Données projet'!$A$62&gt;35,AI61+AH62-AQ61,IF(A62&lt;'Données projet'!$A$62,$AF$205^A62,IF(A62='Données projet'!$A$62,'Données projet'!$B$62,AI61+AH62-AQ61)))</f>
        <v>296.730769230769</v>
      </c>
      <c r="AJ62" s="13">
        <f>AI62*VLOOKUP('Données projet'!$B$10,Paramètres!$A$1:$I$89,3,0)*VLOOKUP('Données projet'!$B$10,Paramètres!$A$1:$I$89,5,0)</f>
        <v>138.86999999999989</v>
      </c>
      <c r="AK62" s="13">
        <f t="shared" si="35"/>
        <v>36.038016391479765</v>
      </c>
      <c r="AL62" s="20">
        <f t="shared" si="4"/>
        <v>304.63146188182708</v>
      </c>
      <c r="AM62" s="59">
        <f t="shared" si="5"/>
        <v>597.96479521516039</v>
      </c>
      <c r="AN62" s="59">
        <f ca="1">AVERAGE(OFFSET($AM$3,0,0,'Données projet'!$E$10+1,1))-AVERAGE(OFFSET($H$3,0,0,'Données projet'!$E$10+1,1))</f>
        <v>192.20041613277965</v>
      </c>
      <c r="AO62" s="59">
        <f t="shared" si="36"/>
        <v>132.76245212522417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38.954290047930641</v>
      </c>
      <c r="AV62" s="21">
        <f>EXP(-LN(2)/25)*AV61+(1-EXP(-LN(2)/25))/(LN(2)/25)*Calculateur!AQ62*Calculateur!AS62*VLOOKUP('Données projet'!$B$10,Paramètres!$A$1:$I$89,3,0)*0.475*44/12</f>
        <v>21.426156736336914</v>
      </c>
      <c r="AW62" s="21">
        <f>EXP(-LN(2)/2)*AW61+(1-EXP(-LN(2)/2))/(LN(2)/2)*AQ62*AT62*VLOOKUP('Données projet'!$B$10,Paramètres!$A$1:$I$89,3,0)*0.475*44/12</f>
        <v>4.3510657448872401</v>
      </c>
      <c r="AX62" s="21">
        <f t="shared" si="6"/>
        <v>64.731512529154799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9.75</v>
      </c>
      <c r="BD62" s="12">
        <f>IF('Données projet'!$A$88&gt;35,BD61+BC62-BL61,IF(A62&lt;'Données projet'!$A$88,$BA$205^A62,IF(A62='Données projet'!$A$88,'Données projet'!$B$88,BD61+BC62-BL61)))</f>
        <v>294.25</v>
      </c>
      <c r="BE62" s="13">
        <f>BD62*VLOOKUP('Données projet'!$B$11,Paramètres!$A$1:$I$89,3,0)*VLOOKUP('Données projet'!$B$11,Paramètres!$A$1:$I$89,5,0)</f>
        <v>183.61199999999999</v>
      </c>
      <c r="BF62" s="13">
        <f t="shared" si="37"/>
        <v>46.124858041839339</v>
      </c>
      <c r="BG62" s="20">
        <f t="shared" si="7"/>
        <v>400.12502775620351</v>
      </c>
      <c r="BH62" s="59">
        <f t="shared" si="8"/>
        <v>693.45836108953677</v>
      </c>
      <c r="BI62" s="59">
        <f ca="1">AVERAGE(OFFSET($BH$3,0,0,'Données projet'!$E$11+1,1))-AVERAGE(OFFSET($H$3,0,0,'Données projet'!$E$11+1,1))</f>
        <v>180.31844548479722</v>
      </c>
      <c r="BJ62" s="59">
        <f t="shared" si="38"/>
        <v>273.83237400307223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23.372905866362661</v>
      </c>
      <c r="BQ62" s="21">
        <f>EXP(-LN(2)/25)*BQ61+(1-EXP(-LN(2)/25))/(LN(2)/25)*Calculateur!BL62*Calculateur!BN62*VLOOKUP('Données projet'!$B$11,Paramètres!$A$1:$I$89,3,0)*0.475*44/12</f>
        <v>55.907480569262944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79.280386435625601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10.663076923076932</v>
      </c>
      <c r="BY62" s="12">
        <f>IF('Données projet'!$A$114&gt;35,BY61+BX62-CG61,IF(A62&lt;'Données projet'!$A$114,$BV$205^A62,IF(A62='Données projet'!$A$114,'Données projet'!$B$114,BY61+BX62-CG61)))</f>
        <v>331.75999999999993</v>
      </c>
      <c r="BZ62" s="13">
        <f>BY62*VLOOKUP('Données projet'!$B$12,Paramètres!$A$1:$I$89,3,0)*VLOOKUP('Données projet'!$B$12,Paramètres!$A$1:$I$89,5,0)</f>
        <v>198.39247999999998</v>
      </c>
      <c r="CA62" s="13">
        <f t="shared" si="39"/>
        <v>49.39071772551025</v>
      </c>
      <c r="CB62" s="20">
        <f t="shared" si="10"/>
        <v>431.55573603859693</v>
      </c>
      <c r="CC62" s="59">
        <f t="shared" si="11"/>
        <v>724.88906937193019</v>
      </c>
      <c r="CD62" s="59">
        <f ca="1">AVERAGE(OFFSET($CC$3,0,0,'Données projet'!$E$12+1,1))-AVERAGE(OFFSET($H$3,0,0,'Données projet'!$E$12+1,1))</f>
        <v>214.34615950592251</v>
      </c>
      <c r="CE62" s="59">
        <f t="shared" si="40"/>
        <v>159.66077836853066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32.808840931633974</v>
      </c>
      <c r="CL62" s="21">
        <f>EXP(-LN(2)/25)*CL61+(1-EXP(-LN(2)/25))/(LN(2)/25)*Calculateur!CG62*Calculateur!CI62*VLOOKUP('Données projet'!$B$12,Paramètres!$A$1:$I$89,3,0)*0.475*44/12</f>
        <v>10.561387916729201</v>
      </c>
      <c r="CM62" s="21">
        <f>EXP(-LN(2)/2)*CM61+(1-EXP(-LN(2)/2))/(LN(2)/2)*CG62*CJ62*VLOOKUP('Données projet'!$B$12,Paramètres!$A$1:$I$89,3,0)*0.475*44/12</f>
        <v>0.22916166635825175</v>
      </c>
      <c r="CN62" s="22">
        <f t="shared" si="12"/>
        <v>43.599390514721428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28.08</v>
      </c>
      <c r="D63" s="11">
        <f t="shared" si="32"/>
        <v>8.7771949685951878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284.51168045933133</v>
      </c>
      <c r="H63" s="67">
        <f t="shared" si="1"/>
        <v>357.52628123696991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-1.1368683772161603E-13</v>
      </c>
      <c r="O63" s="13">
        <f>N63*VLOOKUP('Données projet'!$B$9,Paramètres!$A$1:$I$89,3,0)*VLOOKUP('Données projet'!$B$9,Paramètres!$A$1:$I$89,5,0)</f>
        <v>-6.3550942286383367E-14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279.32192402750189</v>
      </c>
      <c r="T63" s="59">
        <f t="shared" si="34"/>
        <v>371.43572414443611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205.28868280649928</v>
      </c>
      <c r="AA63" s="21">
        <f>EXP(-LN(2)/25)*AA62+(1-EXP(-LN(2)/25))/(LN(2)/25)*Calculateur!V63*Calculateur!X63*VLOOKUP('Données projet'!$B$9,Paramètres!$A$1:$I$89,3,0)*0.475*44/12</f>
        <v>50.150398612165304</v>
      </c>
      <c r="AB63" s="21">
        <f>EXP(-LN(2)/2)*AB62+(1-EXP(-LN(2)/2))/(LN(2)/2)*V63*Y63*VLOOKUP('Données projet'!$B$9,Paramètres!$A$1:$I$89,3,0)*0.475*44/12</f>
        <v>6.0389224288707712</v>
      </c>
      <c r="AC63" s="22">
        <f t="shared" si="3"/>
        <v>261.47800384753538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13.723076923076924</v>
      </c>
      <c r="AI63" s="13">
        <f>IF('Données projet'!$A$62&gt;35,AI62+AH63-AQ62,IF(A63&lt;'Données projet'!$A$62,$AF$205^A63,IF(A63='Données projet'!$A$62,'Données projet'!$B$62,AI62+AH63-AQ62)))</f>
        <v>310.45384615384592</v>
      </c>
      <c r="AJ63" s="13">
        <f>AI63*VLOOKUP('Données projet'!$B$10,Paramètres!$A$1:$I$89,3,0)*VLOOKUP('Données projet'!$B$10,Paramètres!$A$1:$I$89,5,0)</f>
        <v>145.29239999999987</v>
      </c>
      <c r="AK63" s="13">
        <f t="shared" si="35"/>
        <v>37.506789343413246</v>
      </c>
      <c r="AL63" s="20">
        <f t="shared" si="4"/>
        <v>318.37525477311118</v>
      </c>
      <c r="AM63" s="59">
        <f t="shared" si="5"/>
        <v>611.70858810644449</v>
      </c>
      <c r="AN63" s="59">
        <f ca="1">AVERAGE(OFFSET($AM$3,0,0,'Données projet'!$E$10+1,1))-AVERAGE(OFFSET($H$3,0,0,'Données projet'!$E$10+1,1))</f>
        <v>192.20041613277965</v>
      </c>
      <c r="AO63" s="59">
        <f t="shared" si="36"/>
        <v>132.76245212522417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38.190420179861569</v>
      </c>
      <c r="AV63" s="21">
        <f>EXP(-LN(2)/25)*AV62+(1-EXP(-LN(2)/25))/(LN(2)/25)*Calculateur!AQ63*Calculateur!AS63*VLOOKUP('Données projet'!$B$10,Paramètres!$A$1:$I$89,3,0)*0.475*44/12</f>
        <v>20.84025735362917</v>
      </c>
      <c r="AW63" s="21">
        <f>EXP(-LN(2)/2)*AW62+(1-EXP(-LN(2)/2))/(LN(2)/2)*AQ63*AT63*VLOOKUP('Données projet'!$B$10,Paramètres!$A$1:$I$89,3,0)*0.475*44/12</f>
        <v>3.0766680935982644</v>
      </c>
      <c r="AX63" s="21">
        <f t="shared" si="6"/>
        <v>62.107345627089003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304</v>
      </c>
      <c r="BB63" s="12">
        <f>VLOOKUP(A63,'Données projet'!$A$87:$I$107,9,0)</f>
        <v>9.75</v>
      </c>
      <c r="BC63" s="12">
        <f t="array" ref="BC63">INDEX(BB:BB,MIN(IF(ISNUMBER(BB63:BB259),ROW(BB63:BB259),"")))</f>
        <v>9.75</v>
      </c>
      <c r="BD63" s="12">
        <f>IF('Données projet'!$A$88&gt;35,BD62+BC63-BL62,IF(A63&lt;'Données projet'!$A$88,$BA$205^A63,IF(A63='Données projet'!$A$88,'Données projet'!$B$88,BD62+BC63-BL62)))</f>
        <v>304</v>
      </c>
      <c r="BE63" s="13">
        <f>BD63*VLOOKUP('Données projet'!$B$11,Paramètres!$A$1:$I$89,3,0)*VLOOKUP('Données projet'!$B$11,Paramètres!$A$1:$I$89,5,0)</f>
        <v>189.696</v>
      </c>
      <c r="BF63" s="13">
        <f t="shared" si="37"/>
        <v>47.472736505152469</v>
      </c>
      <c r="BG63" s="20">
        <f t="shared" si="7"/>
        <v>413.06888274647389</v>
      </c>
      <c r="BH63" s="59">
        <f t="shared" si="8"/>
        <v>706.4022160798072</v>
      </c>
      <c r="BI63" s="59">
        <f ca="1">AVERAGE(OFFSET($BH$3,0,0,'Données projet'!$E$11+1,1))-AVERAGE(OFFSET($H$3,0,0,'Données projet'!$E$11+1,1))</f>
        <v>180.31844548479722</v>
      </c>
      <c r="BJ63" s="59">
        <f t="shared" si="38"/>
        <v>273.83237400307223</v>
      </c>
      <c r="BK63" s="15" t="str">
        <f>IF(ISNA(VLOOKUP(A63,'Données projet'!$A$87:$I$107,3,0)),0,VLOOKUP(A63,'Données projet'!$A$87:$I$107,3,0))</f>
        <v>CR</v>
      </c>
      <c r="BL63" s="15">
        <f>IF(ISNA(VLOOKUP(A63,'Données projet'!$A$87:$I$107,4,0)),0,VLOOKUP(A63,'Données projet'!$A$87:$I$107,4,0))</f>
        <v>304</v>
      </c>
      <c r="BM63" s="16">
        <f>IF(ISNA(VLOOKUP(A63,'Données projet'!$A$87:$I$107,5,0)),0%,VLOOKUP(A63,'Données projet'!$A$87:$I$107,5,0)*VLOOKUP('Données projet'!$B$11,Paramètres!$A$1:$I$89,7,0))</f>
        <v>0.24</v>
      </c>
      <c r="BN63" s="16">
        <f>IF(ISNA(VLOOKUP(A63,'Données projet'!$A$87:$I$107,6,0)),0%,VLOOKUP(A63,'Données projet'!$A$87:$I$107,6,0)*VLOOKUP('Données projet'!$B$11,Paramètres!$A$1:$I$89,7,0))</f>
        <v>0.36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83.309130463762358</v>
      </c>
      <c r="BQ63" s="21">
        <f>EXP(-LN(2)/25)*BQ62+(1-EXP(-LN(2)/25))/(LN(2)/25)*Calculateur!BL63*Calculateur!BN63*VLOOKUP('Données projet'!$B$11,Paramètres!$A$1:$I$89,3,0)*0.475*44/12</f>
        <v>144.61382256002648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227.92295302378884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342.42307692307696</v>
      </c>
      <c r="BW63" s="12">
        <f>VLOOKUP(A63,'Données projet'!$A$113:$I$133,9,0)</f>
        <v>10.663076923076932</v>
      </c>
      <c r="BX63" s="12">
        <f t="array" ref="BX63">INDEX(BW:BW,MIN(IF(ISNUMBER(BW63:BW259),ROW(BW63:BW259),"")))</f>
        <v>10.663076923076932</v>
      </c>
      <c r="BY63" s="12">
        <f>IF('Données projet'!$A$114&gt;35,BY62+BX63-CG62,IF(A63&lt;'Données projet'!$A$114,$BV$205^A63,IF(A63='Données projet'!$A$114,'Données projet'!$B$114,BY62+BX63-CG62)))</f>
        <v>342.42307692307685</v>
      </c>
      <c r="BZ63" s="13">
        <f>BY63*VLOOKUP('Données projet'!$B$12,Paramètres!$A$1:$I$89,3,0)*VLOOKUP('Données projet'!$B$12,Paramètres!$A$1:$I$89,5,0)</f>
        <v>204.76899999999998</v>
      </c>
      <c r="CA63" s="13">
        <f t="shared" si="39"/>
        <v>50.790807822253974</v>
      </c>
      <c r="CB63" s="20">
        <f t="shared" si="10"/>
        <v>445.09999862375895</v>
      </c>
      <c r="CC63" s="59">
        <f t="shared" si="11"/>
        <v>738.43333195709226</v>
      </c>
      <c r="CD63" s="59">
        <f ca="1">AVERAGE(OFFSET($CC$3,0,0,'Données projet'!$E$12+1,1))-AVERAGE(OFFSET($H$3,0,0,'Données projet'!$E$12+1,1))</f>
        <v>214.34615950592251</v>
      </c>
      <c r="CE63" s="59">
        <f t="shared" si="40"/>
        <v>159.66077836853066</v>
      </c>
      <c r="CF63" s="15">
        <f>IF(ISNA(VLOOKUP(A63,'Données projet'!$A$113:$I$133,3,0)),0,VLOOKUP(A63,'Données projet'!$A$113:$I$133,3,0))</f>
        <v>6</v>
      </c>
      <c r="CG63" s="15">
        <f>IF(ISNA(VLOOKUP(A63,'Données projet'!$A$113:$I$133,4,0)),0,VLOOKUP(A63,'Données projet'!$A$113:$I$133,4,0))</f>
        <v>54.261538461538464</v>
      </c>
      <c r="CH63" s="16">
        <f>IF(ISNA(VLOOKUP(A63,'Données projet'!$A$113:$I$133,5,0)),0%,VLOOKUP(A63,'Données projet'!$A$113:$I$133,5,0)*VLOOKUP('Données projet'!$B$12,Paramètres!$A$1:$I$89,7,0))</f>
        <v>0.315</v>
      </c>
      <c r="CI63" s="16">
        <f>IF(ISNA(VLOOKUP(A63,'Données projet'!$A$113:$I$133,6,0)),0%,VLOOKUP(A63,'Données projet'!$A$113:$I$133,6,0)*VLOOKUP('Données projet'!$B$12,Paramètres!$A$1:$I$89,7,0))</f>
        <v>7.5600000000000001E-2</v>
      </c>
      <c r="CJ63" s="16">
        <f>IF(ISNA(VLOOKUP(A63,'Données projet'!$A$113:$I$133,7,0)),0%,VLOOKUP(A63,'Données projet'!$A$113:$I$133,7,0))</f>
        <v>0.13200000000000001</v>
      </c>
      <c r="CK63" s="21">
        <f>EXP(-LN(2)/35)*CK62+(1-EXP(-LN(2)/35))/(LN(2)/35)*CG63*CH63*VLOOKUP('Données projet'!$B$12,Paramètres!$A$1:$I$89,3,0)*0.475*44/12</f>
        <v>45.724621206285214</v>
      </c>
      <c r="CL63" s="21">
        <f>EXP(-LN(2)/25)*CL62+(1-EXP(-LN(2)/25))/(LN(2)/25)*Calculateur!CG63*Calculateur!CI63*VLOOKUP('Données projet'!$B$12,Paramètres!$A$1:$I$89,3,0)*0.475*44/12</f>
        <v>13.513967199191683</v>
      </c>
      <c r="CM63" s="21">
        <f>EXP(-LN(2)/2)*CM62+(1-EXP(-LN(2)/2))/(LN(2)/2)*CG63*CJ63*VLOOKUP('Données projet'!$B$12,Paramètres!$A$1:$I$89,3,0)*0.475*44/12</f>
        <v>5.0116064640335569</v>
      </c>
      <c r="CN63" s="22">
        <f t="shared" si="12"/>
        <v>64.250194869510452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28.547999999999998</v>
      </c>
      <c r="D64" s="11">
        <f t="shared" si="32"/>
        <v>8.9063291829603237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289.1211375526762</v>
      </c>
      <c r="H64" s="67">
        <f t="shared" si="1"/>
        <v>358.56628999365586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-1.1368683772161603E-13</v>
      </c>
      <c r="O64" s="13">
        <f>N64*VLOOKUP('Données projet'!$B$9,Paramètres!$A$1:$I$89,3,0)*VLOOKUP('Données projet'!$B$9,Paramètres!$A$1:$I$89,5,0)</f>
        <v>-6.3550942286383367E-14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279.32192402750189</v>
      </c>
      <c r="T64" s="59">
        <f t="shared" si="34"/>
        <v>371.43572414443611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201.26309695039652</v>
      </c>
      <c r="AA64" s="21">
        <f>EXP(-LN(2)/25)*AA63+(1-EXP(-LN(2)/25))/(LN(2)/25)*Calculateur!V64*Calculateur!X64*VLOOKUP('Données projet'!$B$9,Paramètres!$A$1:$I$89,3,0)*0.475*44/12</f>
        <v>48.779033324820801</v>
      </c>
      <c r="AB64" s="21">
        <f>EXP(-LN(2)/2)*AB63+(1-EXP(-LN(2)/2))/(LN(2)/2)*V64*Y64*VLOOKUP('Données projet'!$B$9,Paramètres!$A$1:$I$89,3,0)*0.475*44/12</f>
        <v>4.2701630005140592</v>
      </c>
      <c r="AC64" s="22">
        <f t="shared" si="3"/>
        <v>254.31229327573138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13.723076923076924</v>
      </c>
      <c r="AI64" s="13">
        <f>IF('Données projet'!$A$62&gt;35,AI63+AH64-AQ63,IF(A64&lt;'Données projet'!$A$62,$AF$205^A64,IF(A64='Données projet'!$A$62,'Données projet'!$B$62,AI63+AH64-AQ63)))</f>
        <v>324.17692307692283</v>
      </c>
      <c r="AJ64" s="13">
        <f>AI64*VLOOKUP('Données projet'!$B$10,Paramètres!$A$1:$I$89,3,0)*VLOOKUP('Données projet'!$B$10,Paramètres!$A$1:$I$89,5,0)</f>
        <v>151.71479999999988</v>
      </c>
      <c r="AK64" s="13">
        <f t="shared" si="35"/>
        <v>38.968021890349831</v>
      </c>
      <c r="AL64" s="20">
        <f t="shared" si="4"/>
        <v>332.1059147923591</v>
      </c>
      <c r="AM64" s="59">
        <f t="shared" si="5"/>
        <v>625.43924812569242</v>
      </c>
      <c r="AN64" s="59">
        <f ca="1">AVERAGE(OFFSET($AM$3,0,0,'Données projet'!$E$10+1,1))-AVERAGE(OFFSET($H$3,0,0,'Données projet'!$E$10+1,1))</f>
        <v>192.20041613277965</v>
      </c>
      <c r="AO64" s="59">
        <f t="shared" si="36"/>
        <v>132.76245212522417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37.441529333990715</v>
      </c>
      <c r="AV64" s="21">
        <f>EXP(-LN(2)/25)*AV63+(1-EXP(-LN(2)/25))/(LN(2)/25)*Calculateur!AQ64*Calculateur!AS64*VLOOKUP('Données projet'!$B$10,Paramètres!$A$1:$I$89,3,0)*0.475*44/12</f>
        <v>20.270379420352675</v>
      </c>
      <c r="AW64" s="21">
        <f>EXP(-LN(2)/2)*AW63+(1-EXP(-LN(2)/2))/(LN(2)/2)*AQ64*AT64*VLOOKUP('Données projet'!$B$10,Paramètres!$A$1:$I$89,3,0)*0.475*44/12</f>
        <v>2.1755328724436205</v>
      </c>
      <c r="AX64" s="21">
        <f t="shared" si="6"/>
        <v>59.887441626787009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>
        <f>BD64*VLOOKUP('Données projet'!$B$11,Paramètres!$A$1:$I$89,3,0)*VLOOKUP('Données projet'!$B$11,Paramètres!$A$1:$I$89,5,0)</f>
        <v>0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180.31844548479722</v>
      </c>
      <c r="BJ64" s="59">
        <f t="shared" si="38"/>
        <v>273.83237400307223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81.675489228920142</v>
      </c>
      <c r="BQ64" s="21">
        <f>EXP(-LN(2)/25)*BQ63+(1-EXP(-LN(2)/25))/(LN(2)/25)*Calculateur!BL64*Calculateur!BN64*VLOOKUP('Données projet'!$B$11,Paramètres!$A$1:$I$89,3,0)*0.475*44/12</f>
        <v>140.65934997721214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222.3348392061323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9.1830769230769196</v>
      </c>
      <c r="BY64" s="12">
        <f>IF('Données projet'!$A$114&gt;35,BY63+BX64-CG63,IF(A64&lt;'Données projet'!$A$114,$BV$205^A64,IF(A64='Données projet'!$A$114,'Données projet'!$B$114,BY63+BX64-CG63)))</f>
        <v>297.34461538461528</v>
      </c>
      <c r="BZ64" s="13">
        <f>BY64*VLOOKUP('Données projet'!$B$12,Paramètres!$A$1:$I$89,3,0)*VLOOKUP('Données projet'!$B$12,Paramètres!$A$1:$I$89,5,0)</f>
        <v>177.81207999999992</v>
      </c>
      <c r="CA64" s="13">
        <f t="shared" si="39"/>
        <v>44.835068353066951</v>
      </c>
      <c r="CB64" s="20">
        <f t="shared" si="10"/>
        <v>387.77711671492483</v>
      </c>
      <c r="CC64" s="59">
        <f t="shared" si="11"/>
        <v>681.11045004825814</v>
      </c>
      <c r="CD64" s="59">
        <f ca="1">AVERAGE(OFFSET($CC$3,0,0,'Données projet'!$E$12+1,1))-AVERAGE(OFFSET($H$3,0,0,'Données projet'!$E$12+1,1))</f>
        <v>214.34615950592251</v>
      </c>
      <c r="CE64" s="59">
        <f t="shared" si="40"/>
        <v>159.66077836853066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44.82798927369506</v>
      </c>
      <c r="CL64" s="21">
        <f>EXP(-LN(2)/25)*CL63+(1-EXP(-LN(2)/25))/(LN(2)/25)*Calculateur!CG64*Calculateur!CI64*VLOOKUP('Données projet'!$B$12,Paramètres!$A$1:$I$89,3,0)*0.475*44/12</f>
        <v>13.144427055461138</v>
      </c>
      <c r="CM64" s="21">
        <f>EXP(-LN(2)/2)*CM63+(1-EXP(-LN(2)/2))/(LN(2)/2)*CG64*CJ64*VLOOKUP('Données projet'!$B$12,Paramètres!$A$1:$I$89,3,0)*0.475*44/12</f>
        <v>3.5437409153564636</v>
      </c>
      <c r="CN64" s="22">
        <f t="shared" si="12"/>
        <v>61.516157244512662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29.015999999999998</v>
      </c>
      <c r="D65" s="11">
        <f t="shared" si="32"/>
        <v>9.0352172071357693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293.72869423052168</v>
      </c>
      <c r="H65" s="67">
        <f t="shared" si="1"/>
        <v>359.60586996909478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-1.1368683772161603E-13</v>
      </c>
      <c r="O65" s="13">
        <f>N65*VLOOKUP('Données projet'!$B$9,Paramètres!$A$1:$I$89,3,0)*VLOOKUP('Données projet'!$B$9,Paramètres!$A$1:$I$89,5,0)</f>
        <v>-6.3550942286383367E-14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279.32192402750189</v>
      </c>
      <c r="T65" s="59">
        <f t="shared" si="34"/>
        <v>371.43572414443611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197.31645037756701</v>
      </c>
      <c r="AA65" s="21">
        <f>EXP(-LN(2)/25)*AA64+(1-EXP(-LN(2)/25))/(LN(2)/25)*Calculateur!V65*Calculateur!X65*VLOOKUP('Données projet'!$B$9,Paramètres!$A$1:$I$89,3,0)*0.475*44/12</f>
        <v>47.445168093375699</v>
      </c>
      <c r="AB65" s="21">
        <f>EXP(-LN(2)/2)*AB64+(1-EXP(-LN(2)/2))/(LN(2)/2)*V65*Y65*VLOOKUP('Données projet'!$B$9,Paramètres!$A$1:$I$89,3,0)*0.475*44/12</f>
        <v>3.0194612144353861</v>
      </c>
      <c r="AC65" s="22">
        <f t="shared" si="3"/>
        <v>247.7810796853781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13.723076923076924</v>
      </c>
      <c r="AI65" s="13">
        <f>IF('Données projet'!$A$62&gt;35,AI64+AH65-AQ64,IF(A65&lt;'Données projet'!$A$62,$AF$205^A65,IF(A65='Données projet'!$A$62,'Données projet'!$B$62,AI64+AH65-AQ64)))</f>
        <v>337.89999999999975</v>
      </c>
      <c r="AJ65" s="13">
        <f>AI65*VLOOKUP('Données projet'!$B$10,Paramètres!$A$1:$I$89,3,0)*VLOOKUP('Données projet'!$B$10,Paramètres!$A$1:$I$89,5,0)</f>
        <v>158.13719999999989</v>
      </c>
      <c r="AK65" s="13">
        <f t="shared" si="35"/>
        <v>40.422069728367696</v>
      </c>
      <c r="AL65" s="20">
        <f t="shared" si="4"/>
        <v>345.82406144357356</v>
      </c>
      <c r="AM65" s="59">
        <f t="shared" si="5"/>
        <v>639.15739477690681</v>
      </c>
      <c r="AN65" s="59">
        <f ca="1">AVERAGE(OFFSET($AM$3,0,0,'Données projet'!$E$10+1,1))-AVERAGE(OFFSET($H$3,0,0,'Données projet'!$E$10+1,1))</f>
        <v>192.20041613277965</v>
      </c>
      <c r="AO65" s="59">
        <f t="shared" si="36"/>
        <v>132.76245212522417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36.707323780829078</v>
      </c>
      <c r="AV65" s="21">
        <f>EXP(-LN(2)/25)*AV64+(1-EXP(-LN(2)/25))/(LN(2)/25)*Calculateur!AQ65*Calculateur!AS65*VLOOKUP('Données projet'!$B$10,Paramètres!$A$1:$I$89,3,0)*0.475*44/12</f>
        <v>19.716084829130207</v>
      </c>
      <c r="AW65" s="21">
        <f>EXP(-LN(2)/2)*AW64+(1-EXP(-LN(2)/2))/(LN(2)/2)*AQ65*AT65*VLOOKUP('Données projet'!$B$10,Paramètres!$A$1:$I$89,3,0)*0.475*44/12</f>
        <v>1.5383340467991324</v>
      </c>
      <c r="AX65" s="21">
        <f t="shared" si="6"/>
        <v>57.961742656758418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>
        <f>BD65*VLOOKUP('Données projet'!$B$11,Paramètres!$A$1:$I$89,3,0)*VLOOKUP('Données projet'!$B$11,Paramètres!$A$1:$I$89,5,0)</f>
        <v>0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180.31844548479722</v>
      </c>
      <c r="BJ65" s="59">
        <f t="shared" si="38"/>
        <v>273.83237400307223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80.07388270227041</v>
      </c>
      <c r="BQ65" s="21">
        <f>EXP(-LN(2)/25)*BQ64+(1-EXP(-LN(2)/25))/(LN(2)/25)*Calculateur!BL65*Calculateur!BN65*VLOOKUP('Données projet'!$B$11,Paramètres!$A$1:$I$89,3,0)*0.475*44/12</f>
        <v>136.81301265513156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216.88689535740195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9.1830769230769196</v>
      </c>
      <c r="BY65" s="12">
        <f>IF('Données projet'!$A$114&gt;35,BY64+BX65-CG64,IF(A65&lt;'Données projet'!$A$114,$BV$205^A65,IF(A65='Données projet'!$A$114,'Données projet'!$B$114,BY64+BX65-CG64)))</f>
        <v>306.52769230769218</v>
      </c>
      <c r="BZ65" s="13">
        <f>BY65*VLOOKUP('Données projet'!$B$12,Paramètres!$A$1:$I$89,3,0)*VLOOKUP('Données projet'!$B$12,Paramètres!$A$1:$I$89,5,0)</f>
        <v>183.30355999999992</v>
      </c>
      <c r="CA65" s="13">
        <f t="shared" si="39"/>
        <v>46.056387641494027</v>
      </c>
      <c r="CB65" s="20">
        <f t="shared" si="10"/>
        <v>399.46857547560194</v>
      </c>
      <c r="CC65" s="59">
        <f t="shared" si="11"/>
        <v>692.8019088089352</v>
      </c>
      <c r="CD65" s="59">
        <f ca="1">AVERAGE(OFFSET($CC$3,0,0,'Données projet'!$E$12+1,1))-AVERAGE(OFFSET($H$3,0,0,'Données projet'!$E$12+1,1))</f>
        <v>214.34615950592251</v>
      </c>
      <c r="CE65" s="59">
        <f t="shared" si="40"/>
        <v>159.66077836853066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43.948939746411519</v>
      </c>
      <c r="CL65" s="21">
        <f>EXP(-LN(2)/25)*CL64+(1-EXP(-LN(2)/25))/(LN(2)/25)*Calculateur!CG65*Calculateur!CI65*VLOOKUP('Données projet'!$B$12,Paramètres!$A$1:$I$89,3,0)*0.475*44/12</f>
        <v>12.784992006394177</v>
      </c>
      <c r="CM65" s="21">
        <f>EXP(-LN(2)/2)*CM64+(1-EXP(-LN(2)/2))/(LN(2)/2)*CG65*CJ65*VLOOKUP('Données projet'!$B$12,Paramètres!$A$1:$I$89,3,0)*0.475*44/12</f>
        <v>2.5058032320167789</v>
      </c>
      <c r="CN65" s="22">
        <f t="shared" si="12"/>
        <v>59.239734984822476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29.483999999999998</v>
      </c>
      <c r="D66" s="11">
        <f t="shared" si="32"/>
        <v>9.1638634703614379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298.33438468349181</v>
      </c>
      <c r="H66" s="67">
        <f t="shared" si="1"/>
        <v>360.64502887754617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-1.1368683772161603E-13</v>
      </c>
      <c r="O66" s="13">
        <f>N66*VLOOKUP('Données projet'!$B$9,Paramètres!$A$1:$I$89,3,0)*VLOOKUP('Données projet'!$B$9,Paramètres!$A$1:$I$89,5,0)</f>
        <v>-6.3550942286383367E-14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279.32192402750189</v>
      </c>
      <c r="T66" s="59">
        <f t="shared" si="34"/>
        <v>371.43572414443611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193.44719513681397</v>
      </c>
      <c r="AA66" s="21">
        <f>EXP(-LN(2)/25)*AA65+(1-EXP(-LN(2)/25))/(LN(2)/25)*Calculateur!V66*Calculateur!X66*VLOOKUP('Données projet'!$B$9,Paramètres!$A$1:$I$89,3,0)*0.475*44/12</f>
        <v>46.14777747682939</v>
      </c>
      <c r="AB66" s="21">
        <f>EXP(-LN(2)/2)*AB65+(1-EXP(-LN(2)/2))/(LN(2)/2)*V66*Y66*VLOOKUP('Données projet'!$B$9,Paramètres!$A$1:$I$89,3,0)*0.475*44/12</f>
        <v>2.1350815002570296</v>
      </c>
      <c r="AC66" s="22">
        <f t="shared" si="3"/>
        <v>241.73005411390039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13.723076923076924</v>
      </c>
      <c r="AI66" s="13">
        <f>IF('Données projet'!$A$62&gt;35,AI65+AH66-AQ65,IF(A66&lt;'Données projet'!$A$62,$AF$205^A66,IF(A66='Données projet'!$A$62,'Données projet'!$B$62,AI65+AH66-AQ65)))</f>
        <v>351.62307692307667</v>
      </c>
      <c r="AJ66" s="13">
        <f>AI66*VLOOKUP('Données projet'!$B$10,Paramètres!$A$1:$I$89,3,0)*VLOOKUP('Données projet'!$B$10,Paramètres!$A$1:$I$89,5,0)</f>
        <v>164.55959999999988</v>
      </c>
      <c r="AK66" s="13">
        <f t="shared" si="35"/>
        <v>41.869258026833585</v>
      </c>
      <c r="AL66" s="20">
        <f t="shared" si="4"/>
        <v>359.53026106340167</v>
      </c>
      <c r="AM66" s="59">
        <f t="shared" si="5"/>
        <v>652.86359439673492</v>
      </c>
      <c r="AN66" s="59">
        <f ca="1">AVERAGE(OFFSET($AM$3,0,0,'Données projet'!$E$10+1,1))-AVERAGE(OFFSET($H$3,0,0,'Données projet'!$E$10+1,1))</f>
        <v>192.20041613277965</v>
      </c>
      <c r="AO66" s="59">
        <f t="shared" si="36"/>
        <v>132.76245212522417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35.987515550743773</v>
      </c>
      <c r="AV66" s="21">
        <f>EXP(-LN(2)/25)*AV65+(1-EXP(-LN(2)/25))/(LN(2)/25)*Calculateur!AQ66*Calculateur!AS66*VLOOKUP('Données projet'!$B$10,Paramètres!$A$1:$I$89,3,0)*0.475*44/12</f>
        <v>19.176947452653803</v>
      </c>
      <c r="AW66" s="21">
        <f>EXP(-LN(2)/2)*AW65+(1-EXP(-LN(2)/2))/(LN(2)/2)*AQ66*AT66*VLOOKUP('Données projet'!$B$10,Paramètres!$A$1:$I$89,3,0)*0.475*44/12</f>
        <v>1.0877664362218105</v>
      </c>
      <c r="AX66" s="21">
        <f t="shared" si="6"/>
        <v>56.252229439619384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>
        <f>BD66*VLOOKUP('Données projet'!$B$11,Paramètres!$A$1:$I$89,3,0)*VLOOKUP('Données projet'!$B$11,Paramètres!$A$1:$I$89,5,0)</f>
        <v>0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180.31844548479722</v>
      </c>
      <c r="BJ66" s="59">
        <f t="shared" si="38"/>
        <v>273.83237400307223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78.50368270272476</v>
      </c>
      <c r="BQ66" s="21">
        <f>EXP(-LN(2)/25)*BQ65+(1-EXP(-LN(2)/25))/(LN(2)/25)*Calculateur!BL66*Calculateur!BN66*VLOOKUP('Données projet'!$B$11,Paramètres!$A$1:$I$89,3,0)*0.475*44/12</f>
        <v>133.07185362939333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211.57553633211808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9.1830769230769196</v>
      </c>
      <c r="BY66" s="12">
        <f>IF('Données projet'!$A$114&gt;35,BY65+BX66-CG65,IF(A66&lt;'Données projet'!$A$114,$BV$205^A66,IF(A66='Données projet'!$A$114,'Données projet'!$B$114,BY65+BX66-CG65)))</f>
        <v>315.71076923076907</v>
      </c>
      <c r="BZ66" s="13">
        <f>BY66*VLOOKUP('Données projet'!$B$12,Paramètres!$A$1:$I$89,3,0)*VLOOKUP('Données projet'!$B$12,Paramètres!$A$1:$I$89,5,0)</f>
        <v>188.79503999999991</v>
      </c>
      <c r="CA66" s="13">
        <f t="shared" si="39"/>
        <v>47.273454743056831</v>
      </c>
      <c r="CB66" s="20">
        <f t="shared" si="10"/>
        <v>411.15262834415716</v>
      </c>
      <c r="CC66" s="59">
        <f t="shared" si="11"/>
        <v>704.48596167749042</v>
      </c>
      <c r="CD66" s="59">
        <f ca="1">AVERAGE(OFFSET($CC$3,0,0,'Données projet'!$E$12+1,1))-AVERAGE(OFFSET($H$3,0,0,'Données projet'!$E$12+1,1))</f>
        <v>214.34615950592251</v>
      </c>
      <c r="CE66" s="59">
        <f t="shared" si="40"/>
        <v>159.66077836853066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43.087127844190739</v>
      </c>
      <c r="CL66" s="21">
        <f>EXP(-LN(2)/25)*CL65+(1-EXP(-LN(2)/25))/(LN(2)/25)*Calculateur!CG66*Calculateur!CI66*VLOOKUP('Données projet'!$B$12,Paramètres!$A$1:$I$89,3,0)*0.475*44/12</f>
        <v>12.435385727645819</v>
      </c>
      <c r="CM66" s="21">
        <f>EXP(-LN(2)/2)*CM65+(1-EXP(-LN(2)/2))/(LN(2)/2)*CG66*CJ66*VLOOKUP('Données projet'!$B$12,Paramètres!$A$1:$I$89,3,0)*0.475*44/12</f>
        <v>1.7718704576782323</v>
      </c>
      <c r="CN66" s="22">
        <f t="shared" si="12"/>
        <v>57.294384029514788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29.951999999999998</v>
      </c>
      <c r="D67" s="11">
        <f t="shared" si="32"/>
        <v>9.2922722532016273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302.93824195453891</v>
      </c>
      <c r="H67" s="67">
        <f t="shared" si="1"/>
        <v>361.68377417432612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-1.1368683772161603E-13</v>
      </c>
      <c r="O67" s="13">
        <f>N67*VLOOKUP('Données projet'!$B$9,Paramètres!$A$1:$I$89,3,0)*VLOOKUP('Données projet'!$B$9,Paramètres!$A$1:$I$89,5,0)</f>
        <v>-6.3550942286383367E-14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279.32192402750189</v>
      </c>
      <c r="T67" s="59">
        <f t="shared" si="34"/>
        <v>371.43572414443611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189.65381363131942</v>
      </c>
      <c r="AA67" s="21">
        <f>EXP(-LN(2)/25)*AA66+(1-EXP(-LN(2)/25))/(LN(2)/25)*Calculateur!V67*Calculateur!X67*VLOOKUP('Données projet'!$B$9,Paramètres!$A$1:$I$89,3,0)*0.475*44/12</f>
        <v>44.885864074919347</v>
      </c>
      <c r="AB67" s="21">
        <f>EXP(-LN(2)/2)*AB66+(1-EXP(-LN(2)/2))/(LN(2)/2)*V67*Y67*VLOOKUP('Données projet'!$B$9,Paramètres!$A$1:$I$89,3,0)*0.475*44/12</f>
        <v>1.509730607217693</v>
      </c>
      <c r="AC67" s="22">
        <f t="shared" si="3"/>
        <v>236.04940831345647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13.723076923076924</v>
      </c>
      <c r="AI67" s="13">
        <f>IF('Données projet'!$A$62&gt;35,AI66+AH67-AQ66,IF(A67&lt;'Données projet'!$A$62,$AF$205^A67,IF(A67='Données projet'!$A$62,'Données projet'!$B$62,AI66+AH67-AQ66)))</f>
        <v>365.34615384615358</v>
      </c>
      <c r="AJ67" s="13">
        <f>AI67*VLOOKUP('Données projet'!$B$10,Paramètres!$A$1:$I$89,3,0)*VLOOKUP('Données projet'!$B$10,Paramètres!$A$1:$I$89,5,0)</f>
        <v>170.98199999999989</v>
      </c>
      <c r="AK67" s="13">
        <f t="shared" si="35"/>
        <v>43.309885136716623</v>
      </c>
      <c r="AL67" s="20">
        <f t="shared" si="4"/>
        <v>373.22503327978126</v>
      </c>
      <c r="AM67" s="59">
        <f t="shared" si="5"/>
        <v>666.55836661311457</v>
      </c>
      <c r="AN67" s="59">
        <f ca="1">AVERAGE(OFFSET($AM$3,0,0,'Données projet'!$E$10+1,1))-AVERAGE(OFFSET($H$3,0,0,'Données projet'!$E$10+1,1))</f>
        <v>192.20041613277965</v>
      </c>
      <c r="AO67" s="59">
        <f t="shared" si="36"/>
        <v>132.76245212522417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35.281822321010772</v>
      </c>
      <c r="AV67" s="21">
        <f>EXP(-LN(2)/25)*AV66+(1-EXP(-LN(2)/25))/(LN(2)/25)*Calculateur!AQ67*Calculateur!AS67*VLOOKUP('Données projet'!$B$10,Paramètres!$A$1:$I$89,3,0)*0.475*44/12</f>
        <v>18.652552816089148</v>
      </c>
      <c r="AW67" s="21">
        <f>EXP(-LN(2)/2)*AW66+(1-EXP(-LN(2)/2))/(LN(2)/2)*AQ67*AT67*VLOOKUP('Données projet'!$B$10,Paramètres!$A$1:$I$89,3,0)*0.475*44/12</f>
        <v>0.76916702339956644</v>
      </c>
      <c r="AX67" s="21">
        <f t="shared" si="6"/>
        <v>54.703542160499488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>
        <f>BD67*VLOOKUP('Données projet'!$B$11,Paramètres!$A$1:$I$89,3,0)*VLOOKUP('Données projet'!$B$11,Paramètres!$A$1:$I$89,5,0)</f>
        <v>0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180.31844548479722</v>
      </c>
      <c r="BJ67" s="59">
        <f t="shared" si="38"/>
        <v>273.83237400307223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76.964273367442772</v>
      </c>
      <c r="BQ67" s="21">
        <f>EXP(-LN(2)/25)*BQ66+(1-EXP(-LN(2)/25))/(LN(2)/25)*Calculateur!BL67*Calculateur!BN67*VLOOKUP('Données projet'!$B$11,Paramètres!$A$1:$I$89,3,0)*0.475*44/12</f>
        <v>129.43299679395292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206.39727016139568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9.1830769230769196</v>
      </c>
      <c r="BY67" s="12">
        <f>IF('Données projet'!$A$114&gt;35,BY66+BX67-CG66,IF(A67&lt;'Données projet'!$A$114,$BV$205^A67,IF(A67='Données projet'!$A$114,'Données projet'!$B$114,BY66+BX67-CG66)))</f>
        <v>324.89384615384597</v>
      </c>
      <c r="BZ67" s="13">
        <f>BY67*VLOOKUP('Données projet'!$B$12,Paramètres!$A$1:$I$89,3,0)*VLOOKUP('Données projet'!$B$12,Paramètres!$A$1:$I$89,5,0)</f>
        <v>194.28651999999991</v>
      </c>
      <c r="CA67" s="13">
        <f t="shared" si="39"/>
        <v>48.486407543748122</v>
      </c>
      <c r="CB67" s="20">
        <f t="shared" si="10"/>
        <v>422.82951547202782</v>
      </c>
      <c r="CC67" s="59">
        <f t="shared" si="11"/>
        <v>716.16284880536114</v>
      </c>
      <c r="CD67" s="59">
        <f ca="1">AVERAGE(OFFSET($CC$3,0,0,'Données projet'!$E$12+1,1))-AVERAGE(OFFSET($H$3,0,0,'Données projet'!$E$12+1,1))</f>
        <v>214.34615950592251</v>
      </c>
      <c r="CE67" s="59">
        <f t="shared" si="40"/>
        <v>159.66077836853066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42.242215547719155</v>
      </c>
      <c r="CL67" s="21">
        <f>EXP(-LN(2)/25)*CL66+(1-EXP(-LN(2)/25))/(LN(2)/25)*Calculateur!CG67*Calculateur!CI67*VLOOKUP('Données projet'!$B$12,Paramètres!$A$1:$I$89,3,0)*0.475*44/12</f>
        <v>12.09533945097483</v>
      </c>
      <c r="CM67" s="21">
        <f>EXP(-LN(2)/2)*CM66+(1-EXP(-LN(2)/2))/(LN(2)/2)*CG67*CJ67*VLOOKUP('Données projet'!$B$12,Paramètres!$A$1:$I$89,3,0)*0.475*44/12</f>
        <v>1.2529016160083897</v>
      </c>
      <c r="CN67" s="22">
        <f t="shared" si="12"/>
        <v>55.590456614702376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30.419999999999998</v>
      </c>
      <c r="D68" s="11">
        <f t="shared" si="32"/>
        <v>9.4204476947792024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307.54029799478684</v>
      </c>
      <c r="H68" s="67">
        <f t="shared" ref="H68:H131" si="56">(B68+E68+F68)*44/12+(C68+D68)*0.475*44/12</f>
        <v>362.72211306840711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-1.1368683772161603E-13</v>
      </c>
      <c r="O68" s="13">
        <f>N68*VLOOKUP('Données projet'!$B$9,Paramètres!$A$1:$I$89,3,0)*VLOOKUP('Données projet'!$B$9,Paramètres!$A$1:$I$89,5,0)</f>
        <v>-6.3550942286383367E-14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279.32192402750189</v>
      </c>
      <c r="T68" s="59">
        <f t="shared" si="34"/>
        <v>371.43572414443611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185.93481802341336</v>
      </c>
      <c r="AA68" s="21">
        <f>EXP(-LN(2)/25)*AA67+(1-EXP(-LN(2)/25))/(LN(2)/25)*Calculateur!V68*Calculateur!X68*VLOOKUP('Données projet'!$B$9,Paramètres!$A$1:$I$89,3,0)*0.475*44/12</f>
        <v>43.658457761345673</v>
      </c>
      <c r="AB68" s="21">
        <f>EXP(-LN(2)/2)*AB67+(1-EXP(-LN(2)/2))/(LN(2)/2)*V68*Y68*VLOOKUP('Données projet'!$B$9,Paramètres!$A$1:$I$89,3,0)*0.475*44/12</f>
        <v>1.0675407501285148</v>
      </c>
      <c r="AC68" s="22">
        <f t="shared" ref="AC68:AC131" si="57">SUM(Z68:AB68)</f>
        <v>230.66081653488754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13.723076923076924</v>
      </c>
      <c r="AI68" s="13">
        <f>IF('Données projet'!$A$62&gt;35,AI67+AH68-AQ67,IF(A68&lt;'Données projet'!$A$62,$AF$205^A68,IF(A68='Données projet'!$A$62,'Données projet'!$B$62,AI67+AH68-AQ67)))</f>
        <v>379.0692307692305</v>
      </c>
      <c r="AJ68" s="13">
        <f>AI68*VLOOKUP('Données projet'!$B$10,Paramètres!$A$1:$I$89,3,0)*VLOOKUP('Données projet'!$B$10,Paramètres!$A$1:$I$89,5,0)</f>
        <v>177.4043999999999</v>
      </c>
      <c r="AK68" s="13">
        <f t="shared" si="35"/>
        <v>44.744225726071818</v>
      </c>
      <c r="AL68" s="20">
        <f t="shared" ref="AL68:AL131" si="58">(AJ68+AK68)*0.475*44/12</f>
        <v>386.90885647290816</v>
      </c>
      <c r="AM68" s="59">
        <f t="shared" ref="AM68:AM131" si="59">AL68+(AD68+AE68)*44/12</f>
        <v>680.24218980624141</v>
      </c>
      <c r="AN68" s="59">
        <f ca="1">AVERAGE(OFFSET($AM$3,0,0,'Données projet'!$E$10+1,1))-AVERAGE(OFFSET($H$3,0,0,'Données projet'!$E$10+1,1))</f>
        <v>192.20041613277965</v>
      </c>
      <c r="AO68" s="59">
        <f t="shared" si="36"/>
        <v>132.76245212522417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34.589967305082467</v>
      </c>
      <c r="AV68" s="21">
        <f>EXP(-LN(2)/25)*AV67+(1-EXP(-LN(2)/25))/(LN(2)/25)*Calculateur!AQ68*Calculateur!AS68*VLOOKUP('Données projet'!$B$10,Paramètres!$A$1:$I$89,3,0)*0.475*44/12</f>
        <v>18.14249777843807</v>
      </c>
      <c r="AW68" s="21">
        <f>EXP(-LN(2)/2)*AW67+(1-EXP(-LN(2)/2))/(LN(2)/2)*AQ68*AT68*VLOOKUP('Données projet'!$B$10,Paramètres!$A$1:$I$89,3,0)*0.475*44/12</f>
        <v>0.54388321811090534</v>
      </c>
      <c r="AX68" s="21">
        <f t="shared" ref="AX68:AX131" si="60">SUM(AU68:AW68)</f>
        <v>53.276348301631444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>
        <f>BD68*VLOOKUP('Données projet'!$B$11,Paramètres!$A$1:$I$89,3,0)*VLOOKUP('Données projet'!$B$11,Paramètres!$A$1:$I$89,5,0)</f>
        <v>0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180.31844548479722</v>
      </c>
      <c r="BJ68" s="59">
        <f t="shared" si="38"/>
        <v>273.83237400307223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75.455050910278686</v>
      </c>
      <c r="BQ68" s="21">
        <f>EXP(-LN(2)/25)*BQ67+(1-EXP(-LN(2)/25))/(LN(2)/25)*Calculateur!BL68*Calculateur!BN68*VLOOKUP('Données projet'!$B$11,Paramètres!$A$1:$I$89,3,0)*0.475*44/12</f>
        <v>125.89364469003681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201.34869560031549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9.1830769230769196</v>
      </c>
      <c r="BY68" s="12">
        <f>IF('Données projet'!$A$114&gt;35,BY67+BX68-CG67,IF(A68&lt;'Données projet'!$A$114,$BV$205^A68,IF(A68='Données projet'!$A$114,'Données projet'!$B$114,BY67+BX68-CG67)))</f>
        <v>334.07692307692287</v>
      </c>
      <c r="BZ68" s="13">
        <f>BY68*VLOOKUP('Données projet'!$B$12,Paramètres!$A$1:$I$89,3,0)*VLOOKUP('Données projet'!$B$12,Paramètres!$A$1:$I$89,5,0)</f>
        <v>199.77799999999991</v>
      </c>
      <c r="CA68" s="13">
        <f t="shared" si="39"/>
        <v>49.695375691492799</v>
      </c>
      <c r="CB68" s="20">
        <f t="shared" ref="CB68:CB131" si="64">(BZ68+CA68)*0.475*44/12</f>
        <v>434.49946266268313</v>
      </c>
      <c r="CC68" s="59">
        <f t="shared" ref="CC68:CC131" si="65">CB68+(BT68+BU68)*44/12</f>
        <v>727.83279599601644</v>
      </c>
      <c r="CD68" s="59">
        <f ca="1">AVERAGE(OFFSET($CC$3,0,0,'Données projet'!$E$12+1,1))-AVERAGE(OFFSET($H$3,0,0,'Données projet'!$E$12+1,1))</f>
        <v>214.34615950592251</v>
      </c>
      <c r="CE68" s="59">
        <f t="shared" si="40"/>
        <v>159.66077836853066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41.413871466035765</v>
      </c>
      <c r="CL68" s="21">
        <f>EXP(-LN(2)/25)*CL67+(1-EXP(-LN(2)/25))/(LN(2)/25)*Calculateur!CG68*Calculateur!CI68*VLOOKUP('Données projet'!$B$12,Paramètres!$A$1:$I$89,3,0)*0.475*44/12</f>
        <v>11.764591757621666</v>
      </c>
      <c r="CM68" s="21">
        <f>EXP(-LN(2)/2)*CM67+(1-EXP(-LN(2)/2))/(LN(2)/2)*CG68*CJ68*VLOOKUP('Données projet'!$B$12,Paramètres!$A$1:$I$89,3,0)*0.475*44/12</f>
        <v>0.88593522883911624</v>
      </c>
      <c r="CN68" s="22">
        <f t="shared" ref="CN68:CN131" si="66">SUM(CK68:CM68)</f>
        <v>54.064398452496548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30.887999999999998</v>
      </c>
      <c r="D69" s="11">
        <f t="shared" ref="D69:D132" si="86">IFERROR(EXP(-1.0587+0.8836*LN(C69)+0.284),0)</f>
        <v>9.5483937995519046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312.14058371583923</v>
      </c>
      <c r="H69" s="67">
        <f t="shared" si="56"/>
        <v>363.76005253421954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-1.1368683772161603E-13</v>
      </c>
      <c r="O69" s="13">
        <f>N69*VLOOKUP('Données projet'!$B$9,Paramètres!$A$1:$I$89,3,0)*VLOOKUP('Données projet'!$B$9,Paramètres!$A$1:$I$89,5,0)</f>
        <v>-6.3550942286383367E-14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279.32192402750189</v>
      </c>
      <c r="T69" s="59">
        <f t="shared" ref="T69:T132" si="88">$T$3</f>
        <v>371.43572414443611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182.288749651015</v>
      </c>
      <c r="AA69" s="21">
        <f>EXP(-LN(2)/25)*AA68+(1-EXP(-LN(2)/25))/(LN(2)/25)*Calculateur!V69*Calculateur!X69*VLOOKUP('Données projet'!$B$9,Paramètres!$A$1:$I$89,3,0)*0.475*44/12</f>
        <v>42.464614937963162</v>
      </c>
      <c r="AB69" s="21">
        <f>EXP(-LN(2)/2)*AB68+(1-EXP(-LN(2)/2))/(LN(2)/2)*V69*Y69*VLOOKUP('Données projet'!$B$9,Paramètres!$A$1:$I$89,3,0)*0.475*44/12</f>
        <v>0.75486530360884652</v>
      </c>
      <c r="AC69" s="22">
        <f t="shared" si="57"/>
        <v>225.50822989258702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392.7923076923077</v>
      </c>
      <c r="AG69" s="12">
        <f>VLOOKUP(A69,'Données projet'!$A$61:$I$81,9,0)</f>
        <v>13.723076923076924</v>
      </c>
      <c r="AH69" s="12">
        <f t="array" ref="AH69">INDEX(AG:AG,MIN(IF(ISNUMBER(AG69:AG265),ROW(AG69:AG265),"")))</f>
        <v>13.723076923076924</v>
      </c>
      <c r="AI69" s="13">
        <f>IF('Données projet'!$A$62&gt;35,AI68+AH69-AQ68,IF(A69&lt;'Données projet'!$A$62,$AF$205^A69,IF(A69='Données projet'!$A$62,'Données projet'!$B$62,AI68+AH69-AQ68)))</f>
        <v>392.79230769230742</v>
      </c>
      <c r="AJ69" s="13">
        <f>AI69*VLOOKUP('Données projet'!$B$10,Paramètres!$A$1:$I$89,3,0)*VLOOKUP('Données projet'!$B$10,Paramètres!$A$1:$I$89,5,0)</f>
        <v>183.82679999999985</v>
      </c>
      <c r="AK69" s="13">
        <f t="shared" ref="AK69:AK132" si="89">EXP(-1.0587+0.8836*LN(AJ69)+0.284)</f>
        <v>46.172533448719371</v>
      </c>
      <c r="AL69" s="20">
        <f t="shared" si="58"/>
        <v>400.58217242318597</v>
      </c>
      <c r="AM69" s="59">
        <f t="shared" si="59"/>
        <v>693.91550575651922</v>
      </c>
      <c r="AN69" s="59">
        <f ca="1">AVERAGE(OFFSET($AM$3,0,0,'Données projet'!$E$10+1,1))-AVERAGE(OFFSET($H$3,0,0,'Données projet'!$E$10+1,1))</f>
        <v>192.20041613277965</v>
      </c>
      <c r="AO69" s="59">
        <f t="shared" ref="AO69:AO132" si="90">$AO$3</f>
        <v>132.76245212522417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79.169230769230765</v>
      </c>
      <c r="AR69" s="16">
        <f>IF(ISNA(VLOOKUP(A69,'Données projet'!$A$61:$I$81,5,0)),0%,VLOOKUP(A69,'Données projet'!$A$61:$I$81,5,0)*VLOOKUP('Données projet'!$B$10,Paramètres!$A$1:$I$89,7,0))</f>
        <v>0.38500000000000001</v>
      </c>
      <c r="AS69" s="16">
        <f>IF(ISNA(VLOOKUP(A69,'Données projet'!$A$61:$I$81,6,0)),0%,VLOOKUP(A69,'Données projet'!$A$61:$I$81,6,0)*VLOOKUP('Données projet'!$B$10,Paramètres!$A$1:$I$89,7,0))</f>
        <v>9.240000000000001E-2</v>
      </c>
      <c r="AT69" s="16">
        <f>IF(ISNA(VLOOKUP(A69,'Données projet'!$A$61:$I$81,7,0)),0%,VLOOKUP(A69,'Données projet'!$A$61:$I$81,7,0))</f>
        <v>0.13200000000000001</v>
      </c>
      <c r="AU69" s="21">
        <f>EXP(-LN(2)/35)*AU68+(1-EXP(-LN(2)/35))/(LN(2)/35)*AQ69*AR69*VLOOKUP('Données projet'!$B$10,Paramètres!$A$1:$I$89,3,0)*0.475*44/12</f>
        <v>52.834739050308499</v>
      </c>
      <c r="AV69" s="21">
        <f>EXP(-LN(2)/25)*AV68+(1-EXP(-LN(2)/25))/(LN(2)/25)*Calculateur!AQ69*Calculateur!AS69*VLOOKUP('Données projet'!$B$10,Paramètres!$A$1:$I$89,3,0)*0.475*44/12</f>
        <v>22.170042848817324</v>
      </c>
      <c r="AW69" s="21">
        <f>EXP(-LN(2)/2)*AW68+(1-EXP(-LN(2)/2))/(LN(2)/2)*AQ69*AT69*VLOOKUP('Données projet'!$B$10,Paramètres!$A$1:$I$89,3,0)*0.475*44/12</f>
        <v>5.9220581315786447</v>
      </c>
      <c r="AX69" s="21">
        <f t="shared" si="60"/>
        <v>80.926840030704454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>
        <f>BD69*VLOOKUP('Données projet'!$B$11,Paramètres!$A$1:$I$89,3,0)*VLOOKUP('Données projet'!$B$11,Paramètres!$A$1:$I$89,5,0)</f>
        <v>0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180.31844548479722</v>
      </c>
      <c r="BJ69" s="59">
        <f t="shared" ref="BJ69:BJ132" si="92">$BJ$3</f>
        <v>273.83237400307223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73.975423384964785</v>
      </c>
      <c r="BQ69" s="21">
        <f>EXP(-LN(2)/25)*BQ68+(1-EXP(-LN(2)/25))/(LN(2)/25)*Calculateur!BL69*Calculateur!BN69*VLOOKUP('Données projet'!$B$11,Paramètres!$A$1:$I$89,3,0)*0.475*44/12</f>
        <v>122.45107635552871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196.42649974049351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9.1830769230769196</v>
      </c>
      <c r="BY69" s="12">
        <f>IF('Données projet'!$A$114&gt;35,BY68+BX69-CG68,IF(A69&lt;'Données projet'!$A$114,$BV$205^A69,IF(A69='Données projet'!$A$114,'Données projet'!$B$114,BY68+BX69-CG68)))</f>
        <v>343.25999999999976</v>
      </c>
      <c r="BZ69" s="13">
        <f>BY69*VLOOKUP('Données projet'!$B$12,Paramètres!$A$1:$I$89,3,0)*VLOOKUP('Données projet'!$B$12,Paramètres!$A$1:$I$89,5,0)</f>
        <v>205.26947999999987</v>
      </c>
      <c r="CA69" s="13">
        <f t="shared" ref="CA69:CA132" si="93">EXP(-1.0587+0.8836*LN(BZ69)+0.284)</f>
        <v>50.900481301079942</v>
      </c>
      <c r="CB69" s="20">
        <f t="shared" si="64"/>
        <v>446.16268259938062</v>
      </c>
      <c r="CC69" s="59">
        <f t="shared" si="65"/>
        <v>739.49601593271393</v>
      </c>
      <c r="CD69" s="59">
        <f ca="1">AVERAGE(OFFSET($CC$3,0,0,'Données projet'!$E$12+1,1))-AVERAGE(OFFSET($H$3,0,0,'Données projet'!$E$12+1,1))</f>
        <v>214.34615950592251</v>
      </c>
      <c r="CE69" s="59">
        <f t="shared" ref="CE69:CE132" si="94">$CE$3</f>
        <v>159.66077836853066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40.601770706554184</v>
      </c>
      <c r="CL69" s="21">
        <f>EXP(-LN(2)/25)*CL68+(1-EXP(-LN(2)/25))/(LN(2)/25)*Calculateur!CG69*Calculateur!CI69*VLOOKUP('Données projet'!$B$12,Paramètres!$A$1:$I$89,3,0)*0.475*44/12</f>
        <v>11.442888377336509</v>
      </c>
      <c r="CM69" s="21">
        <f>EXP(-LN(2)/2)*CM68+(1-EXP(-LN(2)/2))/(LN(2)/2)*CG69*CJ69*VLOOKUP('Données projet'!$B$12,Paramètres!$A$1:$I$89,3,0)*0.475*44/12</f>
        <v>0.62645080800419495</v>
      </c>
      <c r="CN69" s="22">
        <f t="shared" si="66"/>
        <v>52.671109891894886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31.355999999999998</v>
      </c>
      <c r="D70" s="11">
        <f t="shared" si="86"/>
        <v>9.6761144436663837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316.73912903882825</v>
      </c>
      <c r="H70" s="67">
        <f t="shared" si="56"/>
        <v>364.79759932271895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-1.1368683772161603E-13</v>
      </c>
      <c r="O70" s="13">
        <f>N70*VLOOKUP('Données projet'!$B$9,Paramètres!$A$1:$I$89,3,0)*VLOOKUP('Données projet'!$B$9,Paramètres!$A$1:$I$89,5,0)</f>
        <v>-6.3550942286383367E-14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279.32192402750189</v>
      </c>
      <c r="T70" s="59">
        <f t="shared" si="88"/>
        <v>371.43572414443611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178.71417845551724</v>
      </c>
      <c r="AA70" s="21">
        <f>EXP(-LN(2)/25)*AA69+(1-EXP(-LN(2)/25))/(LN(2)/25)*Calculateur!V70*Calculateur!X70*VLOOKUP('Données projet'!$B$9,Paramètres!$A$1:$I$89,3,0)*0.475*44/12</f>
        <v>41.303417809367517</v>
      </c>
      <c r="AB70" s="21">
        <f>EXP(-LN(2)/2)*AB69+(1-EXP(-LN(2)/2))/(LN(2)/2)*V70*Y70*VLOOKUP('Données projet'!$B$9,Paramètres!$A$1:$I$89,3,0)*0.475*44/12</f>
        <v>0.5337703750642574</v>
      </c>
      <c r="AC70" s="22">
        <f t="shared" si="57"/>
        <v>220.55136663994901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13.02735042735042</v>
      </c>
      <c r="AI70" s="13">
        <f>IF('Données projet'!$A$62&gt;35,AI69+AH70-AQ69,IF(A70&lt;'Données projet'!$A$62,$AF$205^A70,IF(A70='Données projet'!$A$62,'Données projet'!$B$62,AI69+AH70-AQ69)))</f>
        <v>326.65042735042709</v>
      </c>
      <c r="AJ70" s="13">
        <f>AI70*VLOOKUP('Données projet'!$B$10,Paramètres!$A$1:$I$89,3,0)*VLOOKUP('Données projet'!$B$10,Paramètres!$A$1:$I$89,5,0)</f>
        <v>152.87239999999989</v>
      </c>
      <c r="AK70" s="13">
        <f t="shared" si="89"/>
        <v>39.230626461545988</v>
      </c>
      <c r="AL70" s="20">
        <f t="shared" si="58"/>
        <v>334.57943775385905</v>
      </c>
      <c r="AM70" s="59">
        <f t="shared" si="59"/>
        <v>627.91277108719237</v>
      </c>
      <c r="AN70" s="59">
        <f ca="1">AVERAGE(OFFSET($AM$3,0,0,'Données projet'!$E$10+1,1))-AVERAGE(OFFSET($H$3,0,0,'Données projet'!$E$10+1,1))</f>
        <v>192.20041613277965</v>
      </c>
      <c r="AO70" s="59">
        <f t="shared" si="90"/>
        <v>132.76245212522417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51.798682043540715</v>
      </c>
      <c r="AV70" s="21">
        <f>EXP(-LN(2)/25)*AV69+(1-EXP(-LN(2)/25))/(LN(2)/25)*Calculateur!AQ70*Calculateur!AS70*VLOOKUP('Données projet'!$B$10,Paramètres!$A$1:$I$89,3,0)*0.475*44/12</f>
        <v>21.563801861244531</v>
      </c>
      <c r="AW70" s="21">
        <f>EXP(-LN(2)/2)*AW69+(1-EXP(-LN(2)/2))/(LN(2)/2)*AQ70*AT70*VLOOKUP('Données projet'!$B$10,Paramètres!$A$1:$I$89,3,0)*0.475*44/12</f>
        <v>4.1875274634201958</v>
      </c>
      <c r="AX70" s="21">
        <f t="shared" si="60"/>
        <v>77.550011368205446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>
        <f>BD70*VLOOKUP('Données projet'!$B$11,Paramètres!$A$1:$I$89,3,0)*VLOOKUP('Données projet'!$B$11,Paramètres!$A$1:$I$89,5,0)</f>
        <v>0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180.31844548479722</v>
      </c>
      <c r="BJ70" s="59">
        <f t="shared" si="92"/>
        <v>273.83237400307223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72.52481045293861</v>
      </c>
      <c r="BQ70" s="21">
        <f>EXP(-LN(2)/25)*BQ69+(1-EXP(-LN(2)/25))/(LN(2)/25)*Calculateur!BL70*Calculateur!BN70*VLOOKUP('Données projet'!$B$11,Paramètres!$A$1:$I$89,3,0)*0.475*44/12</f>
        <v>119.10264523316454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191.62745568610313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9.1830769230769196</v>
      </c>
      <c r="BY70" s="12">
        <f>IF('Données projet'!$A$114&gt;35,BY69+BX70-CG69,IF(A70&lt;'Données projet'!$A$114,$BV$205^A70,IF(A70='Données projet'!$A$114,'Données projet'!$B$114,BY69+BX70-CG69)))</f>
        <v>352.44307692307666</v>
      </c>
      <c r="BZ70" s="13">
        <f>BY70*VLOOKUP('Données projet'!$B$12,Paramètres!$A$1:$I$89,3,0)*VLOOKUP('Données projet'!$B$12,Paramètres!$A$1:$I$89,5,0)</f>
        <v>210.76095999999987</v>
      </c>
      <c r="CA70" s="13">
        <f t="shared" si="93"/>
        <v>52.101839581538208</v>
      </c>
      <c r="CB70" s="20">
        <f t="shared" si="64"/>
        <v>457.81937593784545</v>
      </c>
      <c r="CC70" s="59">
        <f t="shared" si="65"/>
        <v>751.15270927117876</v>
      </c>
      <c r="CD70" s="59">
        <f ca="1">AVERAGE(OFFSET($CC$3,0,0,'Données projet'!$E$12+1,1))-AVERAGE(OFFSET($H$3,0,0,'Données projet'!$E$12+1,1))</f>
        <v>214.34615950592251</v>
      </c>
      <c r="CE70" s="59">
        <f t="shared" si="94"/>
        <v>159.66077836853066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39.805594747633485</v>
      </c>
      <c r="CL70" s="21">
        <f>EXP(-LN(2)/25)*CL69+(1-EXP(-LN(2)/25))/(LN(2)/25)*Calculateur!CG70*Calculateur!CI70*VLOOKUP('Données projet'!$B$12,Paramètres!$A$1:$I$89,3,0)*0.475*44/12</f>
        <v>11.129981992902895</v>
      </c>
      <c r="CM70" s="21">
        <f>EXP(-LN(2)/2)*CM69+(1-EXP(-LN(2)/2))/(LN(2)/2)*CG70*CJ70*VLOOKUP('Données projet'!$B$12,Paramètres!$A$1:$I$89,3,0)*0.475*44/12</f>
        <v>0.44296761441955818</v>
      </c>
      <c r="CN70" s="22">
        <f t="shared" si="66"/>
        <v>51.378544354955935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31.823999999999998</v>
      </c>
      <c r="D71" s="11">
        <f t="shared" si="86"/>
        <v>9.8036133809220889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321.33596294045122</v>
      </c>
      <c r="H71" s="67">
        <f t="shared" si="56"/>
        <v>365.8347599717726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-1.1368683772161603E-13</v>
      </c>
      <c r="O71" s="13">
        <f>N71*VLOOKUP('Données projet'!$B$9,Paramètres!$A$1:$I$89,3,0)*VLOOKUP('Données projet'!$B$9,Paramètres!$A$1:$I$89,5,0)</f>
        <v>-6.3550942286383367E-14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279.32192402750189</v>
      </c>
      <c r="T71" s="59">
        <f t="shared" si="88"/>
        <v>371.43572414443611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175.20970242089007</v>
      </c>
      <c r="AA71" s="21">
        <f>EXP(-LN(2)/25)*AA70+(1-EXP(-LN(2)/25))/(LN(2)/25)*Calculateur!V71*Calculateur!X71*VLOOKUP('Données projet'!$B$9,Paramètres!$A$1:$I$89,3,0)*0.475*44/12</f>
        <v>40.173973677318017</v>
      </c>
      <c r="AB71" s="21">
        <f>EXP(-LN(2)/2)*AB70+(1-EXP(-LN(2)/2))/(LN(2)/2)*V71*Y71*VLOOKUP('Données projet'!$B$9,Paramètres!$A$1:$I$89,3,0)*0.475*44/12</f>
        <v>0.37743265180442326</v>
      </c>
      <c r="AC71" s="22">
        <f t="shared" si="57"/>
        <v>215.76110875001248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13.02735042735042</v>
      </c>
      <c r="AI71" s="13">
        <f>IF('Données projet'!$A$62&gt;35,AI70+AH71-AQ70,IF(A71&lt;'Données projet'!$A$62,$AF$205^A71,IF(A71='Données projet'!$A$62,'Données projet'!$B$62,AI70+AH71-AQ70)))</f>
        <v>339.67777777777752</v>
      </c>
      <c r="AJ71" s="13">
        <f>AI71*VLOOKUP('Données projet'!$B$10,Paramètres!$A$1:$I$89,3,0)*VLOOKUP('Données projet'!$B$10,Paramètres!$A$1:$I$89,5,0)</f>
        <v>158.96919999999989</v>
      </c>
      <c r="AK71" s="13">
        <f t="shared" si="89"/>
        <v>40.609928203050444</v>
      </c>
      <c r="AL71" s="20">
        <f t="shared" si="58"/>
        <v>347.60031495364598</v>
      </c>
      <c r="AM71" s="59">
        <f t="shared" si="59"/>
        <v>640.93364828697929</v>
      </c>
      <c r="AN71" s="59">
        <f ca="1">AVERAGE(OFFSET($AM$3,0,0,'Données projet'!$E$10+1,1))-AVERAGE(OFFSET($H$3,0,0,'Données projet'!$E$10+1,1))</f>
        <v>192.20041613277965</v>
      </c>
      <c r="AO71" s="59">
        <f t="shared" si="90"/>
        <v>132.76245212522417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50.782941482743276</v>
      </c>
      <c r="AV71" s="21">
        <f>EXP(-LN(2)/25)*AV70+(1-EXP(-LN(2)/25))/(LN(2)/25)*Calculateur!AQ71*Calculateur!AS71*VLOOKUP('Données projet'!$B$10,Paramètres!$A$1:$I$89,3,0)*0.475*44/12</f>
        <v>20.974138565357745</v>
      </c>
      <c r="AW71" s="21">
        <f>EXP(-LN(2)/2)*AW70+(1-EXP(-LN(2)/2))/(LN(2)/2)*AQ71*AT71*VLOOKUP('Données projet'!$B$10,Paramètres!$A$1:$I$89,3,0)*0.475*44/12</f>
        <v>2.9610290657893228</v>
      </c>
      <c r="AX71" s="21">
        <f t="shared" si="60"/>
        <v>74.718109113890335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>
        <f>BD71*VLOOKUP('Données projet'!$B$11,Paramètres!$A$1:$I$89,3,0)*VLOOKUP('Données projet'!$B$11,Paramètres!$A$1:$I$89,5,0)</f>
        <v>0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180.31844548479722</v>
      </c>
      <c r="BJ71" s="59">
        <f t="shared" si="92"/>
        <v>273.83237400307223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71.102643155722944</v>
      </c>
      <c r="BQ71" s="21">
        <f>EXP(-LN(2)/25)*BQ70+(1-EXP(-LN(2)/25))/(LN(2)/25)*Calculateur!BL71*Calculateur!BN71*VLOOKUP('Données projet'!$B$11,Paramètres!$A$1:$I$89,3,0)*0.475*44/12</f>
        <v>115.84577713592775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186.94842029165068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9.1830769230769196</v>
      </c>
      <c r="BY71" s="12">
        <f>IF('Données projet'!$A$114&gt;35,BY70+BX71-CG70,IF(A71&lt;'Données projet'!$A$114,$BV$205^A71,IF(A71='Données projet'!$A$114,'Données projet'!$B$114,BY70+BX71-CG70)))</f>
        <v>361.62615384615356</v>
      </c>
      <c r="BZ71" s="13">
        <f>BY71*VLOOKUP('Données projet'!$B$12,Paramètres!$A$1:$I$89,3,0)*VLOOKUP('Données projet'!$B$12,Paramètres!$A$1:$I$89,5,0)</f>
        <v>216.25243999999984</v>
      </c>
      <c r="CA71" s="13">
        <f t="shared" si="93"/>
        <v>53.299559396285737</v>
      </c>
      <c r="CB71" s="20">
        <f t="shared" si="64"/>
        <v>469.46973228186403</v>
      </c>
      <c r="CC71" s="59">
        <f t="shared" si="65"/>
        <v>762.80306561519728</v>
      </c>
      <c r="CD71" s="59">
        <f ca="1">AVERAGE(OFFSET($CC$3,0,0,'Données projet'!$E$12+1,1))-AVERAGE(OFFSET($H$3,0,0,'Données projet'!$E$12+1,1))</f>
        <v>214.34615950592251</v>
      </c>
      <c r="CE71" s="59">
        <f t="shared" si="94"/>
        <v>159.66077836853066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39.025031313647837</v>
      </c>
      <c r="CL71" s="21">
        <f>EXP(-LN(2)/25)*CL70+(1-EXP(-LN(2)/25))/(LN(2)/25)*Calculateur!CG71*Calculateur!CI71*VLOOKUP('Données projet'!$B$12,Paramètres!$A$1:$I$89,3,0)*0.475*44/12</f>
        <v>10.82563205000665</v>
      </c>
      <c r="CM71" s="21">
        <f>EXP(-LN(2)/2)*CM70+(1-EXP(-LN(2)/2))/(LN(2)/2)*CG71*CJ71*VLOOKUP('Données projet'!$B$12,Paramètres!$A$1:$I$89,3,0)*0.475*44/12</f>
        <v>0.31322540400209747</v>
      </c>
      <c r="CN71" s="22">
        <f t="shared" si="66"/>
        <v>50.163888767656587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32.292000000000002</v>
      </c>
      <c r="D72" s="11">
        <f t="shared" si="86"/>
        <v>9.9308942483743401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325.93111349622302</v>
      </c>
      <c r="H72" s="67">
        <f t="shared" si="56"/>
        <v>366.87154081591865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-1.1368683772161603E-13</v>
      </c>
      <c r="O72" s="13">
        <f>N72*VLOOKUP('Données projet'!$B$9,Paramètres!$A$1:$I$89,3,0)*VLOOKUP('Données projet'!$B$9,Paramètres!$A$1:$I$89,5,0)</f>
        <v>-6.3550942286383367E-14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279.32192402750189</v>
      </c>
      <c r="T72" s="59">
        <f t="shared" si="88"/>
        <v>371.43572414443611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171.77394702378263</v>
      </c>
      <c r="AA72" s="21">
        <f>EXP(-LN(2)/25)*AA71+(1-EXP(-LN(2)/25))/(LN(2)/25)*Calculateur!V72*Calculateur!X72*VLOOKUP('Données projet'!$B$9,Paramètres!$A$1:$I$89,3,0)*0.475*44/12</f>
        <v>39.075414254454301</v>
      </c>
      <c r="AB72" s="21">
        <f>EXP(-LN(2)/2)*AB71+(1-EXP(-LN(2)/2))/(LN(2)/2)*V72*Y72*VLOOKUP('Données projet'!$B$9,Paramètres!$A$1:$I$89,3,0)*0.475*44/12</f>
        <v>0.2668851875321287</v>
      </c>
      <c r="AC72" s="22">
        <f t="shared" si="57"/>
        <v>211.11624646576905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13.02735042735042</v>
      </c>
      <c r="AI72" s="13">
        <f>IF('Données projet'!$A$62&gt;35,AI71+AH72-AQ71,IF(A72&lt;'Données projet'!$A$62,$AF$205^A72,IF(A72='Données projet'!$A$62,'Données projet'!$B$62,AI71+AH72-AQ71)))</f>
        <v>352.70512820512795</v>
      </c>
      <c r="AJ72" s="13">
        <f>AI72*VLOOKUP('Données projet'!$B$10,Paramètres!$A$1:$I$89,3,0)*VLOOKUP('Données projet'!$B$10,Paramètres!$A$1:$I$89,5,0)</f>
        <v>165.06599999999989</v>
      </c>
      <c r="AK72" s="13">
        <f t="shared" si="89"/>
        <v>41.983084622237634</v>
      </c>
      <c r="AL72" s="20">
        <f t="shared" si="58"/>
        <v>360.61048905039701</v>
      </c>
      <c r="AM72" s="59">
        <f t="shared" si="59"/>
        <v>653.94382238373032</v>
      </c>
      <c r="AN72" s="59">
        <f ca="1">AVERAGE(OFFSET($AM$3,0,0,'Données projet'!$E$10+1,1))-AVERAGE(OFFSET($H$3,0,0,'Données projet'!$E$10+1,1))</f>
        <v>192.20041613277965</v>
      </c>
      <c r="AO72" s="59">
        <f t="shared" si="90"/>
        <v>132.76245212522417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49.787118974802503</v>
      </c>
      <c r="AV72" s="21">
        <f>EXP(-LN(2)/25)*AV71+(1-EXP(-LN(2)/25))/(LN(2)/25)*Calculateur!AQ72*Calculateur!AS72*VLOOKUP('Données projet'!$B$10,Paramètres!$A$1:$I$89,3,0)*0.475*44/12</f>
        <v>20.400599643306027</v>
      </c>
      <c r="AW72" s="21">
        <f>EXP(-LN(2)/2)*AW71+(1-EXP(-LN(2)/2))/(LN(2)/2)*AQ72*AT72*VLOOKUP('Données projet'!$B$10,Paramètres!$A$1:$I$89,3,0)*0.475*44/12</f>
        <v>2.0937637317100979</v>
      </c>
      <c r="AX72" s="21">
        <f t="shared" si="60"/>
        <v>72.281482349818631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>
        <f>BD72*VLOOKUP('Données projet'!$B$11,Paramètres!$A$1:$I$89,3,0)*VLOOKUP('Données projet'!$B$11,Paramètres!$A$1:$I$89,5,0)</f>
        <v>0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180.31844548479722</v>
      </c>
      <c r="BJ72" s="59">
        <f t="shared" si="92"/>
        <v>273.83237400307223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69.708363691769279</v>
      </c>
      <c r="BQ72" s="21">
        <f>EXP(-LN(2)/25)*BQ71+(1-EXP(-LN(2)/25))/(LN(2)/25)*Calculateur!BL72*Calculateur!BN72*VLOOKUP('Données projet'!$B$11,Paramètres!$A$1:$I$89,3,0)*0.475*44/12</f>
        <v>112.67796826808116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182.38633195985045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9.1830769230769196</v>
      </c>
      <c r="BY72" s="12">
        <f>IF('Données projet'!$A$114&gt;35,BY71+BX72-CG71,IF(A72&lt;'Données projet'!$A$114,$BV$205^A72,IF(A72='Données projet'!$A$114,'Données projet'!$B$114,BY71+BX72-CG71)))</f>
        <v>370.80923076923045</v>
      </c>
      <c r="BZ72" s="13">
        <f>BY72*VLOOKUP('Données projet'!$B$12,Paramètres!$A$1:$I$89,3,0)*VLOOKUP('Données projet'!$B$12,Paramètres!$A$1:$I$89,5,0)</f>
        <v>221.74391999999983</v>
      </c>
      <c r="CA72" s="13">
        <f t="shared" si="93"/>
        <v>54.493743764780973</v>
      </c>
      <c r="CB72" s="20">
        <f t="shared" si="64"/>
        <v>481.11393105699318</v>
      </c>
      <c r="CC72" s="59">
        <f t="shared" si="65"/>
        <v>774.4472643903265</v>
      </c>
      <c r="CD72" s="59">
        <f ca="1">AVERAGE(OFFSET($CC$3,0,0,'Données projet'!$E$12+1,1))-AVERAGE(OFFSET($H$3,0,0,'Données projet'!$E$12+1,1))</f>
        <v>214.34615950592251</v>
      </c>
      <c r="CE72" s="59">
        <f t="shared" si="94"/>
        <v>159.66077836853066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38.259774252505963</v>
      </c>
      <c r="CL72" s="21">
        <f>EXP(-LN(2)/25)*CL71+(1-EXP(-LN(2)/25))/(LN(2)/25)*Calculateur!CG72*Calculateur!CI72*VLOOKUP('Données projet'!$B$12,Paramètres!$A$1:$I$89,3,0)*0.475*44/12</f>
        <v>10.52960457230397</v>
      </c>
      <c r="CM72" s="21">
        <f>EXP(-LN(2)/2)*CM71+(1-EXP(-LN(2)/2))/(LN(2)/2)*CG72*CJ72*VLOOKUP('Données projet'!$B$12,Paramètres!$A$1:$I$89,3,0)*0.475*44/12</f>
        <v>0.22148380720977909</v>
      </c>
      <c r="CN72" s="22">
        <f t="shared" si="66"/>
        <v>49.010862632019709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32.760000000000005</v>
      </c>
      <c r="D73" s="11">
        <f t="shared" si="86"/>
        <v>10.057960571603429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330.52460792114931</v>
      </c>
      <c r="H73" s="67">
        <f t="shared" si="56"/>
        <v>367.9079479955426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-1.1368683772161603E-13</v>
      </c>
      <c r="O73" s="13">
        <f>N73*VLOOKUP('Données projet'!$B$9,Paramètres!$A$1:$I$89,3,0)*VLOOKUP('Données projet'!$B$9,Paramètres!$A$1:$I$89,5,0)</f>
        <v>-6.3550942286383367E-14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279.32192402750189</v>
      </c>
      <c r="T73" s="59">
        <f t="shared" si="88"/>
        <v>371.43572414443611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168.40556469440858</v>
      </c>
      <c r="AA73" s="21">
        <f>EXP(-LN(2)/25)*AA72+(1-EXP(-LN(2)/25))/(LN(2)/25)*Calculateur!V73*Calculateur!X73*VLOOKUP('Données projet'!$B$9,Paramètres!$A$1:$I$89,3,0)*0.475*44/12</f>
        <v>38.006894996779522</v>
      </c>
      <c r="AB73" s="21">
        <f>EXP(-LN(2)/2)*AB72+(1-EXP(-LN(2)/2))/(LN(2)/2)*V73*Y73*VLOOKUP('Données projet'!$B$9,Paramètres!$A$1:$I$89,3,0)*0.475*44/12</f>
        <v>0.18871632590221163</v>
      </c>
      <c r="AC73" s="22">
        <f t="shared" si="57"/>
        <v>206.60117601709032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13.02735042735042</v>
      </c>
      <c r="AI73" s="13">
        <f>IF('Données projet'!$A$62&gt;35,AI72+AH73-AQ72,IF(A73&lt;'Données projet'!$A$62,$AF$205^A73,IF(A73='Données projet'!$A$62,'Données projet'!$B$62,AI72+AH73-AQ72)))</f>
        <v>365.73247863247838</v>
      </c>
      <c r="AJ73" s="13">
        <f>AI73*VLOOKUP('Données projet'!$B$10,Paramètres!$A$1:$I$89,3,0)*VLOOKUP('Données projet'!$B$10,Paramètres!$A$1:$I$89,5,0)</f>
        <v>171.16279999999986</v>
      </c>
      <c r="AK73" s="13">
        <f t="shared" si="89"/>
        <v>43.350348693488058</v>
      </c>
      <c r="AL73" s="20">
        <f t="shared" si="58"/>
        <v>373.61040064115809</v>
      </c>
      <c r="AM73" s="59">
        <f t="shared" si="59"/>
        <v>666.94373397449135</v>
      </c>
      <c r="AN73" s="59">
        <f ca="1">AVERAGE(OFFSET($AM$3,0,0,'Données projet'!$E$10+1,1))-AVERAGE(OFFSET($H$3,0,0,'Données projet'!$E$10+1,1))</f>
        <v>192.20041613277965</v>
      </c>
      <c r="AO73" s="59">
        <f t="shared" si="90"/>
        <v>132.76245212522417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48.810823938850696</v>
      </c>
      <c r="AV73" s="21">
        <f>EXP(-LN(2)/25)*AV72+(1-EXP(-LN(2)/25))/(LN(2)/25)*Calculateur!AQ73*Calculateur!AS73*VLOOKUP('Données projet'!$B$10,Paramètres!$A$1:$I$89,3,0)*0.475*44/12</f>
        <v>19.842744173238913</v>
      </c>
      <c r="AW73" s="21">
        <f>EXP(-LN(2)/2)*AW72+(1-EXP(-LN(2)/2))/(LN(2)/2)*AQ73*AT73*VLOOKUP('Données projet'!$B$10,Paramètres!$A$1:$I$89,3,0)*0.475*44/12</f>
        <v>1.4805145328946614</v>
      </c>
      <c r="AX73" s="21">
        <f t="shared" si="60"/>
        <v>70.134082644984261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>
        <f>BD73*VLOOKUP('Données projet'!$B$11,Paramètres!$A$1:$I$89,3,0)*VLOOKUP('Données projet'!$B$11,Paramètres!$A$1:$I$89,5,0)</f>
        <v>0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180.31844548479722</v>
      </c>
      <c r="BJ73" s="59">
        <f t="shared" si="92"/>
        <v>273.83237400307223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68.341425197677239</v>
      </c>
      <c r="BQ73" s="21">
        <f>EXP(-LN(2)/25)*BQ72+(1-EXP(-LN(2)/25))/(LN(2)/25)*Calculateur!BL73*Calculateur!BN73*VLOOKUP('Données projet'!$B$11,Paramètres!$A$1:$I$89,3,0)*0.475*44/12</f>
        <v>109.59678330031366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177.9382084979909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379.99230769230769</v>
      </c>
      <c r="BW73" s="12">
        <f>VLOOKUP(A73,'Données projet'!$A$113:$I$133,9,0)</f>
        <v>9.1830769230769196</v>
      </c>
      <c r="BX73" s="12">
        <f t="array" ref="BX73">INDEX(BW:BW,MIN(IF(ISNUMBER(BW73:BW269),ROW(BW73:BW269),"")))</f>
        <v>9.1830769230769196</v>
      </c>
      <c r="BY73" s="12">
        <f>IF('Données projet'!$A$114&gt;35,BY72+BX73-CG72,IF(A73&lt;'Données projet'!$A$114,$BV$205^A73,IF(A73='Données projet'!$A$114,'Données projet'!$B$114,BY72+BX73-CG72)))</f>
        <v>379.99230769230735</v>
      </c>
      <c r="BZ73" s="13">
        <f>BY73*VLOOKUP('Données projet'!$B$12,Paramètres!$A$1:$I$89,3,0)*VLOOKUP('Données projet'!$B$12,Paramètres!$A$1:$I$89,5,0)</f>
        <v>227.2353999999998</v>
      </c>
      <c r="CA73" s="13">
        <f t="shared" si="93"/>
        <v>55.684490313081348</v>
      </c>
      <c r="CB73" s="20">
        <f t="shared" si="64"/>
        <v>492.75214229528297</v>
      </c>
      <c r="CC73" s="59">
        <f t="shared" si="65"/>
        <v>786.08547562861622</v>
      </c>
      <c r="CD73" s="59">
        <f ca="1">AVERAGE(OFFSET($CC$3,0,0,'Données projet'!$E$12+1,1))-AVERAGE(OFFSET($H$3,0,0,'Données projet'!$E$12+1,1))</f>
        <v>214.34615950592251</v>
      </c>
      <c r="CE73" s="59">
        <f t="shared" si="94"/>
        <v>159.66077836853066</v>
      </c>
      <c r="CF73" s="15">
        <f>IF(ISNA(VLOOKUP(A73,'Données projet'!$A$113:$I$133,3,0)),0,VLOOKUP(A73,'Données projet'!$A$113:$I$133,3,0))</f>
        <v>7</v>
      </c>
      <c r="CG73" s="15">
        <f>IF(ISNA(VLOOKUP(A73,'Données projet'!$A$113:$I$133,4,0)),0,VLOOKUP(A73,'Données projet'!$A$113:$I$133,4,0))</f>
        <v>52.669230769230765</v>
      </c>
      <c r="CH73" s="16">
        <f>IF(ISNA(VLOOKUP(A73,'Données projet'!$A$113:$I$133,5,0)),0%,VLOOKUP(A73,'Données projet'!$A$113:$I$133,5,0)*VLOOKUP('Données projet'!$B$12,Paramètres!$A$1:$I$89,7,0))</f>
        <v>0.315</v>
      </c>
      <c r="CI73" s="16">
        <f>IF(ISNA(VLOOKUP(A73,'Données projet'!$A$113:$I$133,6,0)),0%,VLOOKUP(A73,'Données projet'!$A$113:$I$133,6,0)*VLOOKUP('Données projet'!$B$12,Paramètres!$A$1:$I$89,7,0))</f>
        <v>7.5600000000000001E-2</v>
      </c>
      <c r="CJ73" s="16">
        <f>IF(ISNA(VLOOKUP(A73,'Données projet'!$A$113:$I$133,7,0)),0%,VLOOKUP(A73,'Données projet'!$A$113:$I$133,7,0))</f>
        <v>0.13200000000000001</v>
      </c>
      <c r="CK73" s="21">
        <f>EXP(-LN(2)/35)*CK72+(1-EXP(-LN(2)/35))/(LN(2)/35)*CG73*CH73*VLOOKUP('Données projet'!$B$12,Paramètres!$A$1:$I$89,3,0)*0.475*44/12</f>
        <v>50.670771327018038</v>
      </c>
      <c r="CL73" s="21">
        <f>EXP(-LN(2)/25)*CL72+(1-EXP(-LN(2)/25))/(LN(2)/25)*Calculateur!CG73*Calculateur!CI73*VLOOKUP('Données projet'!$B$12,Paramètres!$A$1:$I$89,3,0)*0.475*44/12</f>
        <v>13.38793447680801</v>
      </c>
      <c r="CM73" s="21">
        <f>EXP(-LN(2)/2)*CM72+(1-EXP(-LN(2)/2))/(LN(2)/2)*CG73*CJ73*VLOOKUP('Données projet'!$B$12,Paramètres!$A$1:$I$89,3,0)*0.475*44/12</f>
        <v>4.8638666673956541</v>
      </c>
      <c r="CN73" s="22">
        <f t="shared" si="66"/>
        <v>68.922572471221699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33.228000000000009</v>
      </c>
      <c r="D74" s="11">
        <f t="shared" si="86"/>
        <v>10.184815769674017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335.11647260801004</v>
      </c>
      <c r="H74" s="67">
        <f t="shared" si="56"/>
        <v>368.94398746551559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-1.1368683772161603E-13</v>
      </c>
      <c r="O74" s="13">
        <f>N74*VLOOKUP('Données projet'!$B$9,Paramètres!$A$1:$I$89,3,0)*VLOOKUP('Données projet'!$B$9,Paramètres!$A$1:$I$89,5,0)</f>
        <v>-6.3550942286383367E-14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279.32192402750189</v>
      </c>
      <c r="T74" s="59">
        <f t="shared" si="88"/>
        <v>371.43572414443611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165.10323428800319</v>
      </c>
      <c r="AA74" s="21">
        <f>EXP(-LN(2)/25)*AA73+(1-EXP(-LN(2)/25))/(LN(2)/25)*Calculateur!V74*Calculateur!X74*VLOOKUP('Données projet'!$B$9,Paramètres!$A$1:$I$89,3,0)*0.475*44/12</f>
        <v>36.967594454396846</v>
      </c>
      <c r="AB74" s="21">
        <f>EXP(-LN(2)/2)*AB73+(1-EXP(-LN(2)/2))/(LN(2)/2)*V74*Y74*VLOOKUP('Données projet'!$B$9,Paramètres!$A$1:$I$89,3,0)*0.475*44/12</f>
        <v>0.13344259376606435</v>
      </c>
      <c r="AC74" s="22">
        <f t="shared" si="57"/>
        <v>202.2042713361661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13.02735042735042</v>
      </c>
      <c r="AI74" s="13">
        <f>IF('Données projet'!$A$62&gt;35,AI73+AH74-AQ73,IF(A74&lt;'Données projet'!$A$62,$AF$205^A74,IF(A74='Données projet'!$A$62,'Données projet'!$B$62,AI73+AH74-AQ73)))</f>
        <v>378.7598290598288</v>
      </c>
      <c r="AJ74" s="13">
        <f>AI74*VLOOKUP('Données projet'!$B$10,Paramètres!$A$1:$I$89,3,0)*VLOOKUP('Données projet'!$B$10,Paramètres!$A$1:$I$89,5,0)</f>
        <v>177.25959999999989</v>
      </c>
      <c r="AK74" s="13">
        <f t="shared" si="89"/>
        <v>44.711954347677931</v>
      </c>
      <c r="AL74" s="20">
        <f t="shared" si="58"/>
        <v>386.60045715553883</v>
      </c>
      <c r="AM74" s="59">
        <f t="shared" si="59"/>
        <v>679.93379048887209</v>
      </c>
      <c r="AN74" s="59">
        <f ca="1">AVERAGE(OFFSET($AM$3,0,0,'Données projet'!$E$10+1,1))-AVERAGE(OFFSET($H$3,0,0,'Données projet'!$E$10+1,1))</f>
        <v>192.20041613277965</v>
      </c>
      <c r="AO74" s="59">
        <f t="shared" si="90"/>
        <v>132.76245212522417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47.85367345307273</v>
      </c>
      <c r="AV74" s="21">
        <f>EXP(-LN(2)/25)*AV73+(1-EXP(-LN(2)/25))/(LN(2)/25)*Calculateur!AQ74*Calculateur!AS74*VLOOKUP('Données projet'!$B$10,Paramètres!$A$1:$I$89,3,0)*0.475*44/12</f>
        <v>19.300143290337129</v>
      </c>
      <c r="AW74" s="21">
        <f>EXP(-LN(2)/2)*AW73+(1-EXP(-LN(2)/2))/(LN(2)/2)*AQ74*AT74*VLOOKUP('Données projet'!$B$10,Paramètres!$A$1:$I$89,3,0)*0.475*44/12</f>
        <v>1.0468818658550489</v>
      </c>
      <c r="AX74" s="21">
        <f t="shared" si="60"/>
        <v>68.200698609264919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>
        <f>BD74*VLOOKUP('Données projet'!$B$11,Paramètres!$A$1:$I$89,3,0)*VLOOKUP('Données projet'!$B$11,Paramètres!$A$1:$I$89,5,0)</f>
        <v>0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180.31844548479722</v>
      </c>
      <c r="BJ74" s="59">
        <f t="shared" si="92"/>
        <v>273.83237400307223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67.00129153370419</v>
      </c>
      <c r="BQ74" s="21">
        <f>EXP(-LN(2)/25)*BQ73+(1-EXP(-LN(2)/25))/(LN(2)/25)*Calculateur!BL74*Calculateur!BN74*VLOOKUP('Données projet'!$B$11,Paramètres!$A$1:$I$89,3,0)*0.475*44/12</f>
        <v>106.59985349752223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173.60114503122642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7.5584615384615343</v>
      </c>
      <c r="BY74" s="12">
        <f>IF('Données projet'!$A$114&gt;35,BY73+BX74-CG73,IF(A74&lt;'Données projet'!$A$114,$BV$205^A74,IF(A74='Données projet'!$A$114,'Données projet'!$B$114,BY73+BX74-CG73)))</f>
        <v>334.88153846153813</v>
      </c>
      <c r="BZ74" s="13">
        <f>BY74*VLOOKUP('Données projet'!$B$12,Paramètres!$A$1:$I$89,3,0)*VLOOKUP('Données projet'!$B$12,Paramètres!$A$1:$I$89,5,0)</f>
        <v>200.25915999999984</v>
      </c>
      <c r="CA74" s="13">
        <f t="shared" si="93"/>
        <v>49.80111895612729</v>
      </c>
      <c r="CB74" s="20">
        <f t="shared" si="64"/>
        <v>435.52165251525474</v>
      </c>
      <c r="CC74" s="59">
        <f t="shared" si="65"/>
        <v>728.85498584858806</v>
      </c>
      <c r="CD74" s="59">
        <f ca="1">AVERAGE(OFFSET($CC$3,0,0,'Données projet'!$E$12+1,1))-AVERAGE(OFFSET($H$3,0,0,'Données projet'!$E$12+1,1))</f>
        <v>214.34615950592251</v>
      </c>
      <c r="CE74" s="59">
        <f t="shared" si="94"/>
        <v>159.66077836853066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49.677148407413995</v>
      </c>
      <c r="CL74" s="21">
        <f>EXP(-LN(2)/25)*CL73+(1-EXP(-LN(2)/25))/(LN(2)/25)*Calculateur!CG74*Calculateur!CI74*VLOOKUP('Données projet'!$B$12,Paramètres!$A$1:$I$89,3,0)*0.475*44/12</f>
        <v>13.021840704498819</v>
      </c>
      <c r="CM74" s="21">
        <f>EXP(-LN(2)/2)*CM73+(1-EXP(-LN(2)/2))/(LN(2)/2)*CG74*CJ74*VLOOKUP('Données projet'!$B$12,Paramètres!$A$1:$I$89,3,0)*0.475*44/12</f>
        <v>3.4392731033026811</v>
      </c>
      <c r="CN74" s="22">
        <f t="shared" si="66"/>
        <v>66.138262215215491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33.696000000000012</v>
      </c>
      <c r="D75" s="11">
        <f t="shared" si="86"/>
        <v>10.311463159807191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339.70673316342402</v>
      </c>
      <c r="H75" s="67">
        <f t="shared" si="56"/>
        <v>369.97966500333087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-1.1368683772161603E-13</v>
      </c>
      <c r="O75" s="13">
        <f>N75*VLOOKUP('Données projet'!$B$9,Paramètres!$A$1:$I$89,3,0)*VLOOKUP('Données projet'!$B$9,Paramètres!$A$1:$I$89,5,0)</f>
        <v>-6.3550942286383367E-14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279.32192402750189</v>
      </c>
      <c r="T75" s="59">
        <f t="shared" si="88"/>
        <v>371.43572414443611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161.86566056664478</v>
      </c>
      <c r="AA75" s="21">
        <f>EXP(-LN(2)/25)*AA74+(1-EXP(-LN(2)/25))/(LN(2)/25)*Calculateur!V75*Calculateur!X75*VLOOKUP('Données projet'!$B$9,Paramètres!$A$1:$I$89,3,0)*0.475*44/12</f>
        <v>35.956713640000061</v>
      </c>
      <c r="AB75" s="21">
        <f>EXP(-LN(2)/2)*AB74+(1-EXP(-LN(2)/2))/(LN(2)/2)*V75*Y75*VLOOKUP('Données projet'!$B$9,Paramètres!$A$1:$I$89,3,0)*0.475*44/12</f>
        <v>9.4358162951105815E-2</v>
      </c>
      <c r="AC75" s="22">
        <f t="shared" si="57"/>
        <v>197.91673236959593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13.02735042735042</v>
      </c>
      <c r="AI75" s="13">
        <f>IF('Données projet'!$A$62&gt;35,AI74+AH75-AQ74,IF(A75&lt;'Données projet'!$A$62,$AF$205^A75,IF(A75='Données projet'!$A$62,'Données projet'!$B$62,AI74+AH75-AQ74)))</f>
        <v>391.78717948717923</v>
      </c>
      <c r="AJ75" s="13">
        <f>AI75*VLOOKUP('Données projet'!$B$10,Paramètres!$A$1:$I$89,3,0)*VLOOKUP('Données projet'!$B$10,Paramètres!$A$1:$I$89,5,0)</f>
        <v>183.35639999999989</v>
      </c>
      <c r="AK75" s="13">
        <f t="shared" si="89"/>
        <v>46.068118510976113</v>
      </c>
      <c r="AL75" s="20">
        <f t="shared" si="58"/>
        <v>399.58103640661653</v>
      </c>
      <c r="AM75" s="59">
        <f t="shared" si="59"/>
        <v>692.91436973994985</v>
      </c>
      <c r="AN75" s="59">
        <f ca="1">AVERAGE(OFFSET($AM$3,0,0,'Données projet'!$E$10+1,1))-AVERAGE(OFFSET($H$3,0,0,'Données projet'!$E$10+1,1))</f>
        <v>192.20041613277965</v>
      </c>
      <c r="AO75" s="59">
        <f t="shared" si="90"/>
        <v>132.76245212522417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46.915292104516716</v>
      </c>
      <c r="AV75" s="21">
        <f>EXP(-LN(2)/25)*AV74+(1-EXP(-LN(2)/25))/(LN(2)/25)*Calculateur!AQ75*Calculateur!AS75*VLOOKUP('Données projet'!$B$10,Paramètres!$A$1:$I$89,3,0)*0.475*44/12</f>
        <v>18.772379857112437</v>
      </c>
      <c r="AW75" s="21">
        <f>EXP(-LN(2)/2)*AW74+(1-EXP(-LN(2)/2))/(LN(2)/2)*AQ75*AT75*VLOOKUP('Données projet'!$B$10,Paramètres!$A$1:$I$89,3,0)*0.475*44/12</f>
        <v>0.7402572664473307</v>
      </c>
      <c r="AX75" s="21">
        <f t="shared" si="60"/>
        <v>66.427929228076479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>
        <f>BD75*VLOOKUP('Données projet'!$B$11,Paramètres!$A$1:$I$89,3,0)*VLOOKUP('Données projet'!$B$11,Paramètres!$A$1:$I$89,5,0)</f>
        <v>0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180.31844548479722</v>
      </c>
      <c r="BJ75" s="59">
        <f t="shared" si="92"/>
        <v>273.83237400307223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65.687437073480837</v>
      </c>
      <c r="BQ75" s="21">
        <f>EXP(-LN(2)/25)*BQ74+(1-EXP(-LN(2)/25))/(LN(2)/25)*Calculateur!BL75*Calculateur!BN75*VLOOKUP('Données projet'!$B$11,Paramètres!$A$1:$I$89,3,0)*0.475*44/12</f>
        <v>103.68487489778983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169.37231197127068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7.5584615384615343</v>
      </c>
      <c r="BY75" s="12">
        <f>IF('Données projet'!$A$114&gt;35,BY74+BX75-CG74,IF(A75&lt;'Données projet'!$A$114,$BV$205^A75,IF(A75='Données projet'!$A$114,'Données projet'!$B$114,BY74+BX75-CG74)))</f>
        <v>342.43999999999966</v>
      </c>
      <c r="BZ75" s="13">
        <f>BY75*VLOOKUP('Données projet'!$B$12,Paramètres!$A$1:$I$89,3,0)*VLOOKUP('Données projet'!$B$12,Paramètres!$A$1:$I$89,5,0)</f>
        <v>204.77911999999984</v>
      </c>
      <c r="CA75" s="13">
        <f t="shared" si="93"/>
        <v>50.79302579334589</v>
      </c>
      <c r="CB75" s="20">
        <f t="shared" si="64"/>
        <v>445.12148725674382</v>
      </c>
      <c r="CC75" s="59">
        <f t="shared" si="65"/>
        <v>738.45482059007713</v>
      </c>
      <c r="CD75" s="59">
        <f ca="1">AVERAGE(OFFSET($CC$3,0,0,'Données projet'!$E$12+1,1))-AVERAGE(OFFSET($H$3,0,0,'Données projet'!$E$12+1,1))</f>
        <v>214.34615950592251</v>
      </c>
      <c r="CE75" s="59">
        <f t="shared" si="94"/>
        <v>159.66077836853066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48.703009827213251</v>
      </c>
      <c r="CL75" s="21">
        <f>EXP(-LN(2)/25)*CL74+(1-EXP(-LN(2)/25))/(LN(2)/25)*Calculateur!CG75*Calculateur!CI75*VLOOKUP('Données projet'!$B$12,Paramètres!$A$1:$I$89,3,0)*0.475*44/12</f>
        <v>12.665757785645459</v>
      </c>
      <c r="CM75" s="21">
        <f>EXP(-LN(2)/2)*CM74+(1-EXP(-LN(2)/2))/(LN(2)/2)*CG75*CJ75*VLOOKUP('Données projet'!$B$12,Paramètres!$A$1:$I$89,3,0)*0.475*44/12</f>
        <v>2.4319333336978275</v>
      </c>
      <c r="CN75" s="22">
        <f t="shared" si="66"/>
        <v>63.800700946556539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34.164000000000016</v>
      </c>
      <c r="D76" s="11">
        <f t="shared" si="86"/>
        <v>10.437905961785614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344.29541444185406</v>
      </c>
      <c r="H76" s="67">
        <f t="shared" si="56"/>
        <v>371.01498621677661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-1.1368683772161603E-13</v>
      </c>
      <c r="O76" s="13">
        <f>N76*VLOOKUP('Données projet'!$B$9,Paramètres!$A$1:$I$89,3,0)*VLOOKUP('Données projet'!$B$9,Paramètres!$A$1:$I$89,5,0)</f>
        <v>-6.3550942286383367E-14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279.32192402750189</v>
      </c>
      <c r="T76" s="59">
        <f t="shared" si="88"/>
        <v>371.43572414443611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158.69157369123721</v>
      </c>
      <c r="AA76" s="21">
        <f>EXP(-LN(2)/25)*AA75+(1-EXP(-LN(2)/25))/(LN(2)/25)*Calculateur!V76*Calculateur!X76*VLOOKUP('Données projet'!$B$9,Paramètres!$A$1:$I$89,3,0)*0.475*44/12</f>
        <v>34.973475414632865</v>
      </c>
      <c r="AB76" s="21">
        <f>EXP(-LN(2)/2)*AB75+(1-EXP(-LN(2)/2))/(LN(2)/2)*V76*Y76*VLOOKUP('Données projet'!$B$9,Paramètres!$A$1:$I$89,3,0)*0.475*44/12</f>
        <v>6.6721296883032175E-2</v>
      </c>
      <c r="AC76" s="22">
        <f t="shared" si="57"/>
        <v>193.73177040275311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13.02735042735042</v>
      </c>
      <c r="AI76" s="13">
        <f>IF('Données projet'!$A$62&gt;35,AI75+AH76-AQ75,IF(A76&lt;'Données projet'!$A$62,$AF$205^A76,IF(A76='Données projet'!$A$62,'Données projet'!$B$62,AI75+AH76-AQ75)))</f>
        <v>404.81452991452966</v>
      </c>
      <c r="AJ76" s="13">
        <f>AI76*VLOOKUP('Données projet'!$B$10,Paramètres!$A$1:$I$89,3,0)*VLOOKUP('Données projet'!$B$10,Paramètres!$A$1:$I$89,5,0)</f>
        <v>189.45319999999987</v>
      </c>
      <c r="AK76" s="13">
        <f t="shared" si="89"/>
        <v>47.419042864854745</v>
      </c>
      <c r="AL76" s="20">
        <f t="shared" si="58"/>
        <v>412.5524896562884</v>
      </c>
      <c r="AM76" s="59">
        <f t="shared" si="59"/>
        <v>705.88582298962172</v>
      </c>
      <c r="AN76" s="59">
        <f ca="1">AVERAGE(OFFSET($AM$3,0,0,'Données projet'!$E$10+1,1))-AVERAGE(OFFSET($H$3,0,0,'Données projet'!$E$10+1,1))</f>
        <v>192.20041613277965</v>
      </c>
      <c r="AO76" s="59">
        <f t="shared" si="90"/>
        <v>132.76245212522417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45.995311841849784</v>
      </c>
      <c r="AV76" s="21">
        <f>EXP(-LN(2)/25)*AV75+(1-EXP(-LN(2)/25))/(LN(2)/25)*Calculateur!AQ76*Calculateur!AS76*VLOOKUP('Données projet'!$B$10,Paramètres!$A$1:$I$89,3,0)*0.475*44/12</f>
        <v>18.259048142723145</v>
      </c>
      <c r="AW76" s="21">
        <f>EXP(-LN(2)/2)*AW75+(1-EXP(-LN(2)/2))/(LN(2)/2)*AQ76*AT76*VLOOKUP('Données projet'!$B$10,Paramètres!$A$1:$I$89,3,0)*0.475*44/12</f>
        <v>0.52344093292752447</v>
      </c>
      <c r="AX76" s="21">
        <f t="shared" si="60"/>
        <v>64.777800917500457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>
        <f>BD76*VLOOKUP('Données projet'!$B$11,Paramètres!$A$1:$I$89,3,0)*VLOOKUP('Données projet'!$B$11,Paramètres!$A$1:$I$89,5,0)</f>
        <v>0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180.31844548479722</v>
      </c>
      <c r="BJ76" s="59">
        <f t="shared" si="92"/>
        <v>273.83237400307223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64.39934649785036</v>
      </c>
      <c r="BQ76" s="21">
        <f>EXP(-LN(2)/25)*BQ75+(1-EXP(-LN(2)/25))/(LN(2)/25)*Calculateur!BL76*Calculateur!BN76*VLOOKUP('Données projet'!$B$11,Paramètres!$A$1:$I$89,3,0)*0.475*44/12</f>
        <v>100.84960654115916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165.24895303900951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7.5584615384615343</v>
      </c>
      <c r="BY76" s="12">
        <f>IF('Données projet'!$A$114&gt;35,BY75+BX76-CG75,IF(A76&lt;'Données projet'!$A$114,$BV$205^A76,IF(A76='Données projet'!$A$114,'Données projet'!$B$114,BY75+BX76-CG75)))</f>
        <v>349.99846153846119</v>
      </c>
      <c r="BZ76" s="13">
        <f>BY76*VLOOKUP('Données projet'!$B$12,Paramètres!$A$1:$I$89,3,0)*VLOOKUP('Données projet'!$B$12,Paramètres!$A$1:$I$89,5,0)</f>
        <v>209.2990799999998</v>
      </c>
      <c r="CA76" s="13">
        <f t="shared" si="93"/>
        <v>51.782387252616175</v>
      </c>
      <c r="CB76" s="20">
        <f t="shared" si="64"/>
        <v>454.71688879830617</v>
      </c>
      <c r="CC76" s="59">
        <f t="shared" si="65"/>
        <v>748.05022213163943</v>
      </c>
      <c r="CD76" s="59">
        <f ca="1">AVERAGE(OFFSET($CC$3,0,0,'Données projet'!$E$12+1,1))-AVERAGE(OFFSET($H$3,0,0,'Données projet'!$E$12+1,1))</f>
        <v>214.34615950592251</v>
      </c>
      <c r="CE76" s="59">
        <f t="shared" si="94"/>
        <v>159.66077836853066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47.747973510404378</v>
      </c>
      <c r="CL76" s="21">
        <f>EXP(-LN(2)/25)*CL75+(1-EXP(-LN(2)/25))/(LN(2)/25)*Calculateur!CG76*Calculateur!CI76*VLOOKUP('Données projet'!$B$12,Paramètres!$A$1:$I$89,3,0)*0.475*44/12</f>
        <v>12.319411972933731</v>
      </c>
      <c r="CM76" s="21">
        <f>EXP(-LN(2)/2)*CM75+(1-EXP(-LN(2)/2))/(LN(2)/2)*CG76*CJ76*VLOOKUP('Données projet'!$B$12,Paramètres!$A$1:$I$89,3,0)*0.475*44/12</f>
        <v>1.719636551651341</v>
      </c>
      <c r="CN76" s="22">
        <f t="shared" si="66"/>
        <v>61.787022034989448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34.632000000000019</v>
      </c>
      <c r="D77" s="11">
        <f t="shared" si="86"/>
        <v>10.564147302110397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348.88254057769444</v>
      </c>
      <c r="H77" s="67">
        <f t="shared" si="56"/>
        <v>372.04995655117563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-1.1368683772161603E-13</v>
      </c>
      <c r="O77" s="13">
        <f>N77*VLOOKUP('Données projet'!$B$9,Paramètres!$A$1:$I$89,3,0)*VLOOKUP('Données projet'!$B$9,Paramètres!$A$1:$I$89,5,0)</f>
        <v>-6.3550942286383367E-14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279.32192402750189</v>
      </c>
      <c r="T77" s="59">
        <f t="shared" si="88"/>
        <v>371.43572414443611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155.57972872345456</v>
      </c>
      <c r="AA77" s="21">
        <f>EXP(-LN(2)/25)*AA76+(1-EXP(-LN(2)/25))/(LN(2)/25)*Calculateur!V77*Calculateur!X77*VLOOKUP('Données projet'!$B$9,Paramètres!$A$1:$I$89,3,0)*0.475*44/12</f>
        <v>34.017123890244591</v>
      </c>
      <c r="AB77" s="21">
        <f>EXP(-LN(2)/2)*AB76+(1-EXP(-LN(2)/2))/(LN(2)/2)*V77*Y77*VLOOKUP('Données projet'!$B$9,Paramètres!$A$1:$I$89,3,0)*0.475*44/12</f>
        <v>4.7179081475552907E-2</v>
      </c>
      <c r="AC77" s="22">
        <f t="shared" si="57"/>
        <v>189.6440316951747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13.02735042735042</v>
      </c>
      <c r="AI77" s="13">
        <f>IF('Données projet'!$A$62&gt;35,AI76+AH77-AQ76,IF(A77&lt;'Données projet'!$A$62,$AF$205^A77,IF(A77='Données projet'!$A$62,'Données projet'!$B$62,AI76+AH77-AQ76)))</f>
        <v>417.84188034188008</v>
      </c>
      <c r="AJ77" s="13">
        <f>AI77*VLOOKUP('Données projet'!$B$10,Paramètres!$A$1:$I$89,3,0)*VLOOKUP('Données projet'!$B$10,Paramètres!$A$1:$I$89,5,0)</f>
        <v>195.54999999999987</v>
      </c>
      <c r="AK77" s="13">
        <f t="shared" si="89"/>
        <v>48.764915373179647</v>
      </c>
      <c r="AL77" s="20">
        <f t="shared" si="58"/>
        <v>425.51514427495431</v>
      </c>
      <c r="AM77" s="59">
        <f t="shared" si="59"/>
        <v>718.84847760828757</v>
      </c>
      <c r="AN77" s="59">
        <f ca="1">AVERAGE(OFFSET($AM$3,0,0,'Données projet'!$E$10+1,1))-AVERAGE(OFFSET($H$3,0,0,'Données projet'!$E$10+1,1))</f>
        <v>192.20041613277965</v>
      </c>
      <c r="AO77" s="59">
        <f t="shared" si="90"/>
        <v>132.76245212522417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45.093371831001193</v>
      </c>
      <c r="AV77" s="21">
        <f>EXP(-LN(2)/25)*AV76+(1-EXP(-LN(2)/25))/(LN(2)/25)*Calculateur!AQ77*Calculateur!AS77*VLOOKUP('Données projet'!$B$10,Paramètres!$A$1:$I$89,3,0)*0.475*44/12</f>
        <v>17.759753511058772</v>
      </c>
      <c r="AW77" s="21">
        <f>EXP(-LN(2)/2)*AW76+(1-EXP(-LN(2)/2))/(LN(2)/2)*AQ77*AT77*VLOOKUP('Données projet'!$B$10,Paramètres!$A$1:$I$89,3,0)*0.475*44/12</f>
        <v>0.37012863322366535</v>
      </c>
      <c r="AX77" s="21">
        <f t="shared" si="60"/>
        <v>63.223253975283633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>
        <f>BD77*VLOOKUP('Données projet'!$B$11,Paramètres!$A$1:$I$89,3,0)*VLOOKUP('Données projet'!$B$11,Paramètres!$A$1:$I$89,5,0)</f>
        <v>0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180.31844548479722</v>
      </c>
      <c r="BJ77" s="59">
        <f t="shared" si="92"/>
        <v>273.83237400307223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63.136514592750331</v>
      </c>
      <c r="BQ77" s="21">
        <f>EXP(-LN(2)/25)*BQ76+(1-EXP(-LN(2)/25))/(LN(2)/25)*Calculateur!BL77*Calculateur!BN77*VLOOKUP('Données projet'!$B$11,Paramètres!$A$1:$I$89,3,0)*0.475*44/12</f>
        <v>98.091868746840845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161.22838333959118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7.5584615384615343</v>
      </c>
      <c r="BY77" s="12">
        <f>IF('Données projet'!$A$114&gt;35,BY76+BX77-CG76,IF(A77&lt;'Données projet'!$A$114,$BV$205^A77,IF(A77='Données projet'!$A$114,'Données projet'!$B$114,BY76+BX77-CG76)))</f>
        <v>357.55692307692271</v>
      </c>
      <c r="BZ77" s="13">
        <f>BY77*VLOOKUP('Données projet'!$B$12,Paramètres!$A$1:$I$89,3,0)*VLOOKUP('Données projet'!$B$12,Paramètres!$A$1:$I$89,5,0)</f>
        <v>213.8190399999998</v>
      </c>
      <c r="CA77" s="13">
        <f t="shared" si="93"/>
        <v>52.769264634128973</v>
      </c>
      <c r="CB77" s="20">
        <f t="shared" si="64"/>
        <v>464.30796390444101</v>
      </c>
      <c r="CC77" s="59">
        <f t="shared" si="65"/>
        <v>757.64129723777432</v>
      </c>
      <c r="CD77" s="59">
        <f ca="1">AVERAGE(OFFSET($CC$3,0,0,'Données projet'!$E$12+1,1))-AVERAGE(OFFSET($H$3,0,0,'Données projet'!$E$12+1,1))</f>
        <v>214.34615950592251</v>
      </c>
      <c r="CE77" s="59">
        <f t="shared" si="94"/>
        <v>159.66077836853066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46.811664873253491</v>
      </c>
      <c r="CL77" s="21">
        <f>EXP(-LN(2)/25)*CL76+(1-EXP(-LN(2)/25))/(LN(2)/25)*Calculateur!CG77*Calculateur!CI77*VLOOKUP('Données projet'!$B$12,Paramètres!$A$1:$I$89,3,0)*0.475*44/12</f>
        <v>11.982537004684138</v>
      </c>
      <c r="CM77" s="21">
        <f>EXP(-LN(2)/2)*CM76+(1-EXP(-LN(2)/2))/(LN(2)/2)*CG77*CJ77*VLOOKUP('Données projet'!$B$12,Paramètres!$A$1:$I$89,3,0)*0.475*44/12</f>
        <v>1.215966666848914</v>
      </c>
      <c r="CN77" s="22">
        <f t="shared" si="66"/>
        <v>60.010168544786545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35.100000000000023</v>
      </c>
      <c r="D78" s="11">
        <f t="shared" si="86"/>
        <v>10.690190217926903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353.46813501557631</v>
      </c>
      <c r="H78" s="67">
        <f t="shared" si="56"/>
        <v>373.08458129622272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-1.1368683772161603E-13</v>
      </c>
      <c r="O78" s="13">
        <f>N78*VLOOKUP('Données projet'!$B$9,Paramètres!$A$1:$I$89,3,0)*VLOOKUP('Données projet'!$B$9,Paramètres!$A$1:$I$89,5,0)</f>
        <v>-6.3550942286383367E-14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279.32192402750189</v>
      </c>
      <c r="T78" s="59">
        <f t="shared" si="88"/>
        <v>371.43572414443611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152.52890513745211</v>
      </c>
      <c r="AA78" s="21">
        <f>EXP(-LN(2)/25)*AA77+(1-EXP(-LN(2)/25))/(LN(2)/25)*Calculateur!V78*Calculateur!X78*VLOOKUP('Données projet'!$B$9,Paramètres!$A$1:$I$89,3,0)*0.475*44/12</f>
        <v>33.086923848583055</v>
      </c>
      <c r="AB78" s="21">
        <f>EXP(-LN(2)/2)*AB77+(1-EXP(-LN(2)/2))/(LN(2)/2)*V78*Y78*VLOOKUP('Données projet'!$B$9,Paramètres!$A$1:$I$89,3,0)*0.475*44/12</f>
        <v>3.3360648441516087E-2</v>
      </c>
      <c r="AC78" s="22">
        <f t="shared" si="57"/>
        <v>185.6491896344767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430.86923076923074</v>
      </c>
      <c r="AG78" s="12">
        <f>VLOOKUP(A78,'Données projet'!$A$61:$I$81,9,0)</f>
        <v>13.02735042735042</v>
      </c>
      <c r="AH78" s="12">
        <f t="array" ref="AH78">INDEX(AG:AG,MIN(IF(ISNUMBER(AG78:AG274),ROW(AG78:AG274),"")))</f>
        <v>13.02735042735042</v>
      </c>
      <c r="AI78" s="13">
        <f>IF('Données projet'!$A$62&gt;35,AI77+AH78-AQ77,IF(A78&lt;'Données projet'!$A$62,$AF$205^A78,IF(A78='Données projet'!$A$62,'Données projet'!$B$62,AI77+AH78-AQ77)))</f>
        <v>430.86923076923051</v>
      </c>
      <c r="AJ78" s="13">
        <f>AI78*VLOOKUP('Données projet'!$B$10,Paramètres!$A$1:$I$89,3,0)*VLOOKUP('Données projet'!$B$10,Paramètres!$A$1:$I$89,5,0)</f>
        <v>201.64679999999987</v>
      </c>
      <c r="AK78" s="13">
        <f t="shared" si="89"/>
        <v>50.105911613506244</v>
      </c>
      <c r="AL78" s="20">
        <f t="shared" si="58"/>
        <v>438.46930606018981</v>
      </c>
      <c r="AM78" s="59">
        <f t="shared" si="59"/>
        <v>731.80263939352312</v>
      </c>
      <c r="AN78" s="59">
        <f ca="1">AVERAGE(OFFSET($AM$3,0,0,'Données projet'!$E$10+1,1))-AVERAGE(OFFSET($H$3,0,0,'Données projet'!$E$10+1,1))</f>
        <v>192.20041613277965</v>
      </c>
      <c r="AO78" s="59">
        <f t="shared" si="90"/>
        <v>132.76245212522417</v>
      </c>
      <c r="AP78" s="15">
        <f>IF(ISNA(VLOOKUP(A78,'Données projet'!$A$61:$I$81,3,0)),0,VLOOKUP(A78,'Données projet'!$A$61:$I$81,3,0))</f>
        <v>5</v>
      </c>
      <c r="AQ78" s="15">
        <f>IF(ISNA(VLOOKUP(A78,'Données projet'!$A$61:$I$81,4,0)),0,VLOOKUP(A78,'Données projet'!$A$61:$I$81,4,0))</f>
        <v>78.307692307692307</v>
      </c>
      <c r="AR78" s="16">
        <f>IF(ISNA(VLOOKUP(A78,'Données projet'!$A$61:$I$81,5,0)),0%,VLOOKUP(A78,'Données projet'!$A$61:$I$81,5,0)*VLOOKUP('Données projet'!$B$10,Paramètres!$A$1:$I$89,7,0))</f>
        <v>0.38500000000000001</v>
      </c>
      <c r="AS78" s="16">
        <f>IF(ISNA(VLOOKUP(A78,'Données projet'!$A$61:$I$81,6,0)),0%,VLOOKUP(A78,'Données projet'!$A$61:$I$81,6,0)*VLOOKUP('Données projet'!$B$10,Paramètres!$A$1:$I$89,7,0))</f>
        <v>9.240000000000001E-2</v>
      </c>
      <c r="AT78" s="16">
        <f>IF(ISNA(VLOOKUP(A78,'Données projet'!$A$61:$I$81,7,0)),0%,VLOOKUP(A78,'Données projet'!$A$61:$I$81,7,0))</f>
        <v>0.13200000000000001</v>
      </c>
      <c r="AU78" s="21">
        <f>EXP(-LN(2)/35)*AU77+(1-EXP(-LN(2)/35))/(LN(2)/35)*AQ78*AR78*VLOOKUP('Données projet'!$B$10,Paramètres!$A$1:$I$89,3,0)*0.475*44/12</f>
        <v>62.926252966371337</v>
      </c>
      <c r="AV78" s="21">
        <f>EXP(-LN(2)/25)*AV77+(1-EXP(-LN(2)/25))/(LN(2)/25)*Calculateur!AQ78*Calculateur!AS78*VLOOKUP('Données projet'!$B$10,Paramètres!$A$1:$I$89,3,0)*0.475*44/12</f>
        <v>21.748537276190785</v>
      </c>
      <c r="AW78" s="21">
        <f>EXP(-LN(2)/2)*AW77+(1-EXP(-LN(2)/2))/(LN(2)/2)*AQ78*AT78*VLOOKUP('Données projet'!$B$10,Paramètres!$A$1:$I$89,3,0)*0.475*44/12</f>
        <v>5.7389349661107527</v>
      </c>
      <c r="AX78" s="21">
        <f t="shared" si="60"/>
        <v>90.413725208672872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>
        <f>BD78*VLOOKUP('Données projet'!$B$11,Paramètres!$A$1:$I$89,3,0)*VLOOKUP('Données projet'!$B$11,Paramètres!$A$1:$I$89,5,0)</f>
        <v>0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180.31844548479722</v>
      </c>
      <c r="BJ78" s="59">
        <f t="shared" si="92"/>
        <v>273.83237400307223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61.898446051057903</v>
      </c>
      <c r="BQ78" s="21">
        <f>EXP(-LN(2)/25)*BQ77+(1-EXP(-LN(2)/25))/(LN(2)/25)*Calculateur!BL78*Calculateur!BN78*VLOOKUP('Données projet'!$B$11,Paramètres!$A$1:$I$89,3,0)*0.475*44/12</f>
        <v>95.409541437531303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157.30798748858922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7.5584615384615343</v>
      </c>
      <c r="BY78" s="12">
        <f>IF('Données projet'!$A$114&gt;35,BY77+BX78-CG77,IF(A78&lt;'Données projet'!$A$114,$BV$205^A78,IF(A78='Données projet'!$A$114,'Données projet'!$B$114,BY77+BX78-CG77)))</f>
        <v>365.11538461538424</v>
      </c>
      <c r="BZ78" s="13">
        <f>BY78*VLOOKUP('Données projet'!$B$12,Paramètres!$A$1:$I$89,3,0)*VLOOKUP('Données projet'!$B$12,Paramètres!$A$1:$I$89,5,0)</f>
        <v>218.3389999999998</v>
      </c>
      <c r="CA78" s="13">
        <f t="shared" si="93"/>
        <v>53.753716498326504</v>
      </c>
      <c r="CB78" s="20">
        <f t="shared" si="64"/>
        <v>473.89481456791827</v>
      </c>
      <c r="CC78" s="59">
        <f t="shared" si="65"/>
        <v>767.22814790125153</v>
      </c>
      <c r="CD78" s="59">
        <f ca="1">AVERAGE(OFFSET($CC$3,0,0,'Données projet'!$E$12+1,1))-AVERAGE(OFFSET($H$3,0,0,'Données projet'!$E$12+1,1))</f>
        <v>214.34615950592251</v>
      </c>
      <c r="CE78" s="59">
        <f t="shared" si="94"/>
        <v>159.66077836853066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45.893716677385257</v>
      </c>
      <c r="CL78" s="21">
        <f>EXP(-LN(2)/25)*CL77+(1-EXP(-LN(2)/25))/(LN(2)/25)*Calculateur!CG78*Calculateur!CI78*VLOOKUP('Données projet'!$B$12,Paramètres!$A$1:$I$89,3,0)*0.475*44/12</f>
        <v>11.654873900156815</v>
      </c>
      <c r="CM78" s="21">
        <f>EXP(-LN(2)/2)*CM77+(1-EXP(-LN(2)/2))/(LN(2)/2)*CG78*CJ78*VLOOKUP('Données projet'!$B$12,Paramètres!$A$1:$I$89,3,0)*0.475*44/12</f>
        <v>0.85981827582567061</v>
      </c>
      <c r="CN78" s="22">
        <f t="shared" si="66"/>
        <v>58.408408853367746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35.568000000000026</v>
      </c>
      <c r="D79" s="11">
        <f t="shared" si="86"/>
        <v>10.816037660735214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358.05222053900889</v>
      </c>
      <c r="H79" s="67">
        <f t="shared" si="56"/>
        <v>374.11886559244721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-1.1368683772161603E-13</v>
      </c>
      <c r="O79" s="13">
        <f>N79*VLOOKUP('Données projet'!$B$9,Paramètres!$A$1:$I$89,3,0)*VLOOKUP('Données projet'!$B$9,Paramètres!$A$1:$I$89,5,0)</f>
        <v>-6.3550942286383367E-14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279.32192402750189</v>
      </c>
      <c r="T79" s="59">
        <f t="shared" si="88"/>
        <v>371.43572414443611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149.53790634115254</v>
      </c>
      <c r="AA79" s="21">
        <f>EXP(-LN(2)/25)*AA78+(1-EXP(-LN(2)/25))/(LN(2)/25)*Calculateur!V79*Calculateur!X79*VLOOKUP('Données projet'!$B$9,Paramètres!$A$1:$I$89,3,0)*0.475*44/12</f>
        <v>32.182160175977849</v>
      </c>
      <c r="AB79" s="21">
        <f>EXP(-LN(2)/2)*AB78+(1-EXP(-LN(2)/2))/(LN(2)/2)*V79*Y79*VLOOKUP('Données projet'!$B$9,Paramètres!$A$1:$I$89,3,0)*0.475*44/12</f>
        <v>2.3589540737776454E-2</v>
      </c>
      <c r="AC79" s="22">
        <f t="shared" si="57"/>
        <v>181.74365605786818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12.25961538461538</v>
      </c>
      <c r="AI79" s="13">
        <f>IF('Données projet'!$A$62&gt;35,AI78+AH79-AQ78,IF(A79&lt;'Données projet'!$A$62,$AF$205^A79,IF(A79='Données projet'!$A$62,'Données projet'!$B$62,AI78+AH79-AQ78)))</f>
        <v>364.82115384615355</v>
      </c>
      <c r="AJ79" s="13">
        <f>AI79*VLOOKUP('Données projet'!$B$10,Paramètres!$A$1:$I$89,3,0)*VLOOKUP('Données projet'!$B$10,Paramètres!$A$1:$I$89,5,0)</f>
        <v>170.73629999999986</v>
      </c>
      <c r="AK79" s="13">
        <f t="shared" si="89"/>
        <v>43.254888789891716</v>
      </c>
      <c r="AL79" s="20">
        <f t="shared" si="58"/>
        <v>372.70132047572787</v>
      </c>
      <c r="AM79" s="59">
        <f t="shared" si="59"/>
        <v>666.03465380906118</v>
      </c>
      <c r="AN79" s="59">
        <f ca="1">AVERAGE(OFFSET($AM$3,0,0,'Données projet'!$E$10+1,1))-AVERAGE(OFFSET($H$3,0,0,'Données projet'!$E$10+1,1))</f>
        <v>192.20041613277965</v>
      </c>
      <c r="AO79" s="59">
        <f t="shared" si="90"/>
        <v>132.76245212522417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61.692307526925276</v>
      </c>
      <c r="AV79" s="21">
        <f>EXP(-LN(2)/25)*AV78+(1-EXP(-LN(2)/25))/(LN(2)/25)*Calculateur!AQ79*Calculateur!AS79*VLOOKUP('Données projet'!$B$10,Paramètres!$A$1:$I$89,3,0)*0.475*44/12</f>
        <v>21.153822380667478</v>
      </c>
      <c r="AW79" s="21">
        <f>EXP(-LN(2)/2)*AW78+(1-EXP(-LN(2)/2))/(LN(2)/2)*AQ79*AT79*VLOOKUP('Données projet'!$B$10,Paramètres!$A$1:$I$89,3,0)*0.475*44/12</f>
        <v>4.0580398313255026</v>
      </c>
      <c r="AX79" s="21">
        <f t="shared" si="60"/>
        <v>86.904169738918256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>
        <f>BD79*VLOOKUP('Données projet'!$B$11,Paramètres!$A$1:$I$89,3,0)*VLOOKUP('Données projet'!$B$11,Paramètres!$A$1:$I$89,5,0)</f>
        <v>0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180.31844548479722</v>
      </c>
      <c r="BJ79" s="59">
        <f t="shared" si="92"/>
        <v>273.83237400307223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60.684655278320818</v>
      </c>
      <c r="BQ79" s="21">
        <f>EXP(-LN(2)/25)*BQ78+(1-EXP(-LN(2)/25))/(LN(2)/25)*Calculateur!BL79*Calculateur!BN79*VLOOKUP('Données projet'!$B$11,Paramètres!$A$1:$I$89,3,0)*0.475*44/12</f>
        <v>92.800562509552293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153.48521778787313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7.5584615384615343</v>
      </c>
      <c r="BY79" s="12">
        <f>IF('Données projet'!$A$114&gt;35,BY78+BX79-CG78,IF(A79&lt;'Données projet'!$A$114,$BV$205^A79,IF(A79='Données projet'!$A$114,'Données projet'!$B$114,BY78+BX79-CG78)))</f>
        <v>372.67384615384577</v>
      </c>
      <c r="BZ79" s="13">
        <f>BY79*VLOOKUP('Données projet'!$B$12,Paramètres!$A$1:$I$89,3,0)*VLOOKUP('Données projet'!$B$12,Paramètres!$A$1:$I$89,5,0)</f>
        <v>222.8589599999998</v>
      </c>
      <c r="CA79" s="13">
        <f t="shared" si="93"/>
        <v>54.735798842493118</v>
      </c>
      <c r="CB79" s="20">
        <f t="shared" si="64"/>
        <v>483.47753831734173</v>
      </c>
      <c r="CC79" s="59">
        <f t="shared" si="65"/>
        <v>776.81087165067504</v>
      </c>
      <c r="CD79" s="59">
        <f ca="1">AVERAGE(OFFSET($CC$3,0,0,'Données projet'!$E$12+1,1))-AVERAGE(OFFSET($H$3,0,0,'Données projet'!$E$12+1,1))</f>
        <v>214.34615950592251</v>
      </c>
      <c r="CE79" s="59">
        <f t="shared" si="94"/>
        <v>159.66077836853066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44.993768885744885</v>
      </c>
      <c r="CL79" s="21">
        <f>EXP(-LN(2)/25)*CL78+(1-EXP(-LN(2)/25))/(LN(2)/25)*Calculateur!CG79*Calculateur!CI79*VLOOKUP('Données projet'!$B$12,Paramètres!$A$1:$I$89,3,0)*0.475*44/12</f>
        <v>11.336170760453847</v>
      </c>
      <c r="CM79" s="21">
        <f>EXP(-LN(2)/2)*CM78+(1-EXP(-LN(2)/2))/(LN(2)/2)*CG79*CJ79*VLOOKUP('Données projet'!$B$12,Paramètres!$A$1:$I$89,3,0)*0.475*44/12</f>
        <v>0.6079833334244571</v>
      </c>
      <c r="CN79" s="22">
        <f t="shared" si="66"/>
        <v>56.937922979623188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36.03600000000003</v>
      </c>
      <c r="D80" s="11">
        <f t="shared" si="86"/>
        <v>10.941692499899752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362.63481929747201</v>
      </c>
      <c r="H80" s="67">
        <f t="shared" si="56"/>
        <v>375.15281443732545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-1.1368683772161603E-13</v>
      </c>
      <c r="O80" s="13">
        <f>N80*VLOOKUP('Données projet'!$B$9,Paramètres!$A$1:$I$89,3,0)*VLOOKUP('Données projet'!$B$9,Paramètres!$A$1:$I$89,5,0)</f>
        <v>-6.3550942286383367E-14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279.32192402750189</v>
      </c>
      <c r="T80" s="59">
        <f t="shared" si="88"/>
        <v>371.43572414443611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146.60555920691925</v>
      </c>
      <c r="AA80" s="21">
        <f>EXP(-LN(2)/25)*AA79+(1-EXP(-LN(2)/25))/(LN(2)/25)*Calculateur!V80*Calculateur!X80*VLOOKUP('Données projet'!$B$9,Paramètres!$A$1:$I$89,3,0)*0.475*44/12</f>
        <v>31.302137313579482</v>
      </c>
      <c r="AB80" s="21">
        <f>EXP(-LN(2)/2)*AB79+(1-EXP(-LN(2)/2))/(LN(2)/2)*V80*Y80*VLOOKUP('Données projet'!$B$9,Paramètres!$A$1:$I$89,3,0)*0.475*44/12</f>
        <v>1.6680324220758044E-2</v>
      </c>
      <c r="AC80" s="22">
        <f t="shared" si="57"/>
        <v>177.92437684471952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12.25961538461538</v>
      </c>
      <c r="AI80" s="13">
        <f>IF('Données projet'!$A$62&gt;35,AI79+AH80-AQ79,IF(A80&lt;'Données projet'!$A$62,$AF$205^A80,IF(A80='Données projet'!$A$62,'Données projet'!$B$62,AI79+AH80-AQ79)))</f>
        <v>377.08076923076891</v>
      </c>
      <c r="AJ80" s="13">
        <f>AI80*VLOOKUP('Données projet'!$B$10,Paramètres!$A$1:$I$89,3,0)*VLOOKUP('Données projet'!$B$10,Paramètres!$A$1:$I$89,5,0)</f>
        <v>176.47379999999987</v>
      </c>
      <c r="AK80" s="13">
        <f t="shared" si="89"/>
        <v>44.536770589031235</v>
      </c>
      <c r="AL80" s="20">
        <f t="shared" si="58"/>
        <v>384.92674377589583</v>
      </c>
      <c r="AM80" s="59">
        <f t="shared" si="59"/>
        <v>678.26007710922909</v>
      </c>
      <c r="AN80" s="59">
        <f ca="1">AVERAGE(OFFSET($AM$3,0,0,'Données projet'!$E$10+1,1))-AVERAGE(OFFSET($H$3,0,0,'Données projet'!$E$10+1,1))</f>
        <v>192.20041613277965</v>
      </c>
      <c r="AO80" s="59">
        <f t="shared" si="90"/>
        <v>132.76245212522417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60.48255900491435</v>
      </c>
      <c r="AV80" s="21">
        <f>EXP(-LN(2)/25)*AV79+(1-EXP(-LN(2)/25))/(LN(2)/25)*Calculateur!AQ80*Calculateur!AS80*VLOOKUP('Données projet'!$B$10,Paramètres!$A$1:$I$89,3,0)*0.475*44/12</f>
        <v>20.575369995236954</v>
      </c>
      <c r="AW80" s="21">
        <f>EXP(-LN(2)/2)*AW79+(1-EXP(-LN(2)/2))/(LN(2)/2)*AQ80*AT80*VLOOKUP('Données projet'!$B$10,Paramètres!$A$1:$I$89,3,0)*0.475*44/12</f>
        <v>2.8694674830553768</v>
      </c>
      <c r="AX80" s="21">
        <f t="shared" si="60"/>
        <v>83.927396483206678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>
        <f>BD80*VLOOKUP('Données projet'!$B$11,Paramètres!$A$1:$I$89,3,0)*VLOOKUP('Données projet'!$B$11,Paramètres!$A$1:$I$89,5,0)</f>
        <v>0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180.31844548479722</v>
      </c>
      <c r="BJ80" s="59">
        <f t="shared" si="92"/>
        <v>273.83237400307223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59.494666202297836</v>
      </c>
      <c r="BQ80" s="21">
        <f>EXP(-LN(2)/25)*BQ79+(1-EXP(-LN(2)/25))/(LN(2)/25)*Calculateur!BL80*Calculateur!BN80*VLOOKUP('Données projet'!$B$11,Paramètres!$A$1:$I$89,3,0)*0.475*44/12</f>
        <v>90.262926247559108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149.75759244985693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7.5584615384615343</v>
      </c>
      <c r="BY80" s="12">
        <f>IF('Données projet'!$A$114&gt;35,BY79+BX80-CG79,IF(A80&lt;'Données projet'!$A$114,$BV$205^A80,IF(A80='Données projet'!$A$114,'Données projet'!$B$114,BY79+BX80-CG79)))</f>
        <v>380.2323076923073</v>
      </c>
      <c r="BZ80" s="13">
        <f>BY80*VLOOKUP('Données projet'!$B$12,Paramètres!$A$1:$I$89,3,0)*VLOOKUP('Données projet'!$B$12,Paramètres!$A$1:$I$89,5,0)</f>
        <v>227.37891999999977</v>
      </c>
      <c r="CA80" s="13">
        <f t="shared" si="93"/>
        <v>55.715565262615449</v>
      </c>
      <c r="CB80" s="20">
        <f t="shared" si="64"/>
        <v>493.05622849905473</v>
      </c>
      <c r="CC80" s="59">
        <f t="shared" si="65"/>
        <v>786.38956183238804</v>
      </c>
      <c r="CD80" s="59">
        <f ca="1">AVERAGE(OFFSET($CC$3,0,0,'Données projet'!$E$12+1,1))-AVERAGE(OFFSET($H$3,0,0,'Données projet'!$E$12+1,1))</f>
        <v>214.34615950592251</v>
      </c>
      <c r="CE80" s="59">
        <f t="shared" si="94"/>
        <v>159.66077836853066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44.11146852138463</v>
      </c>
      <c r="CL80" s="21">
        <f>EXP(-LN(2)/25)*CL79+(1-EXP(-LN(2)/25))/(LN(2)/25)*Calculateur!CG80*Calculateur!CI80*VLOOKUP('Données projet'!$B$12,Paramètres!$A$1:$I$89,3,0)*0.475*44/12</f>
        <v>11.026182574865926</v>
      </c>
      <c r="CM80" s="21">
        <f>EXP(-LN(2)/2)*CM79+(1-EXP(-LN(2)/2))/(LN(2)/2)*CG80*CJ80*VLOOKUP('Données projet'!$B$12,Paramètres!$A$1:$I$89,3,0)*0.475*44/12</f>
        <v>0.42990913791283536</v>
      </c>
      <c r="CN80" s="22">
        <f t="shared" si="66"/>
        <v>55.567560234163395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36.504000000000033</v>
      </c>
      <c r="D81" s="11">
        <f t="shared" si="86"/>
        <v>11.067157525971385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367.21595283206005</v>
      </c>
      <c r="H81" s="67">
        <f t="shared" si="56"/>
        <v>376.18643269106684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-1.1368683772161603E-13</v>
      </c>
      <c r="O81" s="13">
        <f>N81*VLOOKUP('Données projet'!$B$9,Paramètres!$A$1:$I$89,3,0)*VLOOKUP('Données projet'!$B$9,Paramètres!$A$1:$I$89,5,0)</f>
        <v>-6.3550942286383367E-14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279.32192402750189</v>
      </c>
      <c r="T81" s="59">
        <f t="shared" si="88"/>
        <v>371.43572414443611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143.73071361143315</v>
      </c>
      <c r="AA81" s="21">
        <f>EXP(-LN(2)/25)*AA80+(1-EXP(-LN(2)/25))/(LN(2)/25)*Calculateur!V81*Calculateur!X81*VLOOKUP('Données projet'!$B$9,Paramètres!$A$1:$I$89,3,0)*0.475*44/12</f>
        <v>30.446178722631792</v>
      </c>
      <c r="AB81" s="21">
        <f>EXP(-LN(2)/2)*AB80+(1-EXP(-LN(2)/2))/(LN(2)/2)*V81*Y81*VLOOKUP('Données projet'!$B$9,Paramètres!$A$1:$I$89,3,0)*0.475*44/12</f>
        <v>1.1794770368888227E-2</v>
      </c>
      <c r="AC81" s="22">
        <f t="shared" si="57"/>
        <v>174.18868710443382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12.25961538461538</v>
      </c>
      <c r="AI81" s="13">
        <f>IF('Données projet'!$A$62&gt;35,AI80+AH81-AQ80,IF(A81&lt;'Données projet'!$A$62,$AF$205^A81,IF(A81='Données projet'!$A$62,'Données projet'!$B$62,AI80+AH81-AQ80)))</f>
        <v>389.34038461538427</v>
      </c>
      <c r="AJ81" s="13">
        <f>AI81*VLOOKUP('Données projet'!$B$10,Paramètres!$A$1:$I$89,3,0)*VLOOKUP('Données projet'!$B$10,Paramètres!$A$1:$I$89,5,0)</f>
        <v>182.21129999999985</v>
      </c>
      <c r="AK81" s="13">
        <f t="shared" si="89"/>
        <v>45.813809518844167</v>
      </c>
      <c r="AL81" s="20">
        <f t="shared" si="58"/>
        <v>397.14373241198672</v>
      </c>
      <c r="AM81" s="59">
        <f t="shared" si="59"/>
        <v>690.47706574532003</v>
      </c>
      <c r="AN81" s="59">
        <f ca="1">AVERAGE(OFFSET($AM$3,0,0,'Données projet'!$E$10+1,1))-AVERAGE(OFFSET($H$3,0,0,'Données projet'!$E$10+1,1))</f>
        <v>192.20041613277965</v>
      </c>
      <c r="AO81" s="59">
        <f t="shared" si="90"/>
        <v>132.76245212522417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59.296532913546315</v>
      </c>
      <c r="AV81" s="21">
        <f>EXP(-LN(2)/25)*AV80+(1-EXP(-LN(2)/25))/(LN(2)/25)*Calculateur!AQ81*Calculateur!AS81*VLOOKUP('Données projet'!$B$10,Paramètres!$A$1:$I$89,3,0)*0.475*44/12</f>
        <v>20.012735420705518</v>
      </c>
      <c r="AW81" s="21">
        <f>EXP(-LN(2)/2)*AW80+(1-EXP(-LN(2)/2))/(LN(2)/2)*AQ81*AT81*VLOOKUP('Données projet'!$B$10,Paramètres!$A$1:$I$89,3,0)*0.475*44/12</f>
        <v>2.0290199156627517</v>
      </c>
      <c r="AX81" s="21">
        <f t="shared" si="60"/>
        <v>81.338288249914598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>
        <f>BD81*VLOOKUP('Données projet'!$B$11,Paramètres!$A$1:$I$89,3,0)*VLOOKUP('Données projet'!$B$11,Paramètres!$A$1:$I$89,5,0)</f>
        <v>0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180.31844548479722</v>
      </c>
      <c r="BJ81" s="59">
        <f t="shared" si="92"/>
        <v>273.83237400307223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58.328012086233997</v>
      </c>
      <c r="BQ81" s="21">
        <f>EXP(-LN(2)/25)*BQ80+(1-EXP(-LN(2)/25))/(LN(2)/25)*Calculateur!BL81*Calculateur!BN81*VLOOKUP('Données projet'!$B$11,Paramètres!$A$1:$I$89,3,0)*0.475*44/12</f>
        <v>87.794681782598616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146.12269386883261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7.5584615384615343</v>
      </c>
      <c r="BY81" s="12">
        <f>IF('Données projet'!$A$114&gt;35,BY80+BX81-CG80,IF(A81&lt;'Données projet'!$A$114,$BV$205^A81,IF(A81='Données projet'!$A$114,'Données projet'!$B$114,BY80+BX81-CG80)))</f>
        <v>387.79076923076883</v>
      </c>
      <c r="BZ81" s="13">
        <f>BY81*VLOOKUP('Données projet'!$B$12,Paramètres!$A$1:$I$89,3,0)*VLOOKUP('Données projet'!$B$12,Paramètres!$A$1:$I$89,5,0)</f>
        <v>231.89887999999976</v>
      </c>
      <c r="CA81" s="13">
        <f t="shared" si="93"/>
        <v>56.693067102008662</v>
      </c>
      <c r="CB81" s="20">
        <f t="shared" si="64"/>
        <v>502.63097453599795</v>
      </c>
      <c r="CC81" s="59">
        <f t="shared" si="65"/>
        <v>795.96430786933126</v>
      </c>
      <c r="CD81" s="59">
        <f ca="1">AVERAGE(OFFSET($CC$3,0,0,'Données projet'!$E$12+1,1))-AVERAGE(OFFSET($H$3,0,0,'Données projet'!$E$12+1,1))</f>
        <v>214.34615950592251</v>
      </c>
      <c r="CE81" s="59">
        <f t="shared" si="94"/>
        <v>159.66077836853066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43.246469529019393</v>
      </c>
      <c r="CL81" s="21">
        <f>EXP(-LN(2)/25)*CL80+(1-EXP(-LN(2)/25))/(LN(2)/25)*Calculateur!CG81*Calculateur!CI81*VLOOKUP('Données projet'!$B$12,Paramètres!$A$1:$I$89,3,0)*0.475*44/12</f>
        <v>10.724671032514475</v>
      </c>
      <c r="CM81" s="21">
        <f>EXP(-LN(2)/2)*CM80+(1-EXP(-LN(2)/2))/(LN(2)/2)*CG81*CJ81*VLOOKUP('Données projet'!$B$12,Paramètres!$A$1:$I$89,3,0)*0.475*44/12</f>
        <v>0.3039916667122286</v>
      </c>
      <c r="CN81" s="22">
        <f t="shared" si="66"/>
        <v>54.2751322282461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36.972000000000037</v>
      </c>
      <c r="D82" s="11">
        <f t="shared" si="86"/>
        <v>11.192435453834337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371.79564209977411</v>
      </c>
      <c r="H82" s="67">
        <f t="shared" si="56"/>
        <v>377.21972508209484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-1.1368683772161603E-13</v>
      </c>
      <c r="O82" s="13">
        <f>N82*VLOOKUP('Données projet'!$B$9,Paramètres!$A$1:$I$89,3,0)*VLOOKUP('Données projet'!$B$9,Paramètres!$A$1:$I$89,5,0)</f>
        <v>-6.3550942286383367E-14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279.32192402750189</v>
      </c>
      <c r="T82" s="59">
        <f t="shared" si="88"/>
        <v>371.43572414443611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140.91224198459184</v>
      </c>
      <c r="AA82" s="21">
        <f>EXP(-LN(2)/25)*AA81+(1-EXP(-LN(2)/25))/(LN(2)/25)*Calculateur!V82*Calculateur!X82*VLOOKUP('Données projet'!$B$9,Paramètres!$A$1:$I$89,3,0)*0.475*44/12</f>
        <v>29.613626364366471</v>
      </c>
      <c r="AB82" s="21">
        <f>EXP(-LN(2)/2)*AB81+(1-EXP(-LN(2)/2))/(LN(2)/2)*V82*Y82*VLOOKUP('Données projet'!$B$9,Paramètres!$A$1:$I$89,3,0)*0.475*44/12</f>
        <v>8.3401621103790218E-3</v>
      </c>
      <c r="AC82" s="22">
        <f t="shared" si="57"/>
        <v>170.5342085110687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12.25961538461538</v>
      </c>
      <c r="AI82" s="13">
        <f>IF('Données projet'!$A$62&gt;35,AI81+AH82-AQ81,IF(A82&lt;'Données projet'!$A$62,$AF$205^A82,IF(A82='Données projet'!$A$62,'Données projet'!$B$62,AI81+AH82-AQ81)))</f>
        <v>401.59999999999962</v>
      </c>
      <c r="AJ82" s="13">
        <f>AI82*VLOOKUP('Données projet'!$B$10,Paramètres!$A$1:$I$89,3,0)*VLOOKUP('Données projet'!$B$10,Paramètres!$A$1:$I$89,5,0)</f>
        <v>187.94879999999981</v>
      </c>
      <c r="AK82" s="13">
        <f t="shared" si="89"/>
        <v>47.086175568004208</v>
      </c>
      <c r="AL82" s="20">
        <f t="shared" si="58"/>
        <v>409.35258244760695</v>
      </c>
      <c r="AM82" s="59">
        <f t="shared" si="59"/>
        <v>702.68591578094026</v>
      </c>
      <c r="AN82" s="59">
        <f ca="1">AVERAGE(OFFSET($AM$3,0,0,'Données projet'!$E$10+1,1))-AVERAGE(OFFSET($H$3,0,0,'Données projet'!$E$10+1,1))</f>
        <v>192.20041613277965</v>
      </c>
      <c r="AO82" s="59">
        <f t="shared" si="90"/>
        <v>132.76245212522417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58.133764070425521</v>
      </c>
      <c r="AV82" s="21">
        <f>EXP(-LN(2)/25)*AV81+(1-EXP(-LN(2)/25))/(LN(2)/25)*Calculateur!AQ82*Calculateur!AS82*VLOOKUP('Données projet'!$B$10,Paramètres!$A$1:$I$89,3,0)*0.475*44/12</f>
        <v>19.46548611820231</v>
      </c>
      <c r="AW82" s="21">
        <f>EXP(-LN(2)/2)*AW81+(1-EXP(-LN(2)/2))/(LN(2)/2)*AQ82*AT82*VLOOKUP('Données projet'!$B$10,Paramètres!$A$1:$I$89,3,0)*0.475*44/12</f>
        <v>1.4347337415276886</v>
      </c>
      <c r="AX82" s="21">
        <f t="shared" si="60"/>
        <v>79.033983930155529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>
        <f>BD82*VLOOKUP('Données projet'!$B$11,Paramètres!$A$1:$I$89,3,0)*VLOOKUP('Données projet'!$B$11,Paramètres!$A$1:$I$89,5,0)</f>
        <v>0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180.31844548479722</v>
      </c>
      <c r="BJ82" s="59">
        <f t="shared" si="92"/>
        <v>273.83237400307223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57.184235345797426</v>
      </c>
      <c r="BQ82" s="21">
        <f>EXP(-LN(2)/25)*BQ81+(1-EXP(-LN(2)/25))/(LN(2)/25)*Calculateur!BL82*Calculateur!BN82*VLOOKUP('Données projet'!$B$11,Paramètres!$A$1:$I$89,3,0)*0.475*44/12</f>
        <v>85.393931592331796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142.57816693812921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7.5584615384615343</v>
      </c>
      <c r="BY82" s="12">
        <f>IF('Données projet'!$A$114&gt;35,BY81+BX82-CG81,IF(A82&lt;'Données projet'!$A$114,$BV$205^A82,IF(A82='Données projet'!$A$114,'Données projet'!$B$114,BY81+BX82-CG81)))</f>
        <v>395.34923076923036</v>
      </c>
      <c r="BZ82" s="13">
        <f>BY82*VLOOKUP('Données projet'!$B$12,Paramètres!$A$1:$I$89,3,0)*VLOOKUP('Données projet'!$B$12,Paramètres!$A$1:$I$89,5,0)</f>
        <v>236.41883999999979</v>
      </c>
      <c r="CA82" s="13">
        <f t="shared" si="93"/>
        <v>57.668353588027863</v>
      </c>
      <c r="CB82" s="20">
        <f t="shared" si="64"/>
        <v>512.20186216581476</v>
      </c>
      <c r="CC82" s="59">
        <f t="shared" si="65"/>
        <v>805.53519549914813</v>
      </c>
      <c r="CD82" s="59">
        <f ca="1">AVERAGE(OFFSET($CC$3,0,0,'Données projet'!$E$12+1,1))-AVERAGE(OFFSET($H$3,0,0,'Données projet'!$E$12+1,1))</f>
        <v>214.34615950592251</v>
      </c>
      <c r="CE82" s="59">
        <f t="shared" si="94"/>
        <v>159.66077836853066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42.398432639297148</v>
      </c>
      <c r="CL82" s="21">
        <f>EXP(-LN(2)/25)*CL81+(1-EXP(-LN(2)/25))/(LN(2)/25)*Calculateur!CG82*Calculateur!CI82*VLOOKUP('Données projet'!$B$12,Paramètres!$A$1:$I$89,3,0)*0.475*44/12</f>
        <v>10.431404339144429</v>
      </c>
      <c r="CM82" s="21">
        <f>EXP(-LN(2)/2)*CM81+(1-EXP(-LN(2)/2))/(LN(2)/2)*CG82*CJ82*VLOOKUP('Données projet'!$B$12,Paramètres!$A$1:$I$89,3,0)*0.475*44/12</f>
        <v>0.21495456895641774</v>
      </c>
      <c r="CN82" s="22">
        <f t="shared" si="66"/>
        <v>53.044791547397992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37.44000000000004</v>
      </c>
      <c r="D83" s="11">
        <f t="shared" si="86"/>
        <v>11.317528925689196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376.37390749654855</v>
      </c>
      <c r="H83" s="67">
        <f t="shared" si="56"/>
        <v>378.25269621224209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-1.1368683772161603E-13</v>
      </c>
      <c r="O83" s="13">
        <f>N83*VLOOKUP('Données projet'!$B$9,Paramètres!$A$1:$I$89,3,0)*VLOOKUP('Données projet'!$B$9,Paramètres!$A$1:$I$89,5,0)</f>
        <v>-6.3550942286383367E-14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279.32192402750189</v>
      </c>
      <c r="T83" s="59">
        <f t="shared" si="88"/>
        <v>371.43572414443611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138.14903886725494</v>
      </c>
      <c r="AA83" s="21">
        <f>EXP(-LN(2)/25)*AA82+(1-EXP(-LN(2)/25))/(LN(2)/25)*Calculateur!V83*Calculateur!X83*VLOOKUP('Données projet'!$B$9,Paramètres!$A$1:$I$89,3,0)*0.475*44/12</f>
        <v>28.803840194119942</v>
      </c>
      <c r="AB83" s="21">
        <f>EXP(-LN(2)/2)*AB82+(1-EXP(-LN(2)/2))/(LN(2)/2)*V83*Y83*VLOOKUP('Données projet'!$B$9,Paramètres!$A$1:$I$89,3,0)*0.475*44/12</f>
        <v>5.8973851844441134E-3</v>
      </c>
      <c r="AC83" s="22">
        <f t="shared" si="57"/>
        <v>166.95877644655934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12.25961538461538</v>
      </c>
      <c r="AI83" s="13">
        <f>IF('Données projet'!$A$62&gt;35,AI82+AH83-AQ82,IF(A83&lt;'Données projet'!$A$62,$AF$205^A83,IF(A83='Données projet'!$A$62,'Données projet'!$B$62,AI82+AH83-AQ82)))</f>
        <v>413.85961538461498</v>
      </c>
      <c r="AJ83" s="13">
        <f>AI83*VLOOKUP('Données projet'!$B$10,Paramètres!$A$1:$I$89,3,0)*VLOOKUP('Données projet'!$B$10,Paramètres!$A$1:$I$89,5,0)</f>
        <v>193.68629999999982</v>
      </c>
      <c r="AK83" s="13">
        <f t="shared" si="89"/>
        <v>48.354027757017739</v>
      </c>
      <c r="AL83" s="20">
        <f t="shared" si="58"/>
        <v>421.55357084347224</v>
      </c>
      <c r="AM83" s="59">
        <f t="shared" si="59"/>
        <v>714.8869041768055</v>
      </c>
      <c r="AN83" s="59">
        <f ca="1">AVERAGE(OFFSET($AM$3,0,0,'Données projet'!$E$10+1,1))-AVERAGE(OFFSET($H$3,0,0,'Données projet'!$E$10+1,1))</f>
        <v>192.20041613277965</v>
      </c>
      <c r="AO83" s="59">
        <f t="shared" si="90"/>
        <v>132.76245212522417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56.993796415099361</v>
      </c>
      <c r="AV83" s="21">
        <f>EXP(-LN(2)/25)*AV82+(1-EXP(-LN(2)/25))/(LN(2)/25)*Calculateur!AQ83*Calculateur!AS83*VLOOKUP('Données projet'!$B$10,Paramètres!$A$1:$I$89,3,0)*0.475*44/12</f>
        <v>18.933201376654644</v>
      </c>
      <c r="AW83" s="21">
        <f>EXP(-LN(2)/2)*AW82+(1-EXP(-LN(2)/2))/(LN(2)/2)*AQ83*AT83*VLOOKUP('Données projet'!$B$10,Paramètres!$A$1:$I$89,3,0)*0.475*44/12</f>
        <v>1.0145099578313761</v>
      </c>
      <c r="AX83" s="21">
        <f t="shared" si="60"/>
        <v>76.941507749585384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>
        <f>BD83*VLOOKUP('Données projet'!$B$11,Paramètres!$A$1:$I$89,3,0)*VLOOKUP('Données projet'!$B$11,Paramètres!$A$1:$I$89,5,0)</f>
        <v>0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180.31844548479722</v>
      </c>
      <c r="BJ83" s="59">
        <f t="shared" si="92"/>
        <v>273.83237400307223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56.062887369605889</v>
      </c>
      <c r="BQ83" s="21">
        <f>EXP(-LN(2)/25)*BQ82+(1-EXP(-LN(2)/25))/(LN(2)/25)*Calculateur!BL83*Calculateur!BN83*VLOOKUP('Données projet'!$B$11,Paramètres!$A$1:$I$89,3,0)*0.475*44/12</f>
        <v>83.058830042267786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139.12171741187368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402.90769230769229</v>
      </c>
      <c r="BW83" s="12">
        <f>VLOOKUP(A83,'Données projet'!$A$113:$I$133,9,0)</f>
        <v>7.5584615384615343</v>
      </c>
      <c r="BX83" s="12">
        <f t="array" ref="BX83">INDEX(BW:BW,MIN(IF(ISNUMBER(BW83:BW279),ROW(BW83:BW279),"")))</f>
        <v>7.5584615384615343</v>
      </c>
      <c r="BY83" s="12">
        <f>IF('Données projet'!$A$114&gt;35,BY82+BX83-CG82,IF(A83&lt;'Données projet'!$A$114,$BV$205^A83,IF(A83='Données projet'!$A$114,'Données projet'!$B$114,BY82+BX83-CG82)))</f>
        <v>402.90769230769189</v>
      </c>
      <c r="BZ83" s="13">
        <f>BY83*VLOOKUP('Données projet'!$B$12,Paramètres!$A$1:$I$89,3,0)*VLOOKUP('Données projet'!$B$12,Paramètres!$A$1:$I$89,5,0)</f>
        <v>240.93879999999979</v>
      </c>
      <c r="CA83" s="13">
        <f t="shared" si="93"/>
        <v>58.64147195802866</v>
      </c>
      <c r="CB83" s="20">
        <f t="shared" si="64"/>
        <v>521.76897366023286</v>
      </c>
      <c r="CC83" s="59">
        <f t="shared" si="65"/>
        <v>815.10230699356612</v>
      </c>
      <c r="CD83" s="59">
        <f ca="1">AVERAGE(OFFSET($CC$3,0,0,'Données projet'!$E$12+1,1))-AVERAGE(OFFSET($H$3,0,0,'Données projet'!$E$12+1,1))</f>
        <v>214.34615950592251</v>
      </c>
      <c r="CE83" s="59">
        <f t="shared" si="94"/>
        <v>159.66077836853066</v>
      </c>
      <c r="CF83" s="15">
        <f>IF(ISNA(VLOOKUP(A83,'Données projet'!$A$113:$I$133,3,0)),0,VLOOKUP(A83,'Données projet'!$A$113:$I$133,3,0))</f>
        <v>8</v>
      </c>
      <c r="CG83" s="15">
        <f>IF(ISNA(VLOOKUP(A83,'Données projet'!$A$113:$I$133,4,0)),0,VLOOKUP(A83,'Données projet'!$A$113:$I$133,4,0))</f>
        <v>402.90769230769229</v>
      </c>
      <c r="CH83" s="16">
        <f>IF(ISNA(VLOOKUP(A83,'Données projet'!$A$113:$I$133,5,0)),0%,VLOOKUP(A83,'Données projet'!$A$113:$I$133,5,0)*VLOOKUP('Données projet'!$B$12,Paramètres!$A$1:$I$89,7,0))</f>
        <v>0.315</v>
      </c>
      <c r="CI83" s="16">
        <f>IF(ISNA(VLOOKUP(A83,'Données projet'!$A$113:$I$133,6,0)),0%,VLOOKUP(A83,'Données projet'!$A$113:$I$133,6,0)*VLOOKUP('Données projet'!$B$12,Paramètres!$A$1:$I$89,7,0))</f>
        <v>7.5600000000000001E-2</v>
      </c>
      <c r="CJ83" s="16">
        <f>IF(ISNA(VLOOKUP(A83,'Données projet'!$A$113:$I$133,7,0)),0%,VLOOKUP(A83,'Données projet'!$A$113:$I$133,7,0))</f>
        <v>0.13200000000000001</v>
      </c>
      <c r="CK83" s="21">
        <f>EXP(-LN(2)/35)*CK82+(1-EXP(-LN(2)/35))/(LN(2)/35)*CG83*CH83*VLOOKUP('Données projet'!$B$12,Paramètres!$A$1:$I$89,3,0)*0.475*44/12</f>
        <v>142.24759236085166</v>
      </c>
      <c r="CL83" s="21">
        <f>EXP(-LN(2)/25)*CL82+(1-EXP(-LN(2)/25))/(LN(2)/25)*Calculateur!CG83*Calculateur!CI83*VLOOKUP('Données projet'!$B$12,Paramètres!$A$1:$I$89,3,0)*0.475*44/12</f>
        <v>34.214352887737732</v>
      </c>
      <c r="CM83" s="21">
        <f>EXP(-LN(2)/2)*CM82+(1-EXP(-LN(2)/2))/(LN(2)/2)*CG83*CJ83*VLOOKUP('Données projet'!$B$12,Paramètres!$A$1:$I$89,3,0)*0.475*44/12</f>
        <v>36.161423056875712</v>
      </c>
      <c r="CN83" s="22">
        <f t="shared" si="66"/>
        <v>212.62336830546511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37.908000000000044</v>
      </c>
      <c r="D84" s="11">
        <f t="shared" si="86"/>
        <v>11.442440513882541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380.95076887909363</v>
      </c>
      <c r="H84" s="67">
        <f t="shared" si="56"/>
        <v>379.2853505616788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-1.1368683772161603E-13</v>
      </c>
      <c r="O84" s="13">
        <f>N84*VLOOKUP('Données projet'!$B$9,Paramètres!$A$1:$I$89,3,0)*VLOOKUP('Données projet'!$B$9,Paramètres!$A$1:$I$89,5,0)</f>
        <v>-6.3550942286383367E-14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279.32192402750189</v>
      </c>
      <c r="T84" s="59">
        <f t="shared" si="88"/>
        <v>371.43572414443611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135.44002047766153</v>
      </c>
      <c r="AA84" s="21">
        <f>EXP(-LN(2)/25)*AA83+(1-EXP(-LN(2)/25))/(LN(2)/25)*Calculateur!V84*Calculateur!X84*VLOOKUP('Données projet'!$B$9,Paramètres!$A$1:$I$89,3,0)*0.475*44/12</f>
        <v>28.01619766928361</v>
      </c>
      <c r="AB84" s="21">
        <f>EXP(-LN(2)/2)*AB83+(1-EXP(-LN(2)/2))/(LN(2)/2)*V84*Y84*VLOOKUP('Données projet'!$B$9,Paramètres!$A$1:$I$89,3,0)*0.475*44/12</f>
        <v>4.1700810551895109E-3</v>
      </c>
      <c r="AC84" s="22">
        <f t="shared" si="57"/>
        <v>163.46038822800031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12.25961538461538</v>
      </c>
      <c r="AI84" s="13">
        <f>IF('Données projet'!$A$62&gt;35,AI83+AH84-AQ83,IF(A84&lt;'Données projet'!$A$62,$AF$205^A84,IF(A84='Données projet'!$A$62,'Données projet'!$B$62,AI83+AH84-AQ83)))</f>
        <v>426.11923076923034</v>
      </c>
      <c r="AJ84" s="13">
        <f>AI84*VLOOKUP('Données projet'!$B$10,Paramètres!$A$1:$I$89,3,0)*VLOOKUP('Données projet'!$B$10,Paramètres!$A$1:$I$89,5,0)</f>
        <v>199.4237999999998</v>
      </c>
      <c r="AK84" s="13">
        <f t="shared" si="89"/>
        <v>49.617515149618207</v>
      </c>
      <c r="AL84" s="20">
        <f t="shared" si="58"/>
        <v>433.746957218918</v>
      </c>
      <c r="AM84" s="59">
        <f t="shared" si="59"/>
        <v>727.08029055225131</v>
      </c>
      <c r="AN84" s="59">
        <f ca="1">AVERAGE(OFFSET($AM$3,0,0,'Données projet'!$E$10+1,1))-AVERAGE(OFFSET($H$3,0,0,'Données projet'!$E$10+1,1))</f>
        <v>192.20041613277965</v>
      </c>
      <c r="AO84" s="59">
        <f t="shared" si="90"/>
        <v>132.76245212522417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55.876182830182536</v>
      </c>
      <c r="AV84" s="21">
        <f>EXP(-LN(2)/25)*AV83+(1-EXP(-LN(2)/25))/(LN(2)/25)*Calculateur!AQ84*Calculateur!AS84*VLOOKUP('Données projet'!$B$10,Paramètres!$A$1:$I$89,3,0)*0.475*44/12</f>
        <v>18.415471989356234</v>
      </c>
      <c r="AW84" s="21">
        <f>EXP(-LN(2)/2)*AW83+(1-EXP(-LN(2)/2))/(LN(2)/2)*AQ84*AT84*VLOOKUP('Données projet'!$B$10,Paramètres!$A$1:$I$89,3,0)*0.475*44/12</f>
        <v>0.71736687076384442</v>
      </c>
      <c r="AX84" s="21">
        <f t="shared" si="60"/>
        <v>75.009021690302603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180.31844548479722</v>
      </c>
      <c r="BJ84" s="59">
        <f t="shared" si="92"/>
        <v>273.83237400307223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54.963528343272742</v>
      </c>
      <c r="BQ84" s="21">
        <f>EXP(-LN(2)/25)*BQ83+(1-EXP(-LN(2)/25))/(LN(2)/25)*Calculateur!BL84*Calculateur!BN84*VLOOKUP('Données projet'!$B$11,Paramètres!$A$1:$I$89,3,0)*0.475*44/12</f>
        <v>80.787581966887942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135.7511103101607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-3.979039320256561E-13</v>
      </c>
      <c r="BZ84" s="13">
        <f>BY84*VLOOKUP('Données projet'!$B$12,Paramètres!$A$1:$I$89,3,0)*VLOOKUP('Données projet'!$B$12,Paramètres!$A$1:$I$89,5,0)</f>
        <v>-2.379465513513424E-13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214.34615950592251</v>
      </c>
      <c r="CE84" s="59">
        <f t="shared" si="94"/>
        <v>159.66077836853066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139.45820383711961</v>
      </c>
      <c r="CL84" s="21">
        <f>EXP(-LN(2)/25)*CL83+(1-EXP(-LN(2)/25))/(LN(2)/25)*Calculateur!CG84*Calculateur!CI84*VLOOKUP('Données projet'!$B$12,Paramètres!$A$1:$I$89,3,0)*0.475*44/12</f>
        <v>33.27875960876792</v>
      </c>
      <c r="CM84" s="21">
        <f>EXP(-LN(2)/2)*CM83+(1-EXP(-LN(2)/2))/(LN(2)/2)*CG84*CJ84*VLOOKUP('Données projet'!$B$12,Paramètres!$A$1:$I$89,3,0)*0.475*44/12</f>
        <v>25.56998746087239</v>
      </c>
      <c r="CN84" s="22">
        <f t="shared" si="66"/>
        <v>198.30695090675994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38.376000000000047</v>
      </c>
      <c r="D85" s="11">
        <f t="shared" si="86"/>
        <v>11.567172723592876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385.52624558562957</v>
      </c>
      <c r="H85" s="67">
        <f t="shared" si="56"/>
        <v>380.31769249359098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-1.1368683772161603E-13</v>
      </c>
      <c r="O85" s="13">
        <f>N85*VLOOKUP('Données projet'!$B$9,Paramètres!$A$1:$I$89,3,0)*VLOOKUP('Données projet'!$B$9,Paramètres!$A$1:$I$89,5,0)</f>
        <v>-6.3550942286383367E-14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279.32192402750189</v>
      </c>
      <c r="T85" s="59">
        <f t="shared" si="88"/>
        <v>371.43572414443611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132.78412428634999</v>
      </c>
      <c r="AA85" s="21">
        <f>EXP(-LN(2)/25)*AA84+(1-EXP(-LN(2)/25))/(LN(2)/25)*Calculateur!V85*Calculateur!X85*VLOOKUP('Données projet'!$B$9,Paramètres!$A$1:$I$89,3,0)*0.475*44/12</f>
        <v>27.250093270709247</v>
      </c>
      <c r="AB85" s="21">
        <f>EXP(-LN(2)/2)*AB84+(1-EXP(-LN(2)/2))/(LN(2)/2)*V85*Y85*VLOOKUP('Données projet'!$B$9,Paramètres!$A$1:$I$89,3,0)*0.475*44/12</f>
        <v>2.9486925922220567E-3</v>
      </c>
      <c r="AC85" s="22">
        <f t="shared" si="57"/>
        <v>160.03716624965145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12.25961538461538</v>
      </c>
      <c r="AI85" s="13">
        <f>IF('Données projet'!$A$62&gt;35,AI84+AH85-AQ84,IF(A85&lt;'Données projet'!$A$62,$AF$205^A85,IF(A85='Données projet'!$A$62,'Données projet'!$B$62,AI84+AH85-AQ84)))</f>
        <v>438.3788461538457</v>
      </c>
      <c r="AJ85" s="13">
        <f>AI85*VLOOKUP('Données projet'!$B$10,Paramètres!$A$1:$I$89,3,0)*VLOOKUP('Données projet'!$B$10,Paramètres!$A$1:$I$89,5,0)</f>
        <v>205.16129999999978</v>
      </c>
      <c r="AK85" s="13">
        <f t="shared" si="89"/>
        <v>50.876777744497439</v>
      </c>
      <c r="AL85" s="20">
        <f t="shared" si="58"/>
        <v>445.93298540499927</v>
      </c>
      <c r="AM85" s="59">
        <f t="shared" si="59"/>
        <v>739.26631873833253</v>
      </c>
      <c r="AN85" s="59">
        <f ca="1">AVERAGE(OFFSET($AM$3,0,0,'Données projet'!$E$10+1,1))-AVERAGE(OFFSET($H$3,0,0,'Données projet'!$E$10+1,1))</f>
        <v>192.20041613277965</v>
      </c>
      <c r="AO85" s="59">
        <f t="shared" si="90"/>
        <v>132.76245212522417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54.780484965988954</v>
      </c>
      <c r="AV85" s="21">
        <f>EXP(-LN(2)/25)*AV84+(1-EXP(-LN(2)/25))/(LN(2)/25)*Calculateur!AQ85*Calculateur!AS85*VLOOKUP('Données projet'!$B$10,Paramètres!$A$1:$I$89,3,0)*0.475*44/12</f>
        <v>17.911899939379705</v>
      </c>
      <c r="AW85" s="21">
        <f>EXP(-LN(2)/2)*AW84+(1-EXP(-LN(2)/2))/(LN(2)/2)*AQ85*AT85*VLOOKUP('Données projet'!$B$10,Paramètres!$A$1:$I$89,3,0)*0.475*44/12</f>
        <v>0.50725497891568805</v>
      </c>
      <c r="AX85" s="21">
        <f t="shared" si="60"/>
        <v>73.199639884284338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180.31844548479722</v>
      </c>
      <c r="BJ85" s="59">
        <f t="shared" si="92"/>
        <v>273.83237400307223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53.885727076903187</v>
      </c>
      <c r="BQ85" s="21">
        <f>EXP(-LN(2)/25)*BQ84+(1-EXP(-LN(2)/25))/(LN(2)/25)*Calculateur!BL85*Calculateur!BN85*VLOOKUP('Données projet'!$B$11,Paramètres!$A$1:$I$89,3,0)*0.475*44/12</f>
        <v>78.578441289569099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132.46416836647228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-3.979039320256561E-13</v>
      </c>
      <c r="BZ85" s="13">
        <f>BY85*VLOOKUP('Données projet'!$B$12,Paramètres!$A$1:$I$89,3,0)*VLOOKUP('Données projet'!$B$12,Paramètres!$A$1:$I$89,5,0)</f>
        <v>-2.379465513513424E-13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214.34615950592251</v>
      </c>
      <c r="CE85" s="59">
        <f t="shared" si="94"/>
        <v>159.66077836853066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136.72351352097894</v>
      </c>
      <c r="CL85" s="21">
        <f>EXP(-LN(2)/25)*CL84+(1-EXP(-LN(2)/25))/(LN(2)/25)*Calculateur!CG85*Calculateur!CI85*VLOOKUP('Données projet'!$B$12,Paramètres!$A$1:$I$89,3,0)*0.475*44/12</f>
        <v>32.368750177212256</v>
      </c>
      <c r="CM85" s="21">
        <f>EXP(-LN(2)/2)*CM84+(1-EXP(-LN(2)/2))/(LN(2)/2)*CG85*CJ85*VLOOKUP('Données projet'!$B$12,Paramètres!$A$1:$I$89,3,0)*0.475*44/12</f>
        <v>18.08071152843786</v>
      </c>
      <c r="CN85" s="22">
        <f t="shared" si="66"/>
        <v>187.17297522662906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38.844000000000051</v>
      </c>
      <c r="D86" s="11">
        <f t="shared" si="86"/>
        <v>11.691727995381735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390.10035645557872</v>
      </c>
      <c r="H86" s="67">
        <f t="shared" si="56"/>
        <v>381.34972625862326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-1.1368683772161603E-13</v>
      </c>
      <c r="O86" s="13">
        <f>N86*VLOOKUP('Données projet'!$B$9,Paramètres!$A$1:$I$89,3,0)*VLOOKUP('Données projet'!$B$9,Paramètres!$A$1:$I$89,5,0)</f>
        <v>-6.3550942286383367E-14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279.32192402750189</v>
      </c>
      <c r="T86" s="59">
        <f t="shared" si="88"/>
        <v>371.43572414443611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130.18030859941337</v>
      </c>
      <c r="AA86" s="21">
        <f>EXP(-LN(2)/25)*AA85+(1-EXP(-LN(2)/25))/(LN(2)/25)*Calculateur!V86*Calculateur!X86*VLOOKUP('Données projet'!$B$9,Paramètres!$A$1:$I$89,3,0)*0.475*44/12</f>
        <v>26.50493803720158</v>
      </c>
      <c r="AB86" s="21">
        <f>EXP(-LN(2)/2)*AB85+(1-EXP(-LN(2)/2))/(LN(2)/2)*V86*Y86*VLOOKUP('Données projet'!$B$9,Paramètres!$A$1:$I$89,3,0)*0.475*44/12</f>
        <v>2.0850405275947555E-3</v>
      </c>
      <c r="AC86" s="22">
        <f t="shared" si="57"/>
        <v>156.68733167714254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>
        <f>VLOOKUP(A86,'Données projet'!$A$61:$I$81,2,0)</f>
        <v>450.63846153846146</v>
      </c>
      <c r="AG86" s="12">
        <f>VLOOKUP(A86,'Données projet'!$A$61:$I$81,9,0)</f>
        <v>12.25961538461538</v>
      </c>
      <c r="AH86" s="12">
        <f t="array" ref="AH86">INDEX(AG:AG,MIN(IF(ISNUMBER(AG86:AG282),ROW(AG86:AG282),"")))</f>
        <v>12.25961538461538</v>
      </c>
      <c r="AI86" s="13">
        <f>IF('Données projet'!$A$62&gt;35,AI85+AH86-AQ85,IF(A86&lt;'Données projet'!$A$62,$AF$205^A86,IF(A86='Données projet'!$A$62,'Données projet'!$B$62,AI85+AH86-AQ85)))</f>
        <v>450.63846153846106</v>
      </c>
      <c r="AJ86" s="13">
        <f>AI86*VLOOKUP('Données projet'!$B$10,Paramètres!$A$1:$I$89,3,0)*VLOOKUP('Données projet'!$B$10,Paramètres!$A$1:$I$89,5,0)</f>
        <v>210.8987999999998</v>
      </c>
      <c r="AK86" s="13">
        <f t="shared" si="89"/>
        <v>52.131947264479528</v>
      </c>
      <c r="AL86" s="20">
        <f t="shared" si="58"/>
        <v>458.11188481896812</v>
      </c>
      <c r="AM86" s="59">
        <f t="shared" si="59"/>
        <v>751.44521815230144</v>
      </c>
      <c r="AN86" s="59">
        <f ca="1">AVERAGE(OFFSET($AM$3,0,0,'Données projet'!$E$10+1,1))-AVERAGE(OFFSET($H$3,0,0,'Données projet'!$E$10+1,1))</f>
        <v>192.20041613277965</v>
      </c>
      <c r="AO86" s="59">
        <f t="shared" si="90"/>
        <v>132.76245212522417</v>
      </c>
      <c r="AP86" s="15">
        <f>IF(ISNA(VLOOKUP(A86,'Données projet'!$A$61:$I$81,3,0)),0,VLOOKUP(A86,'Données projet'!$A$61:$I$81,3,0))</f>
        <v>6</v>
      </c>
      <c r="AQ86" s="15">
        <f>IF(ISNA(VLOOKUP(A86,'Données projet'!$A$61:$I$81,4,0)),0,VLOOKUP(A86,'Données projet'!$A$61:$I$81,4,0))</f>
        <v>79.707692307692312</v>
      </c>
      <c r="AR86" s="16">
        <f>IF(ISNA(VLOOKUP(A86,'Données projet'!$A$61:$I$81,5,0)),0%,VLOOKUP(A86,'Données projet'!$A$61:$I$81,5,0)*VLOOKUP('Données projet'!$B$10,Paramètres!$A$1:$I$89,7,0))</f>
        <v>0.38500000000000001</v>
      </c>
      <c r="AS86" s="16">
        <f>IF(ISNA(VLOOKUP(A86,'Données projet'!$A$61:$I$81,6,0)),0%,VLOOKUP(A86,'Données projet'!$A$61:$I$81,6,0)*VLOOKUP('Données projet'!$B$10,Paramètres!$A$1:$I$89,7,0))</f>
        <v>9.240000000000001E-2</v>
      </c>
      <c r="AT86" s="16">
        <f>IF(ISNA(VLOOKUP(A86,'Données projet'!$A$61:$I$81,7,0)),0%,VLOOKUP(A86,'Données projet'!$A$61:$I$81,7,0))</f>
        <v>0.13200000000000001</v>
      </c>
      <c r="AU86" s="21">
        <f>EXP(-LN(2)/35)*AU85+(1-EXP(-LN(2)/35))/(LN(2)/35)*AQ86*AR86*VLOOKUP('Données projet'!$B$10,Paramètres!$A$1:$I$89,3,0)*0.475*44/12</f>
        <v>72.758036258351126</v>
      </c>
      <c r="AV86" s="21">
        <f>EXP(-LN(2)/25)*AV85+(1-EXP(-LN(2)/25))/(LN(2)/25)*Calculateur!AQ86*Calculateur!AS86*VLOOKUP('Données projet'!$B$10,Paramètres!$A$1:$I$89,3,0)*0.475*44/12</f>
        <v>21.976517886898613</v>
      </c>
      <c r="AW86" s="21">
        <f>EXP(-LN(2)/2)*AW85+(1-EXP(-LN(2)/2))/(LN(2)/2)*AQ86*AT86*VLOOKUP('Données projet'!$B$10,Paramètres!$A$1:$I$89,3,0)*0.475*44/12</f>
        <v>5.9338206304057053</v>
      </c>
      <c r="AX86" s="21">
        <f t="shared" si="60"/>
        <v>100.66837477565545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180.31844548479722</v>
      </c>
      <c r="BJ86" s="59">
        <f t="shared" si="92"/>
        <v>273.83237400307223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52.82906083597328</v>
      </c>
      <c r="BQ86" s="21">
        <f>EXP(-LN(2)/25)*BQ85+(1-EXP(-LN(2)/25))/(LN(2)/25)*Calculateur!BL86*Calculateur!BN86*VLOOKUP('Données projet'!$B$11,Paramètres!$A$1:$I$89,3,0)*0.475*44/12</f>
        <v>76.429709680245196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129.25877051621848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-3.979039320256561E-13</v>
      </c>
      <c r="BZ86" s="13">
        <f>BY86*VLOOKUP('Données projet'!$B$12,Paramètres!$A$1:$I$89,3,0)*VLOOKUP('Données projet'!$B$12,Paramètres!$A$1:$I$89,5,0)</f>
        <v>-2.379465513513424E-13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214.34615950592251</v>
      </c>
      <c r="CE86" s="59">
        <f t="shared" si="94"/>
        <v>159.66077836853066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134.04244881394141</v>
      </c>
      <c r="CL86" s="21">
        <f>EXP(-LN(2)/25)*CL85+(1-EXP(-LN(2)/25))/(LN(2)/25)*Calculateur!CG86*Calculateur!CI86*VLOOKUP('Données projet'!$B$12,Paramètres!$A$1:$I$89,3,0)*0.475*44/12</f>
        <v>31.483625001417796</v>
      </c>
      <c r="CM86" s="21">
        <f>EXP(-LN(2)/2)*CM85+(1-EXP(-LN(2)/2))/(LN(2)/2)*CG86*CJ86*VLOOKUP('Données projet'!$B$12,Paramètres!$A$1:$I$89,3,0)*0.475*44/12</f>
        <v>12.784993730436197</v>
      </c>
      <c r="CN86" s="22">
        <f t="shared" si="66"/>
        <v>178.3110675457954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39.312000000000054</v>
      </c>
      <c r="D87" s="11">
        <f t="shared" si="86"/>
        <v>11.816108707618415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394.67311984828297</v>
      </c>
      <c r="H87" s="67">
        <f t="shared" si="56"/>
        <v>382.38145599910212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-1.1368683772161603E-13</v>
      </c>
      <c r="O87" s="13">
        <f>N87*VLOOKUP('Données projet'!$B$9,Paramètres!$A$1:$I$89,3,0)*VLOOKUP('Données projet'!$B$9,Paramètres!$A$1:$I$89,5,0)</f>
        <v>-6.3550942286383367E-14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279.32192402750189</v>
      </c>
      <c r="T87" s="59">
        <f t="shared" si="88"/>
        <v>371.43572414443611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127.6275521499268</v>
      </c>
      <c r="AA87" s="21">
        <f>EXP(-LN(2)/25)*AA86+(1-EXP(-LN(2)/25))/(LN(2)/25)*Calculateur!V87*Calculateur!X87*VLOOKUP('Données projet'!$B$9,Paramètres!$A$1:$I$89,3,0)*0.475*44/12</f>
        <v>25.78015911274019</v>
      </c>
      <c r="AB87" s="21">
        <f>EXP(-LN(2)/2)*AB86+(1-EXP(-LN(2)/2))/(LN(2)/2)*V87*Y87*VLOOKUP('Données projet'!$B$9,Paramètres!$A$1:$I$89,3,0)*0.475*44/12</f>
        <v>1.4743462961110284E-3</v>
      </c>
      <c r="AC87" s="22">
        <f t="shared" si="57"/>
        <v>153.4091856089631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11.328846153846158</v>
      </c>
      <c r="AI87" s="13">
        <f>IF('Données projet'!$A$62&gt;35,AI86+AH87-AQ86,IF(A87&lt;'Données projet'!$A$62,$AF$205^A87,IF(A87='Données projet'!$A$62,'Données projet'!$B$62,AI86+AH87-AQ86)))</f>
        <v>382.2596153846149</v>
      </c>
      <c r="AJ87" s="13">
        <f>AI87*VLOOKUP('Données projet'!$B$10,Paramètres!$A$1:$I$89,3,0)*VLOOKUP('Données projet'!$B$10,Paramètres!$A$1:$I$89,5,0)</f>
        <v>178.89749999999978</v>
      </c>
      <c r="AK87" s="13">
        <f t="shared" si="89"/>
        <v>45.076812590668659</v>
      </c>
      <c r="AL87" s="20">
        <f t="shared" si="58"/>
        <v>390.08859442874746</v>
      </c>
      <c r="AM87" s="59">
        <f t="shared" si="59"/>
        <v>683.42192776208071</v>
      </c>
      <c r="AN87" s="59">
        <f ca="1">AVERAGE(OFFSET($AM$3,0,0,'Données projet'!$E$10+1,1))-AVERAGE(OFFSET($H$3,0,0,'Données projet'!$E$10+1,1))</f>
        <v>192.20041613277965</v>
      </c>
      <c r="AO87" s="59">
        <f t="shared" si="90"/>
        <v>132.76245212522417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71.331295545345014</v>
      </c>
      <c r="AV87" s="21">
        <f>EXP(-LN(2)/25)*AV86+(1-EXP(-LN(2)/25))/(LN(2)/25)*Calculateur!AQ87*Calculateur!AS87*VLOOKUP('Données projet'!$B$10,Paramètres!$A$1:$I$89,3,0)*0.475*44/12</f>
        <v>21.375568849586521</v>
      </c>
      <c r="AW87" s="21">
        <f>EXP(-LN(2)/2)*AW86+(1-EXP(-LN(2)/2))/(LN(2)/2)*AQ87*AT87*VLOOKUP('Données projet'!$B$10,Paramètres!$A$1:$I$89,3,0)*0.475*44/12</f>
        <v>4.1958448061045086</v>
      </c>
      <c r="AX87" s="21">
        <f t="shared" si="60"/>
        <v>96.902709201036032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180.31844548479722</v>
      </c>
      <c r="BJ87" s="59">
        <f t="shared" si="92"/>
        <v>273.83237400307223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51.793115175525244</v>
      </c>
      <c r="BQ87" s="21">
        <f>EXP(-LN(2)/25)*BQ86+(1-EXP(-LN(2)/25))/(LN(2)/25)*Calculateur!BL87*Calculateur!BN87*VLOOKUP('Données projet'!$B$11,Paramètres!$A$1:$I$89,3,0)*0.475*44/12</f>
        <v>74.339735249775146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126.13285042530039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-3.979039320256561E-13</v>
      </c>
      <c r="BZ87" s="13">
        <f>BY87*VLOOKUP('Données projet'!$B$12,Paramètres!$A$1:$I$89,3,0)*VLOOKUP('Données projet'!$B$12,Paramètres!$A$1:$I$89,5,0)</f>
        <v>-2.379465513513424E-13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214.34615950592251</v>
      </c>
      <c r="CE87" s="59">
        <f t="shared" si="94"/>
        <v>159.66077836853066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131.41395815052087</v>
      </c>
      <c r="CL87" s="21">
        <f>EXP(-LN(2)/25)*CL86+(1-EXP(-LN(2)/25))/(LN(2)/25)*Calculateur!CG87*Calculateur!CI87*VLOOKUP('Données projet'!$B$12,Paramètres!$A$1:$I$89,3,0)*0.475*44/12</f>
        <v>30.622703620102143</v>
      </c>
      <c r="CM87" s="21">
        <f>EXP(-LN(2)/2)*CM86+(1-EXP(-LN(2)/2))/(LN(2)/2)*CG87*CJ87*VLOOKUP('Données projet'!$B$12,Paramètres!$A$1:$I$89,3,0)*0.475*44/12</f>
        <v>9.0403557642189298</v>
      </c>
      <c r="CN87" s="22">
        <f t="shared" si="66"/>
        <v>171.07701753484196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39.780000000000058</v>
      </c>
      <c r="D88" s="11">
        <f t="shared" si="86"/>
        <v>11.940317178785941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399.24455366080423</v>
      </c>
      <c r="H88" s="67">
        <f t="shared" si="56"/>
        <v>383.41288575305225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-1.1368683772161603E-13</v>
      </c>
      <c r="O88" s="13">
        <f>N88*VLOOKUP('Données projet'!$B$9,Paramètres!$A$1:$I$89,3,0)*VLOOKUP('Données projet'!$B$9,Paramètres!$A$1:$I$89,5,0)</f>
        <v>-6.3550942286383367E-14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279.32192402750189</v>
      </c>
      <c r="T88" s="59">
        <f t="shared" si="88"/>
        <v>371.43572414443611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125.12485369738698</v>
      </c>
      <c r="AA88" s="21">
        <f>EXP(-LN(2)/25)*AA87+(1-EXP(-LN(2)/25))/(LN(2)/25)*Calculateur!V88*Calculateur!X88*VLOOKUP('Données projet'!$B$9,Paramètres!$A$1:$I$89,3,0)*0.475*44/12</f>
        <v>25.075199306082663</v>
      </c>
      <c r="AB88" s="21">
        <f>EXP(-LN(2)/2)*AB87+(1-EXP(-LN(2)/2))/(LN(2)/2)*V88*Y88*VLOOKUP('Données projet'!$B$9,Paramètres!$A$1:$I$89,3,0)*0.475*44/12</f>
        <v>1.0425202637973777E-3</v>
      </c>
      <c r="AC88" s="22">
        <f t="shared" si="57"/>
        <v>150.20109552373344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11.328846153846158</v>
      </c>
      <c r="AI88" s="13">
        <f>IF('Données projet'!$A$62&gt;35,AI87+AH88-AQ87,IF(A88&lt;'Données projet'!$A$62,$AF$205^A88,IF(A88='Données projet'!$A$62,'Données projet'!$B$62,AI87+AH88-AQ87)))</f>
        <v>393.58846153846105</v>
      </c>
      <c r="AJ88" s="13">
        <f>AI88*VLOOKUP('Données projet'!$B$10,Paramètres!$A$1:$I$89,3,0)*VLOOKUP('Données projet'!$B$10,Paramètres!$A$1:$I$89,5,0)</f>
        <v>184.19939999999977</v>
      </c>
      <c r="AK88" s="13">
        <f t="shared" si="89"/>
        <v>46.255217593493356</v>
      </c>
      <c r="AL88" s="20">
        <f t="shared" si="58"/>
        <v>401.37512564200051</v>
      </c>
      <c r="AM88" s="59">
        <f t="shared" si="59"/>
        <v>694.70845897533377</v>
      </c>
      <c r="AN88" s="59">
        <f ca="1">AVERAGE(OFFSET($AM$3,0,0,'Données projet'!$E$10+1,1))-AVERAGE(OFFSET($H$3,0,0,'Données projet'!$E$10+1,1))</f>
        <v>192.20041613277965</v>
      </c>
      <c r="AO88" s="59">
        <f t="shared" si="90"/>
        <v>132.76245212522417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69.932532347495041</v>
      </c>
      <c r="AV88" s="21">
        <f>EXP(-LN(2)/25)*AV87+(1-EXP(-LN(2)/25))/(LN(2)/25)*Calculateur!AQ88*Calculateur!AS88*VLOOKUP('Données projet'!$B$10,Paramètres!$A$1:$I$89,3,0)*0.475*44/12</f>
        <v>20.791052795302267</v>
      </c>
      <c r="AW88" s="21">
        <f>EXP(-LN(2)/2)*AW87+(1-EXP(-LN(2)/2))/(LN(2)/2)*AQ88*AT88*VLOOKUP('Données projet'!$B$10,Paramètres!$A$1:$I$89,3,0)*0.475*44/12</f>
        <v>2.9669103152028531</v>
      </c>
      <c r="AX88" s="21">
        <f t="shared" si="60"/>
        <v>93.690495458000157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180.31844548479722</v>
      </c>
      <c r="BJ88" s="59">
        <f t="shared" si="92"/>
        <v>273.83237400307223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50.77748377761413</v>
      </c>
      <c r="BQ88" s="21">
        <f>EXP(-LN(2)/25)*BQ87+(1-EXP(-LN(2)/25))/(LN(2)/25)*Calculateur!BL88*Calculateur!BN88*VLOOKUP('Données projet'!$B$11,Paramètres!$A$1:$I$89,3,0)*0.475*44/12</f>
        <v>72.306911280013267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123.0843950576274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-3.979039320256561E-13</v>
      </c>
      <c r="BZ88" s="13">
        <f>BY88*VLOOKUP('Données projet'!$B$12,Paramètres!$A$1:$I$89,3,0)*VLOOKUP('Données projet'!$B$12,Paramètres!$A$1:$I$89,5,0)</f>
        <v>-2.379465513513424E-13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214.34615950592251</v>
      </c>
      <c r="CE88" s="59">
        <f t="shared" si="94"/>
        <v>159.66077836853066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128.83701058578902</v>
      </c>
      <c r="CL88" s="21">
        <f>EXP(-LN(2)/25)*CL87+(1-EXP(-LN(2)/25))/(LN(2)/25)*Calculateur!CG88*Calculateur!CI88*VLOOKUP('Données projet'!$B$12,Paramètres!$A$1:$I$89,3,0)*0.475*44/12</f>
        <v>29.785324179232457</v>
      </c>
      <c r="CM88" s="21">
        <f>EXP(-LN(2)/2)*CM87+(1-EXP(-LN(2)/2))/(LN(2)/2)*CG88*CJ88*VLOOKUP('Données projet'!$B$12,Paramètres!$A$1:$I$89,3,0)*0.475*44/12</f>
        <v>6.3924968652180985</v>
      </c>
      <c r="CN88" s="22">
        <f t="shared" si="66"/>
        <v>165.01483163023957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40.248000000000062</v>
      </c>
      <c r="D89" s="11">
        <f t="shared" si="86"/>
        <v>12.064355669675374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403.81467534486302</v>
      </c>
      <c r="H89" s="67">
        <f t="shared" si="56"/>
        <v>384.44401945801803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-1.1368683772161603E-13</v>
      </c>
      <c r="O89" s="13">
        <f>N89*VLOOKUP('Données projet'!$B$9,Paramètres!$A$1:$I$89,3,0)*VLOOKUP('Données projet'!$B$9,Paramètres!$A$1:$I$89,5,0)</f>
        <v>-6.3550942286383367E-14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279.32192402750189</v>
      </c>
      <c r="T89" s="59">
        <f t="shared" si="88"/>
        <v>371.43572414443611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122.67123163500614</v>
      </c>
      <c r="AA89" s="21">
        <f>EXP(-LN(2)/25)*AA88+(1-EXP(-LN(2)/25))/(LN(2)/25)*Calculateur!V89*Calculateur!X89*VLOOKUP('Données projet'!$B$9,Paramètres!$A$1:$I$89,3,0)*0.475*44/12</f>
        <v>24.389516662410411</v>
      </c>
      <c r="AB89" s="21">
        <f>EXP(-LN(2)/2)*AB88+(1-EXP(-LN(2)/2))/(LN(2)/2)*V89*Y89*VLOOKUP('Données projet'!$B$9,Paramètres!$A$1:$I$89,3,0)*0.475*44/12</f>
        <v>7.3717314805551418E-4</v>
      </c>
      <c r="AC89" s="22">
        <f t="shared" si="57"/>
        <v>147.06148547056461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11.328846153846158</v>
      </c>
      <c r="AI89" s="13">
        <f>IF('Données projet'!$A$62&gt;35,AI88+AH89-AQ88,IF(A89&lt;'Données projet'!$A$62,$AF$205^A89,IF(A89='Données projet'!$A$62,'Données projet'!$B$62,AI88+AH89-AQ88)))</f>
        <v>404.91730769230719</v>
      </c>
      <c r="AJ89" s="13">
        <f>AI89*VLOOKUP('Données projet'!$B$10,Paramètres!$A$1:$I$89,3,0)*VLOOKUP('Données projet'!$B$10,Paramètres!$A$1:$I$89,5,0)</f>
        <v>189.50129999999976</v>
      </c>
      <c r="AK89" s="13">
        <f t="shared" si="89"/>
        <v>47.429680502809646</v>
      </c>
      <c r="AL89" s="20">
        <f t="shared" si="58"/>
        <v>412.65479104239301</v>
      </c>
      <c r="AM89" s="59">
        <f t="shared" si="59"/>
        <v>705.98812437572633</v>
      </c>
      <c r="AN89" s="59">
        <f ca="1">AVERAGE(OFFSET($AM$3,0,0,'Données projet'!$E$10+1,1))-AVERAGE(OFFSET($H$3,0,0,'Données projet'!$E$10+1,1))</f>
        <v>192.20041613277965</v>
      </c>
      <c r="AO89" s="59">
        <f t="shared" si="90"/>
        <v>132.76245212522417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68.561198042793606</v>
      </c>
      <c r="AV89" s="21">
        <f>EXP(-LN(2)/25)*AV88+(1-EXP(-LN(2)/25))/(LN(2)/25)*Calculateur!AQ89*Calculateur!AS89*VLOOKUP('Données projet'!$B$10,Paramètres!$A$1:$I$89,3,0)*0.475*44/12</f>
        <v>20.222520363260777</v>
      </c>
      <c r="AW89" s="21">
        <f>EXP(-LN(2)/2)*AW88+(1-EXP(-LN(2)/2))/(LN(2)/2)*AQ89*AT89*VLOOKUP('Données projet'!$B$10,Paramètres!$A$1:$I$89,3,0)*0.475*44/12</f>
        <v>2.0979224030522547</v>
      </c>
      <c r="AX89" s="21">
        <f t="shared" si="60"/>
        <v>90.881640809106642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180.31844548479722</v>
      </c>
      <c r="BJ89" s="59">
        <f t="shared" si="92"/>
        <v>273.83237400307223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49.781768291942065</v>
      </c>
      <c r="BQ89" s="21">
        <f>EXP(-LN(2)/25)*BQ88+(1-EXP(-LN(2)/25))/(LN(2)/25)*Calculateur!BL89*Calculateur!BN89*VLOOKUP('Données projet'!$B$11,Paramètres!$A$1:$I$89,3,0)*0.475*44/12</f>
        <v>70.329674988606101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120.11144328054817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-3.979039320256561E-13</v>
      </c>
      <c r="BZ89" s="13">
        <f>BY89*VLOOKUP('Données projet'!$B$12,Paramètres!$A$1:$I$89,3,0)*VLOOKUP('Données projet'!$B$12,Paramètres!$A$1:$I$89,5,0)</f>
        <v>-2.379465513513424E-13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214.34615950592251</v>
      </c>
      <c r="CE89" s="59">
        <f t="shared" si="94"/>
        <v>159.66077836853066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126.31059539101874</v>
      </c>
      <c r="CL89" s="21">
        <f>EXP(-LN(2)/25)*CL88+(1-EXP(-LN(2)/25))/(LN(2)/25)*Calculateur!CG89*Calculateur!CI89*VLOOKUP('Données projet'!$B$12,Paramètres!$A$1:$I$89,3,0)*0.475*44/12</f>
        <v>28.970842923209222</v>
      </c>
      <c r="CM89" s="21">
        <f>EXP(-LN(2)/2)*CM88+(1-EXP(-LN(2)/2))/(LN(2)/2)*CG89*CJ89*VLOOKUP('Données projet'!$B$12,Paramètres!$A$1:$I$89,3,0)*0.475*44/12</f>
        <v>4.5201778821094649</v>
      </c>
      <c r="CN89" s="22">
        <f t="shared" si="66"/>
        <v>159.80161619633742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40.716000000000065</v>
      </c>
      <c r="D90" s="11">
        <f t="shared" si="86"/>
        <v>12.188226385475193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408.38350192296684</v>
      </c>
      <c r="H90" s="67">
        <f t="shared" si="56"/>
        <v>385.47486095470271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-1.1368683772161603E-13</v>
      </c>
      <c r="O90" s="13">
        <f>N90*VLOOKUP('Données projet'!$B$9,Paramètres!$A$1:$I$89,3,0)*VLOOKUP('Données projet'!$B$9,Paramètres!$A$1:$I$89,5,0)</f>
        <v>-6.3550942286383367E-14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279.32192402750189</v>
      </c>
      <c r="T90" s="59">
        <f t="shared" si="88"/>
        <v>371.43572414443611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120.26572360470689</v>
      </c>
      <c r="AA90" s="21">
        <f>EXP(-LN(2)/25)*AA89+(1-EXP(-LN(2)/25))/(LN(2)/25)*Calculateur!V90*Calculateur!X90*VLOOKUP('Données projet'!$B$9,Paramètres!$A$1:$I$89,3,0)*0.475*44/12</f>
        <v>23.72258404668786</v>
      </c>
      <c r="AB90" s="21">
        <f>EXP(-LN(2)/2)*AB89+(1-EXP(-LN(2)/2))/(LN(2)/2)*V90*Y90*VLOOKUP('Données projet'!$B$9,Paramètres!$A$1:$I$89,3,0)*0.475*44/12</f>
        <v>5.2126013189868886E-4</v>
      </c>
      <c r="AC90" s="22">
        <f t="shared" si="57"/>
        <v>143.98882891152667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11.328846153846158</v>
      </c>
      <c r="AI90" s="13">
        <f>IF('Données projet'!$A$62&gt;35,AI89+AH90-AQ89,IF(A90&lt;'Données projet'!$A$62,$AF$205^A90,IF(A90='Données projet'!$A$62,'Données projet'!$B$62,AI89+AH90-AQ89)))</f>
        <v>416.24615384615333</v>
      </c>
      <c r="AJ90" s="13">
        <f>AI90*VLOOKUP('Données projet'!$B$10,Paramètres!$A$1:$I$89,3,0)*VLOOKUP('Données projet'!$B$10,Paramètres!$A$1:$I$89,5,0)</f>
        <v>194.80319999999975</v>
      </c>
      <c r="AK90" s="13">
        <f t="shared" si="89"/>
        <v>48.600324281463649</v>
      </c>
      <c r="AL90" s="20">
        <f t="shared" si="58"/>
        <v>423.92780479021536</v>
      </c>
      <c r="AM90" s="59">
        <f t="shared" si="59"/>
        <v>717.26113812354868</v>
      </c>
      <c r="AN90" s="59">
        <f ca="1">AVERAGE(OFFSET($AM$3,0,0,'Données projet'!$E$10+1,1))-AVERAGE(OFFSET($H$3,0,0,'Données projet'!$E$10+1,1))</f>
        <v>192.20041613277965</v>
      </c>
      <c r="AO90" s="59">
        <f t="shared" si="90"/>
        <v>132.76245212522417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67.216754767376031</v>
      </c>
      <c r="AV90" s="21">
        <f>EXP(-LN(2)/25)*AV89+(1-EXP(-LN(2)/25))/(LN(2)/25)*Calculateur!AQ90*Calculateur!AS90*VLOOKUP('Données projet'!$B$10,Paramètres!$A$1:$I$89,3,0)*0.475*44/12</f>
        <v>19.669534480471285</v>
      </c>
      <c r="AW90" s="21">
        <f>EXP(-LN(2)/2)*AW89+(1-EXP(-LN(2)/2))/(LN(2)/2)*AQ90*AT90*VLOOKUP('Données projet'!$B$10,Paramètres!$A$1:$I$89,3,0)*0.475*44/12</f>
        <v>1.4834551576014268</v>
      </c>
      <c r="AX90" s="21">
        <f t="shared" si="60"/>
        <v>88.369744405448742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180.31844548479722</v>
      </c>
      <c r="BJ90" s="59">
        <f t="shared" si="92"/>
        <v>273.83237400307223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48.805578179617555</v>
      </c>
      <c r="BQ90" s="21">
        <f>EXP(-LN(2)/25)*BQ89+(1-EXP(-LN(2)/25))/(LN(2)/25)*Calculateur!BL90*Calculateur!BN90*VLOOKUP('Données projet'!$B$11,Paramètres!$A$1:$I$89,3,0)*0.475*44/12</f>
        <v>68.406506327565793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117.21208450718335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-3.979039320256561E-13</v>
      </c>
      <c r="BZ90" s="13">
        <f>BY90*VLOOKUP('Données projet'!$B$12,Paramètres!$A$1:$I$89,3,0)*VLOOKUP('Données projet'!$B$12,Paramètres!$A$1:$I$89,5,0)</f>
        <v>-2.379465513513424E-13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214.34615950592251</v>
      </c>
      <c r="CE90" s="59">
        <f t="shared" si="94"/>
        <v>159.66077836853066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123.8337216572568</v>
      </c>
      <c r="CL90" s="21">
        <f>EXP(-LN(2)/25)*CL89+(1-EXP(-LN(2)/25))/(LN(2)/25)*Calculateur!CG90*Calculateur!CI90*VLOOKUP('Données projet'!$B$12,Paramètres!$A$1:$I$89,3,0)*0.475*44/12</f>
        <v>28.178633699963651</v>
      </c>
      <c r="CM90" s="21">
        <f>EXP(-LN(2)/2)*CM89+(1-EXP(-LN(2)/2))/(LN(2)/2)*CG90*CJ90*VLOOKUP('Données projet'!$B$12,Paramètres!$A$1:$I$89,3,0)*0.475*44/12</f>
        <v>3.1962484326090492</v>
      </c>
      <c r="CN90" s="22">
        <f t="shared" si="66"/>
        <v>155.20860378982951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41.184000000000069</v>
      </c>
      <c r="D91" s="11">
        <f t="shared" si="86"/>
        <v>12.311931477761863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412.95105000377634</v>
      </c>
      <c r="H91" s="67">
        <f t="shared" si="56"/>
        <v>386.50541399043533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-1.1368683772161603E-13</v>
      </c>
      <c r="O91" s="13">
        <f>N91*VLOOKUP('Données projet'!$B$9,Paramètres!$A$1:$I$89,3,0)*VLOOKUP('Données projet'!$B$9,Paramètres!$A$1:$I$89,5,0)</f>
        <v>-6.3550942286383367E-14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279.32192402750189</v>
      </c>
      <c r="T91" s="59">
        <f t="shared" si="88"/>
        <v>371.43572414443611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117.9073861196668</v>
      </c>
      <c r="AA91" s="21">
        <f>EXP(-LN(2)/25)*AA90+(1-EXP(-LN(2)/25))/(LN(2)/25)*Calculateur!V91*Calculateur!X91*VLOOKUP('Données projet'!$B$9,Paramètres!$A$1:$I$89,3,0)*0.475*44/12</f>
        <v>23.073888738414706</v>
      </c>
      <c r="AB91" s="21">
        <f>EXP(-LN(2)/2)*AB90+(1-EXP(-LN(2)/2))/(LN(2)/2)*V91*Y91*VLOOKUP('Données projet'!$B$9,Paramètres!$A$1:$I$89,3,0)*0.475*44/12</f>
        <v>3.6858657402775709E-4</v>
      </c>
      <c r="AC91" s="22">
        <f t="shared" si="57"/>
        <v>140.98164344465553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11.328846153846158</v>
      </c>
      <c r="AI91" s="13">
        <f>IF('Données projet'!$A$62&gt;35,AI90+AH91-AQ90,IF(A91&lt;'Données projet'!$A$62,$AF$205^A91,IF(A91='Données projet'!$A$62,'Données projet'!$B$62,AI90+AH91-AQ90)))</f>
        <v>427.57499999999948</v>
      </c>
      <c r="AJ91" s="13">
        <f>AI91*VLOOKUP('Données projet'!$B$10,Paramètres!$A$1:$I$89,3,0)*VLOOKUP('Données projet'!$B$10,Paramètres!$A$1:$I$89,5,0)</f>
        <v>200.10509999999974</v>
      </c>
      <c r="AK91" s="13">
        <f t="shared" si="89"/>
        <v>49.76726481803523</v>
      </c>
      <c r="AL91" s="20">
        <f t="shared" si="58"/>
        <v>435.19436872474421</v>
      </c>
      <c r="AM91" s="59">
        <f t="shared" si="59"/>
        <v>728.52770205807747</v>
      </c>
      <c r="AN91" s="59">
        <f ca="1">AVERAGE(OFFSET($AM$3,0,0,'Données projet'!$E$10+1,1))-AVERAGE(OFFSET($H$3,0,0,'Données projet'!$E$10+1,1))</f>
        <v>192.20041613277965</v>
      </c>
      <c r="AO91" s="59">
        <f t="shared" si="90"/>
        <v>132.76245212522417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65.898675204559964</v>
      </c>
      <c r="AV91" s="21">
        <f>EXP(-LN(2)/25)*AV90+(1-EXP(-LN(2)/25))/(LN(2)/25)*Calculateur!AQ91*Calculateur!AS91*VLOOKUP('Données projet'!$B$10,Paramètres!$A$1:$I$89,3,0)*0.475*44/12</f>
        <v>19.131670025726933</v>
      </c>
      <c r="AW91" s="21">
        <f>EXP(-LN(2)/2)*AW90+(1-EXP(-LN(2)/2))/(LN(2)/2)*AQ91*AT91*VLOOKUP('Données projet'!$B$10,Paramètres!$A$1:$I$89,3,0)*0.475*44/12</f>
        <v>1.0489612015261276</v>
      </c>
      <c r="AX91" s="21">
        <f t="shared" si="60"/>
        <v>86.079306431813023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180.31844548479722</v>
      </c>
      <c r="BJ91" s="59">
        <f t="shared" si="92"/>
        <v>273.83237400307223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47.848530559978556</v>
      </c>
      <c r="BQ91" s="21">
        <f>EXP(-LN(2)/25)*BQ90+(1-EXP(-LN(2)/25))/(LN(2)/25)*Calculateur!BL91*Calculateur!BN91*VLOOKUP('Données projet'!$B$11,Paramètres!$A$1:$I$89,3,0)*0.475*44/12</f>
        <v>66.53592681469668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114.38445737467524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-3.979039320256561E-13</v>
      </c>
      <c r="BZ91" s="13">
        <f>BY91*VLOOKUP('Données projet'!$B$12,Paramètres!$A$1:$I$89,3,0)*VLOOKUP('Données projet'!$B$12,Paramètres!$A$1:$I$89,5,0)</f>
        <v>-2.379465513513424E-13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214.34615950592251</v>
      </c>
      <c r="CE91" s="59">
        <f t="shared" si="94"/>
        <v>159.66077836853066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121.40541790667012</v>
      </c>
      <c r="CL91" s="21">
        <f>EXP(-LN(2)/25)*CL90+(1-EXP(-LN(2)/25))/(LN(2)/25)*Calculateur!CG91*Calculateur!CI91*VLOOKUP('Données projet'!$B$12,Paramètres!$A$1:$I$89,3,0)*0.475*44/12</f>
        <v>27.4080874795882</v>
      </c>
      <c r="CM91" s="21">
        <f>EXP(-LN(2)/2)*CM90+(1-EXP(-LN(2)/2))/(LN(2)/2)*CG91*CJ91*VLOOKUP('Données projet'!$B$12,Paramètres!$A$1:$I$89,3,0)*0.475*44/12</f>
        <v>2.2600889410547325</v>
      </c>
      <c r="CN91" s="22">
        <f t="shared" si="66"/>
        <v>151.07359432731306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41.652000000000072</v>
      </c>
      <c r="D92" s="11">
        <f t="shared" si="86"/>
        <v>12.435473046397316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417.51733579675187</v>
      </c>
      <c r="H92" s="67">
        <f t="shared" si="56"/>
        <v>387.53568222247543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-1.1368683772161603E-13</v>
      </c>
      <c r="O92" s="13">
        <f>N92*VLOOKUP('Données projet'!$B$9,Paramètres!$A$1:$I$89,3,0)*VLOOKUP('Données projet'!$B$9,Paramètres!$A$1:$I$89,5,0)</f>
        <v>-6.3550942286383367E-14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279.32192402750189</v>
      </c>
      <c r="T92" s="59">
        <f t="shared" si="88"/>
        <v>371.43572414443611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115.59529419426451</v>
      </c>
      <c r="AA92" s="21">
        <f>EXP(-LN(2)/25)*AA91+(1-EXP(-LN(2)/25))/(LN(2)/25)*Calculateur!V92*Calculateur!X92*VLOOKUP('Données projet'!$B$9,Paramètres!$A$1:$I$89,3,0)*0.475*44/12</f>
        <v>22.442932037459684</v>
      </c>
      <c r="AB92" s="21">
        <f>EXP(-LN(2)/2)*AB91+(1-EXP(-LN(2)/2))/(LN(2)/2)*V92*Y92*VLOOKUP('Données projet'!$B$9,Paramètres!$A$1:$I$89,3,0)*0.475*44/12</f>
        <v>2.6063006594934443E-4</v>
      </c>
      <c r="AC92" s="22">
        <f t="shared" si="57"/>
        <v>138.03848686179015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11.328846153846158</v>
      </c>
      <c r="AI92" s="13">
        <f>IF('Données projet'!$A$62&gt;35,AI91+AH92-AQ91,IF(A92&lt;'Données projet'!$A$62,$AF$205^A92,IF(A92='Données projet'!$A$62,'Données projet'!$B$62,AI91+AH92-AQ91)))</f>
        <v>438.90384615384562</v>
      </c>
      <c r="AJ92" s="13">
        <f>AI92*VLOOKUP('Données projet'!$B$10,Paramètres!$A$1:$I$89,3,0)*VLOOKUP('Données projet'!$B$10,Paramètres!$A$1:$I$89,5,0)</f>
        <v>205.40699999999975</v>
      </c>
      <c r="AK92" s="13">
        <f t="shared" si="89"/>
        <v>50.930611510342416</v>
      </c>
      <c r="AL92" s="20">
        <f t="shared" si="58"/>
        <v>446.45467338051259</v>
      </c>
      <c r="AM92" s="59">
        <f t="shared" si="59"/>
        <v>739.7880067138459</v>
      </c>
      <c r="AN92" s="59">
        <f ca="1">AVERAGE(OFFSET($AM$3,0,0,'Données projet'!$E$10+1,1))-AVERAGE(OFFSET($H$3,0,0,'Données projet'!$E$10+1,1))</f>
        <v>192.20041613277965</v>
      </c>
      <c r="AO92" s="59">
        <f t="shared" si="90"/>
        <v>132.76245212522417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64.606442378021569</v>
      </c>
      <c r="AV92" s="21">
        <f>EXP(-LN(2)/25)*AV91+(1-EXP(-LN(2)/25))/(LN(2)/25)*Calculateur!AQ92*Calculateur!AS92*VLOOKUP('Données projet'!$B$10,Paramètres!$A$1:$I$89,3,0)*0.475*44/12</f>
        <v>18.608513502782628</v>
      </c>
      <c r="AW92" s="21">
        <f>EXP(-LN(2)/2)*AW91+(1-EXP(-LN(2)/2))/(LN(2)/2)*AQ92*AT92*VLOOKUP('Données projet'!$B$10,Paramètres!$A$1:$I$89,3,0)*0.475*44/12</f>
        <v>0.74172757880071349</v>
      </c>
      <c r="AX92" s="21">
        <f t="shared" si="60"/>
        <v>83.956683459604918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180.31844548479722</v>
      </c>
      <c r="BJ92" s="59">
        <f t="shared" si="92"/>
        <v>273.83237400307223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46.910250060419266</v>
      </c>
      <c r="BQ92" s="21">
        <f>EXP(-LN(2)/25)*BQ91+(1-EXP(-LN(2)/25))/(LN(2)/25)*Calculateur!BL92*Calculateur!BN92*VLOOKUP('Données projet'!$B$11,Paramètres!$A$1:$I$89,3,0)*0.475*44/12</f>
        <v>64.716498396976476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111.62674845739573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-3.979039320256561E-13</v>
      </c>
      <c r="BZ92" s="13">
        <f>BY92*VLOOKUP('Données projet'!$B$12,Paramètres!$A$1:$I$89,3,0)*VLOOKUP('Données projet'!$B$12,Paramètres!$A$1:$I$89,5,0)</f>
        <v>-2.379465513513424E-13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214.34615950592251</v>
      </c>
      <c r="CE92" s="59">
        <f t="shared" si="94"/>
        <v>159.66077836853066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119.02473171151341</v>
      </c>
      <c r="CL92" s="21">
        <f>EXP(-LN(2)/25)*CL91+(1-EXP(-LN(2)/25))/(LN(2)/25)*Calculateur!CG92*Calculateur!CI92*VLOOKUP('Données projet'!$B$12,Paramètres!$A$1:$I$89,3,0)*0.475*44/12</f>
        <v>26.658611886130181</v>
      </c>
      <c r="CM92" s="21">
        <f>EXP(-LN(2)/2)*CM91+(1-EXP(-LN(2)/2))/(LN(2)/2)*CG92*CJ92*VLOOKUP('Données projet'!$B$12,Paramètres!$A$1:$I$89,3,0)*0.475*44/12</f>
        <v>1.5981242163045246</v>
      </c>
      <c r="CN92" s="22">
        <f t="shared" si="66"/>
        <v>147.2814678139481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42.120000000000076</v>
      </c>
      <c r="D93" s="11">
        <f t="shared" si="86"/>
        <v>12.558853141338776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422.08237512612442</v>
      </c>
      <c r="H93" s="67">
        <f t="shared" si="56"/>
        <v>388.56566922116514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-1.1368683772161603E-13</v>
      </c>
      <c r="O93" s="13">
        <f>N93*VLOOKUP('Données projet'!$B$9,Paramètres!$A$1:$I$89,3,0)*VLOOKUP('Données projet'!$B$9,Paramètres!$A$1:$I$89,5,0)</f>
        <v>-6.3550942286383367E-14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279.32192402750189</v>
      </c>
      <c r="T93" s="59">
        <f t="shared" si="88"/>
        <v>371.43572414443611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113.32854098128254</v>
      </c>
      <c r="AA93" s="21">
        <f>EXP(-LN(2)/25)*AA92+(1-EXP(-LN(2)/25))/(LN(2)/25)*Calculateur!V93*Calculateur!X93*VLOOKUP('Données projet'!$B$9,Paramètres!$A$1:$I$89,3,0)*0.475*44/12</f>
        <v>21.829228880672847</v>
      </c>
      <c r="AB93" s="21">
        <f>EXP(-LN(2)/2)*AB92+(1-EXP(-LN(2)/2))/(LN(2)/2)*V93*Y93*VLOOKUP('Données projet'!$B$9,Paramètres!$A$1:$I$89,3,0)*0.475*44/12</f>
        <v>1.8429328701387854E-4</v>
      </c>
      <c r="AC93" s="22">
        <f t="shared" si="57"/>
        <v>135.15795415524241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11.328846153846158</v>
      </c>
      <c r="AI93" s="13">
        <f>IF('Données projet'!$A$62&gt;35,AI92+AH93-AQ92,IF(A93&lt;'Données projet'!$A$62,$AF$205^A93,IF(A93='Données projet'!$A$62,'Données projet'!$B$62,AI92+AH93-AQ92)))</f>
        <v>450.23269230769176</v>
      </c>
      <c r="AJ93" s="13">
        <f>AI93*VLOOKUP('Données projet'!$B$10,Paramètres!$A$1:$I$89,3,0)*VLOOKUP('Données projet'!$B$10,Paramètres!$A$1:$I$89,5,0)</f>
        <v>210.70889999999974</v>
      </c>
      <c r="AK93" s="13">
        <f t="shared" si="89"/>
        <v>52.090467787005039</v>
      </c>
      <c r="AL93" s="20">
        <f t="shared" si="58"/>
        <v>457.70889889569997</v>
      </c>
      <c r="AM93" s="59">
        <f t="shared" si="59"/>
        <v>751.04223222903329</v>
      </c>
      <c r="AN93" s="59">
        <f ca="1">AVERAGE(OFFSET($AM$3,0,0,'Données projet'!$E$10+1,1))-AVERAGE(OFFSET($H$3,0,0,'Données projet'!$E$10+1,1))</f>
        <v>192.20041613277965</v>
      </c>
      <c r="AO93" s="59">
        <f t="shared" si="90"/>
        <v>132.76245212522417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63.339549449027395</v>
      </c>
      <c r="AV93" s="21">
        <f>EXP(-LN(2)/25)*AV92+(1-EXP(-LN(2)/25))/(LN(2)/25)*Calculateur!AQ93*Calculateur!AS93*VLOOKUP('Données projet'!$B$10,Paramètres!$A$1:$I$89,3,0)*0.475*44/12</f>
        <v>18.099662722469841</v>
      </c>
      <c r="AW93" s="21">
        <f>EXP(-LN(2)/2)*AW92+(1-EXP(-LN(2)/2))/(LN(2)/2)*AQ93*AT93*VLOOKUP('Données projet'!$B$10,Paramètres!$A$1:$I$89,3,0)*0.475*44/12</f>
        <v>0.5244806007630638</v>
      </c>
      <c r="AX93" s="21">
        <f t="shared" si="60"/>
        <v>81.963692772260302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180.31844548479722</v>
      </c>
      <c r="BJ93" s="59">
        <f t="shared" si="92"/>
        <v>273.83237400307223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45.990368669161739</v>
      </c>
      <c r="BQ93" s="21">
        <f>EXP(-LN(2)/25)*BQ92+(1-EXP(-LN(2)/25))/(LN(2)/25)*Calculateur!BL93*Calculateur!BN93*VLOOKUP('Données projet'!$B$11,Paramètres!$A$1:$I$89,3,0)*0.475*44/12</f>
        <v>62.946822345018418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108.93719101418016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-3.979039320256561E-13</v>
      </c>
      <c r="BZ93" s="13">
        <f>BY93*VLOOKUP('Données projet'!$B$12,Paramètres!$A$1:$I$89,3,0)*VLOOKUP('Données projet'!$B$12,Paramètres!$A$1:$I$89,5,0)</f>
        <v>-2.379465513513424E-13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214.34615950592251</v>
      </c>
      <c r="CE93" s="59">
        <f t="shared" si="94"/>
        <v>159.66077836853066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116.69072932056852</v>
      </c>
      <c r="CL93" s="21">
        <f>EXP(-LN(2)/25)*CL92+(1-EXP(-LN(2)/25))/(LN(2)/25)*Calculateur!CG93*Calculateur!CI93*VLOOKUP('Données projet'!$B$12,Paramètres!$A$1:$I$89,3,0)*0.475*44/12</f>
        <v>25.929630742188483</v>
      </c>
      <c r="CM93" s="21">
        <f>EXP(-LN(2)/2)*CM92+(1-EXP(-LN(2)/2))/(LN(2)/2)*CG93*CJ93*VLOOKUP('Données projet'!$B$12,Paramètres!$A$1:$I$89,3,0)*0.475*44/12</f>
        <v>1.1300444705273662</v>
      </c>
      <c r="CN93" s="22">
        <f t="shared" si="66"/>
        <v>143.75040453328438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42.588000000000079</v>
      </c>
      <c r="D94" s="11">
        <f t="shared" si="86"/>
        <v>12.682073764365786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426.64618344422774</v>
      </c>
      <c r="H94" s="67">
        <f t="shared" si="56"/>
        <v>389.59537847293717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-1.1368683772161603E-13</v>
      </c>
      <c r="O94" s="13">
        <f>N94*VLOOKUP('Données projet'!$B$9,Paramètres!$A$1:$I$89,3,0)*VLOOKUP('Données projet'!$B$9,Paramètres!$A$1:$I$89,5,0)</f>
        <v>-6.3550942286383367E-14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279.32192402750189</v>
      </c>
      <c r="T94" s="59">
        <f t="shared" si="88"/>
        <v>371.43572414443611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111.1062374162242</v>
      </c>
      <c r="AA94" s="21">
        <f>EXP(-LN(2)/25)*AA93+(1-EXP(-LN(2)/25))/(LN(2)/25)*Calculateur!V94*Calculateur!X94*VLOOKUP('Données projet'!$B$9,Paramètres!$A$1:$I$89,3,0)*0.475*44/12</f>
        <v>21.232307468981592</v>
      </c>
      <c r="AB94" s="21">
        <f>EXP(-LN(2)/2)*AB93+(1-EXP(-LN(2)/2))/(LN(2)/2)*V94*Y94*VLOOKUP('Données projet'!$B$9,Paramètres!$A$1:$I$89,3,0)*0.475*44/12</f>
        <v>1.3031503297467222E-4</v>
      </c>
      <c r="AC94" s="22">
        <f t="shared" si="57"/>
        <v>132.33867520023878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>
        <f>VLOOKUP(A94,'Données projet'!$A$61:$I$81,2,0)</f>
        <v>461.56153846153842</v>
      </c>
      <c r="AG94" s="12">
        <f>VLOOKUP(A94,'Données projet'!$A$61:$I$81,9,0)</f>
        <v>11.328846153846158</v>
      </c>
      <c r="AH94" s="12">
        <f t="array" ref="AH94">INDEX(AG:AG,MIN(IF(ISNUMBER(AG94:AG290),ROW(AG94:AG290),"")))</f>
        <v>11.328846153846158</v>
      </c>
      <c r="AI94" s="13">
        <f>IF('Données projet'!$A$62&gt;35,AI93+AH94-AQ93,IF(A94&lt;'Données projet'!$A$62,$AF$205^A94,IF(A94='Données projet'!$A$62,'Données projet'!$B$62,AI93+AH94-AQ93)))</f>
        <v>461.56153846153791</v>
      </c>
      <c r="AJ94" s="13">
        <f>AI94*VLOOKUP('Données projet'!$B$10,Paramètres!$A$1:$I$89,3,0)*VLOOKUP('Données projet'!$B$10,Paramètres!$A$1:$I$89,5,0)</f>
        <v>216.01079999999973</v>
      </c>
      <c r="AK94" s="13">
        <f t="shared" si="89"/>
        <v>53.246931575036889</v>
      </c>
      <c r="AL94" s="20">
        <f t="shared" si="58"/>
        <v>468.95721582652214</v>
      </c>
      <c r="AM94" s="59">
        <f t="shared" si="59"/>
        <v>762.29054915985546</v>
      </c>
      <c r="AN94" s="59">
        <f ca="1">AVERAGE(OFFSET($AM$3,0,0,'Données projet'!$E$10+1,1))-AVERAGE(OFFSET($H$3,0,0,'Données projet'!$E$10+1,1))</f>
        <v>192.20041613277965</v>
      </c>
      <c r="AO94" s="59">
        <f t="shared" si="90"/>
        <v>132.76245212522417</v>
      </c>
      <c r="AP94" s="15">
        <f>IF(ISNA(VLOOKUP(A94,'Données projet'!$A$61:$I$81,3,0)),0,VLOOKUP(A94,'Données projet'!$A$61:$I$81,3,0))</f>
        <v>7</v>
      </c>
      <c r="AQ94" s="15">
        <f>IF(ISNA(VLOOKUP(A94,'Données projet'!$A$61:$I$81,4,0)),0,VLOOKUP(A94,'Données projet'!$A$61:$I$81,4,0))</f>
        <v>229.73846153846154</v>
      </c>
      <c r="AR94" s="16">
        <f>IF(ISNA(VLOOKUP(A94,'Données projet'!$A$61:$I$81,5,0)),0%,VLOOKUP(A94,'Données projet'!$A$61:$I$81,5,0)*VLOOKUP('Données projet'!$B$10,Paramètres!$A$1:$I$89,7,0))</f>
        <v>0.38500000000000001</v>
      </c>
      <c r="AS94" s="16">
        <f>IF(ISNA(VLOOKUP(A94,'Données projet'!$A$61:$I$81,6,0)),0%,VLOOKUP(A94,'Données projet'!$A$61:$I$81,6,0)*VLOOKUP('Données projet'!$B$10,Paramètres!$A$1:$I$89,7,0))</f>
        <v>9.240000000000001E-2</v>
      </c>
      <c r="AT94" s="16">
        <f>IF(ISNA(VLOOKUP(A94,'Données projet'!$A$61:$I$81,7,0)),0%,VLOOKUP(A94,'Données projet'!$A$61:$I$81,7,0))</f>
        <v>0.13200000000000001</v>
      </c>
      <c r="AU94" s="21">
        <f>EXP(-LN(2)/35)*AU93+(1-EXP(-LN(2)/35))/(LN(2)/35)*AQ94*AR94*VLOOKUP('Données projet'!$B$10,Paramètres!$A$1:$I$89,3,0)*0.475*44/12</f>
        <v>117.00967471789643</v>
      </c>
      <c r="AV94" s="21">
        <f>EXP(-LN(2)/25)*AV93+(1-EXP(-LN(2)/25))/(LN(2)/25)*Calculateur!AQ94*Calculateur!AS94*VLOOKUP('Données projet'!$B$10,Paramètres!$A$1:$I$89,3,0)*0.475*44/12</f>
        <v>30.731758103898777</v>
      </c>
      <c r="AW94" s="21">
        <f>EXP(-LN(2)/2)*AW93+(1-EXP(-LN(2)/2))/(LN(2)/2)*AQ94*AT94*VLOOKUP('Données projet'!$B$10,Paramètres!$A$1:$I$89,3,0)*0.475*44/12</f>
        <v>16.439870493374521</v>
      </c>
      <c r="AX94" s="21">
        <f t="shared" si="60"/>
        <v>164.18130331516971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180.31844548479722</v>
      </c>
      <c r="BJ94" s="59">
        <f t="shared" si="92"/>
        <v>273.83237400307223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45.088525590914522</v>
      </c>
      <c r="BQ94" s="21">
        <f>EXP(-LN(2)/25)*BQ93+(1-EXP(-LN(2)/25))/(LN(2)/25)*Calculateur!BL94*Calculateur!BN94*VLOOKUP('Données projet'!$B$11,Paramètres!$A$1:$I$89,3,0)*0.475*44/12</f>
        <v>61.225538177764371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106.31406376867889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-3.979039320256561E-13</v>
      </c>
      <c r="BZ94" s="13">
        <f>BY94*VLOOKUP('Données projet'!$B$12,Paramètres!$A$1:$I$89,3,0)*VLOOKUP('Données projet'!$B$12,Paramètres!$A$1:$I$89,5,0)</f>
        <v>-2.379465513513424E-13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214.34615950592251</v>
      </c>
      <c r="CE94" s="59">
        <f t="shared" si="94"/>
        <v>159.66077836853066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114.40249529290918</v>
      </c>
      <c r="CL94" s="21">
        <f>EXP(-LN(2)/25)*CL93+(1-EXP(-LN(2)/25))/(LN(2)/25)*Calculateur!CG94*Calculateur!CI94*VLOOKUP('Données projet'!$B$12,Paramètres!$A$1:$I$89,3,0)*0.475*44/12</f>
        <v>25.220583625963322</v>
      </c>
      <c r="CM94" s="21">
        <f>EXP(-LN(2)/2)*CM93+(1-EXP(-LN(2)/2))/(LN(2)/2)*CG94*CJ94*VLOOKUP('Données projet'!$B$12,Paramètres!$A$1:$I$89,3,0)*0.475*44/12</f>
        <v>0.79906210815226231</v>
      </c>
      <c r="CN94" s="22">
        <f t="shared" si="66"/>
        <v>140.42214102702476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43.056000000000083</v>
      </c>
      <c r="D95" s="11">
        <f t="shared" si="86"/>
        <v>12.805136870729203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431.20877584422607</v>
      </c>
      <c r="H95" s="67">
        <f t="shared" si="56"/>
        <v>390.62481338318679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-1.1368683772161603E-13</v>
      </c>
      <c r="O95" s="13">
        <f>N95*VLOOKUP('Données projet'!$B$9,Paramètres!$A$1:$I$89,3,0)*VLOOKUP('Données projet'!$B$9,Paramètres!$A$1:$I$89,5,0)</f>
        <v>-6.3550942286383367E-14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279.32192402750189</v>
      </c>
      <c r="T95" s="59">
        <f t="shared" si="88"/>
        <v>371.43572414443611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108.92751186860532</v>
      </c>
      <c r="AA95" s="21">
        <f>EXP(-LN(2)/25)*AA94+(1-EXP(-LN(2)/25))/(LN(2)/25)*Calculateur!V95*Calculateur!X95*VLOOKUP('Données projet'!$B$9,Paramètres!$A$1:$I$89,3,0)*0.475*44/12</f>
        <v>20.651708904683769</v>
      </c>
      <c r="AB95" s="21">
        <f>EXP(-LN(2)/2)*AB94+(1-EXP(-LN(2)/2))/(LN(2)/2)*V95*Y95*VLOOKUP('Données projet'!$B$9,Paramètres!$A$1:$I$89,3,0)*0.475*44/12</f>
        <v>9.2146643506939272E-5</v>
      </c>
      <c r="AC95" s="22">
        <f t="shared" si="57"/>
        <v>129.57931291993259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7.5784615384615392</v>
      </c>
      <c r="AI95" s="13">
        <f>IF('Données projet'!$A$62&gt;35,AI94+AH95-AQ94,IF(A95&lt;'Données projet'!$A$62,$AF$205^A95,IF(A95='Données projet'!$A$62,'Données projet'!$B$62,AI94+AH95-AQ94)))</f>
        <v>239.40153846153788</v>
      </c>
      <c r="AJ95" s="13">
        <f>AI95*VLOOKUP('Données projet'!$B$10,Paramètres!$A$1:$I$89,3,0)*VLOOKUP('Données projet'!$B$10,Paramètres!$A$1:$I$89,5,0)</f>
        <v>112.03991999999973</v>
      </c>
      <c r="AK95" s="13">
        <f t="shared" si="89"/>
        <v>29.811090444660106</v>
      </c>
      <c r="AL95" s="20">
        <f t="shared" si="58"/>
        <v>247.05717652444915</v>
      </c>
      <c r="AM95" s="59">
        <f t="shared" si="59"/>
        <v>540.39050985778249</v>
      </c>
      <c r="AN95" s="59">
        <f ca="1">AVERAGE(OFFSET($AM$3,0,0,'Données projet'!$E$10+1,1))-AVERAGE(OFFSET($H$3,0,0,'Données projet'!$E$10+1,1))</f>
        <v>192.20041613277965</v>
      </c>
      <c r="AO95" s="59">
        <f t="shared" si="90"/>
        <v>132.76245212522417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114.71518636553297</v>
      </c>
      <c r="AV95" s="21">
        <f>EXP(-LN(2)/25)*AV94+(1-EXP(-LN(2)/25))/(LN(2)/25)*Calculateur!AQ95*Calculateur!AS95*VLOOKUP('Données projet'!$B$10,Paramètres!$A$1:$I$89,3,0)*0.475*44/12</f>
        <v>29.891396562434746</v>
      </c>
      <c r="AW95" s="21">
        <f>EXP(-LN(2)/2)*AW94+(1-EXP(-LN(2)/2))/(LN(2)/2)*AQ95*AT95*VLOOKUP('Données projet'!$B$10,Paramètres!$A$1:$I$89,3,0)*0.475*44/12</f>
        <v>11.624743907693757</v>
      </c>
      <c r="AX95" s="21">
        <f t="shared" si="60"/>
        <v>156.23132683566146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180.31844548479722</v>
      </c>
      <c r="BJ95" s="59">
        <f t="shared" si="92"/>
        <v>273.83237400307223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44.204367105361769</v>
      </c>
      <c r="BQ95" s="21">
        <f>EXP(-LN(2)/25)*BQ94+(1-EXP(-LN(2)/25))/(LN(2)/25)*Calculateur!BL95*Calculateur!BN95*VLOOKUP('Données projet'!$B$11,Paramètres!$A$1:$I$89,3,0)*0.475*44/12</f>
        <v>59.551322616582283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103.75568972194405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-3.979039320256561E-13</v>
      </c>
      <c r="BZ95" s="13">
        <f>BY95*VLOOKUP('Données projet'!$B$12,Paramètres!$A$1:$I$89,3,0)*VLOOKUP('Données projet'!$B$12,Paramètres!$A$1:$I$89,5,0)</f>
        <v>-2.379465513513424E-13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214.34615950592251</v>
      </c>
      <c r="CE95" s="59">
        <f t="shared" si="94"/>
        <v>159.66077836853066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112.1591321388473</v>
      </c>
      <c r="CL95" s="21">
        <f>EXP(-LN(2)/25)*CL94+(1-EXP(-LN(2)/25))/(LN(2)/25)*Calculateur!CG95*Calculateur!CI95*VLOOKUP('Données projet'!$B$12,Paramètres!$A$1:$I$89,3,0)*0.475*44/12</f>
        <v>24.530925440418503</v>
      </c>
      <c r="CM95" s="21">
        <f>EXP(-LN(2)/2)*CM94+(1-EXP(-LN(2)/2))/(LN(2)/2)*CG95*CJ95*VLOOKUP('Données projet'!$B$12,Paramètres!$A$1:$I$89,3,0)*0.475*44/12</f>
        <v>0.56502223526368311</v>
      </c>
      <c r="CN95" s="22">
        <f t="shared" si="66"/>
        <v>137.25507981452949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43.524000000000086</v>
      </c>
      <c r="D96" s="11">
        <f t="shared" si="86"/>
        <v>12.928044370726413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435.77016707227472</v>
      </c>
      <c r="H96" s="67">
        <f t="shared" si="56"/>
        <v>391.65397727901529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-1.1368683772161603E-13</v>
      </c>
      <c r="O96" s="13">
        <f>N96*VLOOKUP('Données projet'!$B$9,Paramètres!$A$1:$I$89,3,0)*VLOOKUP('Données projet'!$B$9,Paramètres!$A$1:$I$89,5,0)</f>
        <v>-6.3550942286383367E-14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279.32192402750189</v>
      </c>
      <c r="T96" s="59">
        <f t="shared" si="88"/>
        <v>371.43572414443611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106.79150980008389</v>
      </c>
      <c r="AA96" s="21">
        <f>EXP(-LN(2)/25)*AA95+(1-EXP(-LN(2)/25))/(LN(2)/25)*Calculateur!V96*Calculateur!X96*VLOOKUP('Données projet'!$B$9,Paramètres!$A$1:$I$89,3,0)*0.475*44/12</f>
        <v>20.086986838659019</v>
      </c>
      <c r="AB96" s="21">
        <f>EXP(-LN(2)/2)*AB95+(1-EXP(-LN(2)/2))/(LN(2)/2)*V96*Y96*VLOOKUP('Données projet'!$B$9,Paramètres!$A$1:$I$89,3,0)*0.475*44/12</f>
        <v>6.5157516487336108E-5</v>
      </c>
      <c r="AC96" s="22">
        <f t="shared" si="57"/>
        <v>126.87856179625939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7.5784615384615392</v>
      </c>
      <c r="AI96" s="13">
        <f>IF('Données projet'!$A$62&gt;35,AI95+AH96-AQ95,IF(A96&lt;'Données projet'!$A$62,$AF$205^A96,IF(A96='Données projet'!$A$62,'Données projet'!$B$62,AI95+AH96-AQ95)))</f>
        <v>246.97999999999942</v>
      </c>
      <c r="AJ96" s="13">
        <f>AI96*VLOOKUP('Données projet'!$B$10,Paramètres!$A$1:$I$89,3,0)*VLOOKUP('Données projet'!$B$10,Paramètres!$A$1:$I$89,5,0)</f>
        <v>115.58663999999973</v>
      </c>
      <c r="AK96" s="13">
        <f t="shared" si="89"/>
        <v>30.643421504922326</v>
      </c>
      <c r="AL96" s="20">
        <f t="shared" si="58"/>
        <v>254.68402378773919</v>
      </c>
      <c r="AM96" s="59">
        <f t="shared" si="59"/>
        <v>548.01735712107256</v>
      </c>
      <c r="AN96" s="59">
        <f ca="1">AVERAGE(OFFSET($AM$3,0,0,'Données projet'!$E$10+1,1))-AVERAGE(OFFSET($H$3,0,0,'Données projet'!$E$10+1,1))</f>
        <v>192.20041613277965</v>
      </c>
      <c r="AO96" s="59">
        <f t="shared" si="90"/>
        <v>132.76245212522417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112.46569153025965</v>
      </c>
      <c r="AV96" s="21">
        <f>EXP(-LN(2)/25)*AV95+(1-EXP(-LN(2)/25))/(LN(2)/25)*Calculateur!AQ96*Calculateur!AS96*VLOOKUP('Données projet'!$B$10,Paramètres!$A$1:$I$89,3,0)*0.475*44/12</f>
        <v>29.074014751514742</v>
      </c>
      <c r="AW96" s="21">
        <f>EXP(-LN(2)/2)*AW95+(1-EXP(-LN(2)/2))/(LN(2)/2)*AQ96*AT96*VLOOKUP('Données projet'!$B$10,Paramètres!$A$1:$I$89,3,0)*0.475*44/12</f>
        <v>8.2199352466872622</v>
      </c>
      <c r="AX96" s="21">
        <f t="shared" si="60"/>
        <v>149.75964152846166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180.31844548479722</v>
      </c>
      <c r="BJ96" s="59">
        <f t="shared" si="92"/>
        <v>273.83237400307223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43.337546428427281</v>
      </c>
      <c r="BQ96" s="21">
        <f>EXP(-LN(2)/25)*BQ95+(1-EXP(-LN(2)/25))/(LN(2)/25)*Calculateur!BL96*Calculateur!BN96*VLOOKUP('Données projet'!$B$11,Paramètres!$A$1:$I$89,3,0)*0.475*44/12</f>
        <v>57.922888567963888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101.26043499639117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-3.979039320256561E-13</v>
      </c>
      <c r="BZ96" s="13">
        <f>BY96*VLOOKUP('Données projet'!$B$12,Paramètres!$A$1:$I$89,3,0)*VLOOKUP('Données projet'!$B$12,Paramètres!$A$1:$I$89,5,0)</f>
        <v>-2.379465513513424E-13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214.34615950592251</v>
      </c>
      <c r="CE96" s="59">
        <f t="shared" si="94"/>
        <v>159.66077836853066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109.95975996792015</v>
      </c>
      <c r="CL96" s="21">
        <f>EXP(-LN(2)/25)*CL95+(1-EXP(-LN(2)/25))/(LN(2)/25)*Calculateur!CG96*Calculateur!CI96*VLOOKUP('Données projet'!$B$12,Paramètres!$A$1:$I$89,3,0)*0.475*44/12</f>
        <v>23.860125994224958</v>
      </c>
      <c r="CM96" s="21">
        <f>EXP(-LN(2)/2)*CM95+(1-EXP(-LN(2)/2))/(LN(2)/2)*CG96*CJ96*VLOOKUP('Données projet'!$B$12,Paramètres!$A$1:$I$89,3,0)*0.475*44/12</f>
        <v>0.39953105407613115</v>
      </c>
      <c r="CN96" s="22">
        <f t="shared" si="66"/>
        <v>134.21941701622126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43.99200000000009</v>
      </c>
      <c r="D97" s="11">
        <f t="shared" si="86"/>
        <v>13.050798131206898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440.33037153914165</v>
      </c>
      <c r="H97" s="67">
        <f t="shared" si="56"/>
        <v>392.68287341185214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-1.1368683772161603E-13</v>
      </c>
      <c r="O97" s="13">
        <f>N97*VLOOKUP('Données projet'!$B$9,Paramètres!$A$1:$I$89,3,0)*VLOOKUP('Données projet'!$B$9,Paramètres!$A$1:$I$89,5,0)</f>
        <v>-6.3550942286383367E-14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279.32192402750189</v>
      </c>
      <c r="T97" s="59">
        <f t="shared" si="88"/>
        <v>371.43572414443611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104.69739342929354</v>
      </c>
      <c r="AA97" s="21">
        <f>EXP(-LN(2)/25)*AA96+(1-EXP(-LN(2)/25))/(LN(2)/25)*Calculateur!V97*Calculateur!X97*VLOOKUP('Données projet'!$B$9,Paramètres!$A$1:$I$89,3,0)*0.475*44/12</f>
        <v>19.537707127227161</v>
      </c>
      <c r="AB97" s="21">
        <f>EXP(-LN(2)/2)*AB96+(1-EXP(-LN(2)/2))/(LN(2)/2)*V97*Y97*VLOOKUP('Données projet'!$B$9,Paramètres!$A$1:$I$89,3,0)*0.475*44/12</f>
        <v>4.6073321753469636E-5</v>
      </c>
      <c r="AC97" s="22">
        <f t="shared" si="57"/>
        <v>124.23514662984246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7.5784615384615392</v>
      </c>
      <c r="AI97" s="13">
        <f>IF('Données projet'!$A$62&gt;35,AI96+AH97-AQ96,IF(A97&lt;'Données projet'!$A$62,$AF$205^A97,IF(A97='Données projet'!$A$62,'Données projet'!$B$62,AI96+AH97-AQ96)))</f>
        <v>254.55846153846096</v>
      </c>
      <c r="AJ97" s="13">
        <f>AI97*VLOOKUP('Données projet'!$B$10,Paramètres!$A$1:$I$89,3,0)*VLOOKUP('Données projet'!$B$10,Paramètres!$A$1:$I$89,5,0)</f>
        <v>119.13335999999974</v>
      </c>
      <c r="AK97" s="13">
        <f t="shared" si="89"/>
        <v>31.472784557586706</v>
      </c>
      <c r="AL97" s="20">
        <f t="shared" si="58"/>
        <v>262.30570177112975</v>
      </c>
      <c r="AM97" s="59">
        <f t="shared" si="59"/>
        <v>555.63903510446312</v>
      </c>
      <c r="AN97" s="59">
        <f ca="1">AVERAGE(OFFSET($AM$3,0,0,'Données projet'!$E$10+1,1))-AVERAGE(OFFSET($H$3,0,0,'Données projet'!$E$10+1,1))</f>
        <v>192.20041613277965</v>
      </c>
      <c r="AO97" s="59">
        <f t="shared" si="90"/>
        <v>132.76245212522417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110.26030791664967</v>
      </c>
      <c r="AV97" s="21">
        <f>EXP(-LN(2)/25)*AV96+(1-EXP(-LN(2)/25))/(LN(2)/25)*Calculateur!AQ97*Calculateur!AS97*VLOOKUP('Données projet'!$B$10,Paramètres!$A$1:$I$89,3,0)*0.475*44/12</f>
        <v>28.278984289198586</v>
      </c>
      <c r="AW97" s="21">
        <f>EXP(-LN(2)/2)*AW96+(1-EXP(-LN(2)/2))/(LN(2)/2)*AQ97*AT97*VLOOKUP('Données projet'!$B$10,Paramètres!$A$1:$I$89,3,0)*0.475*44/12</f>
        <v>5.8123719538468794</v>
      </c>
      <c r="AX97" s="21">
        <f t="shared" si="60"/>
        <v>144.35166415969513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180.31844548479722</v>
      </c>
      <c r="BJ97" s="59">
        <f t="shared" si="92"/>
        <v>273.83237400307223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42.487723576259071</v>
      </c>
      <c r="BQ97" s="21">
        <f>EXP(-LN(2)/25)*BQ96+(1-EXP(-LN(2)/25))/(LN(2)/25)*Calculateur!BL97*Calculateur!BN97*VLOOKUP('Données projet'!$B$11,Paramètres!$A$1:$I$89,3,0)*0.475*44/12</f>
        <v>56.338984134040587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98.826707710299658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-3.979039320256561E-13</v>
      </c>
      <c r="BZ97" s="13">
        <f>BY97*VLOOKUP('Données projet'!$B$12,Paramètres!$A$1:$I$89,3,0)*VLOOKUP('Données projet'!$B$12,Paramètres!$A$1:$I$89,5,0)</f>
        <v>-2.379465513513424E-13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214.34615950592251</v>
      </c>
      <c r="CE97" s="59">
        <f t="shared" si="94"/>
        <v>159.66077836853066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107.80351614378031</v>
      </c>
      <c r="CL97" s="21">
        <f>EXP(-LN(2)/25)*CL96+(1-EXP(-LN(2)/25))/(LN(2)/25)*Calculateur!CG97*Calculateur!CI97*VLOOKUP('Données projet'!$B$12,Paramètres!$A$1:$I$89,3,0)*0.475*44/12</f>
        <v>23.207669594163384</v>
      </c>
      <c r="CM97" s="21">
        <f>EXP(-LN(2)/2)*CM96+(1-EXP(-LN(2)/2))/(LN(2)/2)*CG97*CJ97*VLOOKUP('Données projet'!$B$12,Paramètres!$A$1:$I$89,3,0)*0.475*44/12</f>
        <v>0.28251111763184156</v>
      </c>
      <c r="CN97" s="22">
        <f t="shared" si="66"/>
        <v>131.29369685557555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44.460000000000093</v>
      </c>
      <c r="D98" s="11">
        <f t="shared" si="86"/>
        <v>13.173399977011883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444.88940333132058</v>
      </c>
      <c r="H98" s="67">
        <f t="shared" si="56"/>
        <v>393.7115049599625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-1.1368683772161603E-13</v>
      </c>
      <c r="O98" s="13">
        <f>N98*VLOOKUP('Données projet'!$B$9,Paramètres!$A$1:$I$89,3,0)*VLOOKUP('Données projet'!$B$9,Paramètres!$A$1:$I$89,5,0)</f>
        <v>-6.3550942286383367E-14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279.32192402750189</v>
      </c>
      <c r="T98" s="59">
        <f t="shared" si="88"/>
        <v>371.43572414443611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102.64434140324953</v>
      </c>
      <c r="AA98" s="21">
        <f>EXP(-LN(2)/25)*AA97+(1-EXP(-LN(2)/25))/(LN(2)/25)*Calculateur!V98*Calculateur!X98*VLOOKUP('Données projet'!$B$9,Paramètres!$A$1:$I$89,3,0)*0.475*44/12</f>
        <v>19.003447498389772</v>
      </c>
      <c r="AB98" s="21">
        <f>EXP(-LN(2)/2)*AB97+(1-EXP(-LN(2)/2))/(LN(2)/2)*V98*Y98*VLOOKUP('Données projet'!$B$9,Paramètres!$A$1:$I$89,3,0)*0.475*44/12</f>
        <v>3.2578758243668054E-5</v>
      </c>
      <c r="AC98" s="22">
        <f t="shared" si="57"/>
        <v>121.64782148039754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7.5784615384615392</v>
      </c>
      <c r="AI98" s="13">
        <f>IF('Données projet'!$A$62&gt;35,AI97+AH98-AQ97,IF(A98&lt;'Données projet'!$A$62,$AF$205^A98,IF(A98='Données projet'!$A$62,'Données projet'!$B$62,AI97+AH98-AQ97)))</f>
        <v>262.13692307692247</v>
      </c>
      <c r="AJ98" s="13">
        <f>AI98*VLOOKUP('Données projet'!$B$10,Paramètres!$A$1:$I$89,3,0)*VLOOKUP('Données projet'!$B$10,Paramètres!$A$1:$I$89,5,0)</f>
        <v>122.68007999999972</v>
      </c>
      <c r="AK98" s="13">
        <f t="shared" si="89"/>
        <v>32.29927810717728</v>
      </c>
      <c r="AL98" s="20">
        <f t="shared" si="58"/>
        <v>269.92238203666665</v>
      </c>
      <c r="AM98" s="59">
        <f t="shared" si="59"/>
        <v>563.25571536999996</v>
      </c>
      <c r="AN98" s="59">
        <f ca="1">AVERAGE(OFFSET($AM$3,0,0,'Données projet'!$E$10+1,1))-AVERAGE(OFFSET($H$3,0,0,'Données projet'!$E$10+1,1))</f>
        <v>192.20041613277965</v>
      </c>
      <c r="AO98" s="59">
        <f t="shared" si="90"/>
        <v>132.76245212522417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108.0981705305514</v>
      </c>
      <c r="AV98" s="21">
        <f>EXP(-LN(2)/25)*AV97+(1-EXP(-LN(2)/25))/(LN(2)/25)*Calculateur!AQ98*Calculateur!AS98*VLOOKUP('Données projet'!$B$10,Paramètres!$A$1:$I$89,3,0)*0.475*44/12</f>
        <v>27.5056939766833</v>
      </c>
      <c r="AW98" s="21">
        <f>EXP(-LN(2)/2)*AW97+(1-EXP(-LN(2)/2))/(LN(2)/2)*AQ98*AT98*VLOOKUP('Données projet'!$B$10,Paramètres!$A$1:$I$89,3,0)*0.475*44/12</f>
        <v>4.1099676233436311</v>
      </c>
      <c r="AX98" s="21">
        <f t="shared" si="60"/>
        <v>139.71383213057834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180.31844548479722</v>
      </c>
      <c r="BJ98" s="59">
        <f t="shared" si="92"/>
        <v>273.83237400307223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41.654565231881122</v>
      </c>
      <c r="BQ98" s="21">
        <f>EXP(-LN(2)/25)*BQ97+(1-EXP(-LN(2)/25))/(LN(2)/25)*Calculateur!BL98*Calculateur!BN98*VLOOKUP('Données projet'!$B$11,Paramètres!$A$1:$I$89,3,0)*0.475*44/12</f>
        <v>54.798391650156837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96.452956882037967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-3.979039320256561E-13</v>
      </c>
      <c r="BZ98" s="13">
        <f>BY98*VLOOKUP('Données projet'!$B$12,Paramètres!$A$1:$I$89,3,0)*VLOOKUP('Données projet'!$B$12,Paramètres!$A$1:$I$89,5,0)</f>
        <v>-2.379465513513424E-13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214.34615950592251</v>
      </c>
      <c r="CE98" s="59">
        <f t="shared" si="94"/>
        <v>159.66077836853066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105.68955494585299</v>
      </c>
      <c r="CL98" s="21">
        <f>EXP(-LN(2)/25)*CL97+(1-EXP(-LN(2)/25))/(LN(2)/25)*Calculateur!CG98*Calculateur!CI98*VLOOKUP('Données projet'!$B$12,Paramètres!$A$1:$I$89,3,0)*0.475*44/12</f>
        <v>22.573054648672684</v>
      </c>
      <c r="CM98" s="21">
        <f>EXP(-LN(2)/2)*CM97+(1-EXP(-LN(2)/2))/(LN(2)/2)*CG98*CJ98*VLOOKUP('Données projet'!$B$12,Paramètres!$A$1:$I$89,3,0)*0.475*44/12</f>
        <v>0.19976552703806558</v>
      </c>
      <c r="CN98" s="22">
        <f t="shared" si="66"/>
        <v>128.46237512156375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44.928000000000097</v>
      </c>
      <c r="D99" s="11">
        <f t="shared" si="86"/>
        <v>13.295851692351626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449.44727622166243</v>
      </c>
      <c r="H99" s="67">
        <f t="shared" si="56"/>
        <v>394.73987503084589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-1.1368683772161603E-13</v>
      </c>
      <c r="O99" s="13">
        <f>N99*VLOOKUP('Données projet'!$B$9,Paramètres!$A$1:$I$89,3,0)*VLOOKUP('Données projet'!$B$9,Paramètres!$A$1:$I$89,5,0)</f>
        <v>-6.3550942286383367E-14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279.32192402750189</v>
      </c>
      <c r="T99" s="59">
        <f t="shared" si="88"/>
        <v>371.43572414443611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100.63154847519814</v>
      </c>
      <c r="AA99" s="21">
        <f>EXP(-LN(2)/25)*AA98+(1-EXP(-LN(2)/25))/(LN(2)/25)*Calculateur!V99*Calculateur!X99*VLOOKUP('Données projet'!$B$9,Paramètres!$A$1:$I$89,3,0)*0.475*44/12</f>
        <v>18.483797227198433</v>
      </c>
      <c r="AB99" s="21">
        <f>EXP(-LN(2)/2)*AB98+(1-EXP(-LN(2)/2))/(LN(2)/2)*V99*Y99*VLOOKUP('Données projet'!$B$9,Paramètres!$A$1:$I$89,3,0)*0.475*44/12</f>
        <v>2.3036660876734818E-5</v>
      </c>
      <c r="AC99" s="22">
        <f t="shared" si="57"/>
        <v>119.11536873905746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7.5784615384615392</v>
      </c>
      <c r="AI99" s="13">
        <f>IF('Données projet'!$A$62&gt;35,AI98+AH99-AQ98,IF(A99&lt;'Données projet'!$A$62,$AF$205^A99,IF(A99='Données projet'!$A$62,'Données projet'!$B$62,AI98+AH99-AQ98)))</f>
        <v>269.71538461538398</v>
      </c>
      <c r="AJ99" s="13">
        <f>AI99*VLOOKUP('Données projet'!$B$10,Paramètres!$A$1:$I$89,3,0)*VLOOKUP('Données projet'!$B$10,Paramètres!$A$1:$I$89,5,0)</f>
        <v>126.22679999999971</v>
      </c>
      <c r="AK99" s="13">
        <f t="shared" si="89"/>
        <v>33.122994638732102</v>
      </c>
      <c r="AL99" s="20">
        <f t="shared" si="58"/>
        <v>277.53422566245791</v>
      </c>
      <c r="AM99" s="59">
        <f t="shared" si="59"/>
        <v>570.86755899579123</v>
      </c>
      <c r="AN99" s="59">
        <f ca="1">AVERAGE(OFFSET($AM$3,0,0,'Données projet'!$E$10+1,1))-AVERAGE(OFFSET($H$3,0,0,'Données projet'!$E$10+1,1))</f>
        <v>192.20041613277965</v>
      </c>
      <c r="AO99" s="59">
        <f t="shared" si="90"/>
        <v>132.76245212522417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105.97843133982093</v>
      </c>
      <c r="AV99" s="21">
        <f>EXP(-LN(2)/25)*AV98+(1-EXP(-LN(2)/25))/(LN(2)/25)*Calculateur!AQ99*Calculateur!AS99*VLOOKUP('Données projet'!$B$10,Paramètres!$A$1:$I$89,3,0)*0.475*44/12</f>
        <v>26.753549328429315</v>
      </c>
      <c r="AW99" s="21">
        <f>EXP(-LN(2)/2)*AW98+(1-EXP(-LN(2)/2))/(LN(2)/2)*AQ99*AT99*VLOOKUP('Données projet'!$B$10,Paramètres!$A$1:$I$89,3,0)*0.475*44/12</f>
        <v>2.9061859769234397</v>
      </c>
      <c r="AX99" s="21">
        <f t="shared" si="60"/>
        <v>135.63816664517367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180.31844548479722</v>
      </c>
      <c r="BJ99" s="59">
        <f t="shared" si="92"/>
        <v>273.83237400307223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40.837744614460014</v>
      </c>
      <c r="BQ99" s="21">
        <f>EXP(-LN(2)/25)*BQ98+(1-EXP(-LN(2)/25))/(LN(2)/25)*Calculateur!BL99*Calculateur!BN99*VLOOKUP('Données projet'!$B$11,Paramètres!$A$1:$I$89,3,0)*0.475*44/12</f>
        <v>53.299926748761123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94.137671363221131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-3.979039320256561E-13</v>
      </c>
      <c r="BZ99" s="13">
        <f>BY99*VLOOKUP('Données projet'!$B$12,Paramètres!$A$1:$I$89,3,0)*VLOOKUP('Données projet'!$B$12,Paramètres!$A$1:$I$89,5,0)</f>
        <v>-2.379465513513424E-13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214.34615950592251</v>
      </c>
      <c r="CE99" s="59">
        <f t="shared" si="94"/>
        <v>159.66077836853066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103.61704723762801</v>
      </c>
      <c r="CL99" s="21">
        <f>EXP(-LN(2)/25)*CL98+(1-EXP(-LN(2)/25))/(LN(2)/25)*Calculateur!CG99*Calculateur!CI99*VLOOKUP('Données projet'!$B$12,Paramètres!$A$1:$I$89,3,0)*0.475*44/12</f>
        <v>21.955793282239377</v>
      </c>
      <c r="CM99" s="21">
        <f>EXP(-LN(2)/2)*CM98+(1-EXP(-LN(2)/2))/(LN(2)/2)*CG99*CJ99*VLOOKUP('Données projet'!$B$12,Paramètres!$A$1:$I$89,3,0)*0.475*44/12</f>
        <v>0.14125555881592078</v>
      </c>
      <c r="CN99" s="22">
        <f t="shared" si="66"/>
        <v>125.7140960786833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45.3960000000001</v>
      </c>
      <c r="D100" s="11">
        <f t="shared" si="86"/>
        <v>13.418155022123713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454.00400367955223</v>
      </c>
      <c r="H100" s="67">
        <f t="shared" si="56"/>
        <v>395.76798666353227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-1.1368683772161603E-13</v>
      </c>
      <c r="O100" s="13">
        <f>N100*VLOOKUP('Données projet'!$B$9,Paramètres!$A$1:$I$89,3,0)*VLOOKUP('Données projet'!$B$9,Paramètres!$A$1:$I$89,5,0)</f>
        <v>-6.3550942286383367E-14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279.32192402750189</v>
      </c>
      <c r="T100" s="59">
        <f t="shared" si="88"/>
        <v>371.43572414443611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98.658225188783391</v>
      </c>
      <c r="AA100" s="21">
        <f>EXP(-LN(2)/25)*AA99+(1-EXP(-LN(2)/25))/(LN(2)/25)*Calculateur!V100*Calculateur!X100*VLOOKUP('Données projet'!$B$9,Paramètres!$A$1:$I$89,3,0)*0.475*44/12</f>
        <v>17.978356820000041</v>
      </c>
      <c r="AB100" s="21">
        <f>EXP(-LN(2)/2)*AB99+(1-EXP(-LN(2)/2))/(LN(2)/2)*V100*Y100*VLOOKUP('Données projet'!$B$9,Paramètres!$A$1:$I$89,3,0)*0.475*44/12</f>
        <v>1.6289379121834027E-5</v>
      </c>
      <c r="AC100" s="22">
        <f t="shared" si="57"/>
        <v>116.63659829816255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7.5784615384615392</v>
      </c>
      <c r="AI100" s="13">
        <f>IF('Données projet'!$A$62&gt;35,AI99+AH100-AQ99,IF(A100&lt;'Données projet'!$A$62,$AF$205^A100,IF(A100='Données projet'!$A$62,'Données projet'!$B$62,AI99+AH100-AQ99)))</f>
        <v>277.29384615384549</v>
      </c>
      <c r="AJ100" s="13">
        <f>AI100*VLOOKUP('Données projet'!$B$10,Paramètres!$A$1:$I$89,3,0)*VLOOKUP('Données projet'!$B$10,Paramètres!$A$1:$I$89,5,0)</f>
        <v>129.77351999999971</v>
      </c>
      <c r="AK100" s="13">
        <f t="shared" si="89"/>
        <v>33.944021144316821</v>
      </c>
      <c r="AL100" s="20">
        <f t="shared" si="58"/>
        <v>285.14138415968461</v>
      </c>
      <c r="AM100" s="59">
        <f t="shared" si="59"/>
        <v>578.47471749301792</v>
      </c>
      <c r="AN100" s="59">
        <f ca="1">AVERAGE(OFFSET($AM$3,0,0,'Données projet'!$E$10+1,1))-AVERAGE(OFFSET($H$3,0,0,'Données projet'!$E$10+1,1))</f>
        <v>192.20041613277965</v>
      </c>
      <c r="AO100" s="59">
        <f t="shared" si="90"/>
        <v>132.76245212522417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103.90025894170745</v>
      </c>
      <c r="AV100" s="21">
        <f>EXP(-LN(2)/25)*AV99+(1-EXP(-LN(2)/25))/(LN(2)/25)*Calculateur!AQ100*Calculateur!AS100*VLOOKUP('Données projet'!$B$10,Paramètres!$A$1:$I$89,3,0)*0.475*44/12</f>
        <v>26.021972115135402</v>
      </c>
      <c r="AW100" s="21">
        <f>EXP(-LN(2)/2)*AW99+(1-EXP(-LN(2)/2))/(LN(2)/2)*AQ100*AT100*VLOOKUP('Données projet'!$B$10,Paramètres!$A$1:$I$89,3,0)*0.475*44/12</f>
        <v>2.0549838116718155</v>
      </c>
      <c r="AX100" s="21">
        <f t="shared" si="60"/>
        <v>131.97721486851466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180.31844548479722</v>
      </c>
      <c r="BJ100" s="59">
        <f t="shared" si="92"/>
        <v>273.83237400307223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40.036941351135148</v>
      </c>
      <c r="BQ100" s="21">
        <f>EXP(-LN(2)/25)*BQ99+(1-EXP(-LN(2)/25))/(LN(2)/25)*Calculateur!BL100*Calculateur!BN100*VLOOKUP('Données projet'!$B$11,Paramètres!$A$1:$I$89,3,0)*0.475*44/12</f>
        <v>51.84243744889492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91.879378800030068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-3.979039320256561E-13</v>
      </c>
      <c r="BZ100" s="13">
        <f>BY100*VLOOKUP('Données projet'!$B$12,Paramètres!$A$1:$I$89,3,0)*VLOOKUP('Données projet'!$B$12,Paramètres!$A$1:$I$89,5,0)</f>
        <v>-2.379465513513424E-13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214.34615950592251</v>
      </c>
      <c r="CE100" s="59">
        <f t="shared" si="94"/>
        <v>159.66077836853066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101.58518014145645</v>
      </c>
      <c r="CL100" s="21">
        <f>EXP(-LN(2)/25)*CL99+(1-EXP(-LN(2)/25))/(LN(2)/25)*Calculateur!CG100*Calculateur!CI100*VLOOKUP('Données projet'!$B$12,Paramètres!$A$1:$I$89,3,0)*0.475*44/12</f>
        <v>21.355410960331554</v>
      </c>
      <c r="CM100" s="21">
        <f>EXP(-LN(2)/2)*CM99+(1-EXP(-LN(2)/2))/(LN(2)/2)*CG100*CJ100*VLOOKUP('Données projet'!$B$12,Paramètres!$A$1:$I$89,3,0)*0.475*44/12</f>
        <v>9.9882763519032788E-2</v>
      </c>
      <c r="CN100" s="22">
        <f t="shared" si="66"/>
        <v>123.04047386530704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45.864000000000104</v>
      </c>
      <c r="D101" s="11">
        <f t="shared" si="86"/>
        <v>13.540311673175431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458.55959888065331</v>
      </c>
      <c r="H101" s="67">
        <f t="shared" si="56"/>
        <v>396.79584283078071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-1.1368683772161603E-13</v>
      </c>
      <c r="O101" s="13">
        <f>N101*VLOOKUP('Données projet'!$B$9,Paramètres!$A$1:$I$89,3,0)*VLOOKUP('Données projet'!$B$9,Paramètres!$A$1:$I$89,5,0)</f>
        <v>-6.3550942286383367E-14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279.32192402750189</v>
      </c>
      <c r="T101" s="59">
        <f t="shared" si="88"/>
        <v>371.43572414443611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96.723597568406873</v>
      </c>
      <c r="AA101" s="21">
        <f>EXP(-LN(2)/25)*AA100+(1-EXP(-LN(2)/25))/(LN(2)/25)*Calculateur!V101*Calculateur!X101*VLOOKUP('Données projet'!$B$9,Paramètres!$A$1:$I$89,3,0)*0.475*44/12</f>
        <v>17.486737707316443</v>
      </c>
      <c r="AB101" s="21">
        <f>EXP(-LN(2)/2)*AB100+(1-EXP(-LN(2)/2))/(LN(2)/2)*V101*Y101*VLOOKUP('Données projet'!$B$9,Paramètres!$A$1:$I$89,3,0)*0.475*44/12</f>
        <v>1.1518330438367409E-5</v>
      </c>
      <c r="AC101" s="22">
        <f t="shared" si="57"/>
        <v>114.21034679405375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7.5784615384615392</v>
      </c>
      <c r="AI101" s="13">
        <f>IF('Données projet'!$A$62&gt;35,AI100+AH101-AQ100,IF(A101&lt;'Données projet'!$A$62,$AF$205^A101,IF(A101='Données projet'!$A$62,'Données projet'!$B$62,AI100+AH101-AQ100)))</f>
        <v>284.872307692307</v>
      </c>
      <c r="AJ101" s="13">
        <f>AI101*VLOOKUP('Données projet'!$B$10,Paramètres!$A$1:$I$89,3,0)*VLOOKUP('Données projet'!$B$10,Paramètres!$A$1:$I$89,5,0)</f>
        <v>133.32023999999967</v>
      </c>
      <c r="AK101" s="13">
        <f t="shared" si="89"/>
        <v>34.762439590361332</v>
      </c>
      <c r="AL101" s="20">
        <f t="shared" si="58"/>
        <v>292.74400028654537</v>
      </c>
      <c r="AM101" s="59">
        <f t="shared" si="59"/>
        <v>586.07733361987869</v>
      </c>
      <c r="AN101" s="59">
        <f ca="1">AVERAGE(OFFSET($AM$3,0,0,'Données projet'!$E$10+1,1))-AVERAGE(OFFSET($H$3,0,0,'Données projet'!$E$10+1,1))</f>
        <v>192.20041613277965</v>
      </c>
      <c r="AO101" s="59">
        <f t="shared" si="90"/>
        <v>132.76245212522417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101.86283823676096</v>
      </c>
      <c r="AV101" s="21">
        <f>EXP(-LN(2)/25)*AV100+(1-EXP(-LN(2)/25))/(LN(2)/25)*Calculateur!AQ101*Calculateur!AS101*VLOOKUP('Données projet'!$B$10,Paramètres!$A$1:$I$89,3,0)*0.475*44/12</f>
        <v>25.310399919210983</v>
      </c>
      <c r="AW101" s="21">
        <f>EXP(-LN(2)/2)*AW100+(1-EXP(-LN(2)/2))/(LN(2)/2)*AQ101*AT101*VLOOKUP('Données projet'!$B$10,Paramètres!$A$1:$I$89,3,0)*0.475*44/12</f>
        <v>1.4530929884617199</v>
      </c>
      <c r="AX101" s="21">
        <f t="shared" si="60"/>
        <v>128.62633114443366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180.31844548479722</v>
      </c>
      <c r="BJ101" s="59">
        <f t="shared" si="92"/>
        <v>273.83237400307223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39.251841351362323</v>
      </c>
      <c r="BQ101" s="21">
        <f>EXP(-LN(2)/25)*BQ100+(1-EXP(-LN(2)/25))/(LN(2)/25)*Calculateur!BL101*Calculateur!BN101*VLOOKUP('Données projet'!$B$11,Paramètres!$A$1:$I$89,3,0)*0.475*44/12</f>
        <v>50.424803270579588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89.676644621941904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-3.979039320256561E-13</v>
      </c>
      <c r="BZ101" s="13">
        <f>BY101*VLOOKUP('Données projet'!$B$12,Paramètres!$A$1:$I$89,3,0)*VLOOKUP('Données projet'!$B$12,Paramètres!$A$1:$I$89,5,0)</f>
        <v>-2.379465513513424E-13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214.34615950592251</v>
      </c>
      <c r="CE101" s="59">
        <f t="shared" si="94"/>
        <v>159.66077836853066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99.593156719724249</v>
      </c>
      <c r="CL101" s="21">
        <f>EXP(-LN(2)/25)*CL100+(1-EXP(-LN(2)/25))/(LN(2)/25)*Calculateur!CG101*Calculateur!CI101*VLOOKUP('Données projet'!$B$12,Paramètres!$A$1:$I$89,3,0)*0.475*44/12</f>
        <v>20.771446124589033</v>
      </c>
      <c r="CM101" s="21">
        <f>EXP(-LN(2)/2)*CM100+(1-EXP(-LN(2)/2))/(LN(2)/2)*CG101*CJ101*VLOOKUP('Données projet'!$B$12,Paramètres!$A$1:$I$89,3,0)*0.475*44/12</f>
        <v>7.0627779407960389E-2</v>
      </c>
      <c r="CN101" s="22">
        <f t="shared" si="66"/>
        <v>120.43523062372124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46.332000000000107</v>
      </c>
      <c r="D102" s="11">
        <f t="shared" si="86"/>
        <v>13.662323315513085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463.11407471624216</v>
      </c>
      <c r="H102" s="67">
        <f t="shared" si="56"/>
        <v>397.82344644118547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-1.1368683772161603E-13</v>
      </c>
      <c r="O102" s="13">
        <f>N102*VLOOKUP('Données projet'!$B$9,Paramètres!$A$1:$I$89,3,0)*VLOOKUP('Données projet'!$B$9,Paramètres!$A$1:$I$89,5,0)</f>
        <v>-6.3550942286383367E-14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279.32192402750189</v>
      </c>
      <c r="T102" s="59">
        <f t="shared" si="88"/>
        <v>371.43572414443611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94.826906815659598</v>
      </c>
      <c r="AA102" s="21">
        <f>EXP(-LN(2)/25)*AA101+(1-EXP(-LN(2)/25))/(LN(2)/25)*Calculateur!V102*Calculateur!X102*VLOOKUP('Données projet'!$B$9,Paramètres!$A$1:$I$89,3,0)*0.475*44/12</f>
        <v>17.008561945122306</v>
      </c>
      <c r="AB102" s="21">
        <f>EXP(-LN(2)/2)*AB101+(1-EXP(-LN(2)/2))/(LN(2)/2)*V102*Y102*VLOOKUP('Données projet'!$B$9,Paramètres!$A$1:$I$89,3,0)*0.475*44/12</f>
        <v>8.1446895609170135E-6</v>
      </c>
      <c r="AC102" s="22">
        <f t="shared" si="57"/>
        <v>111.83547690547147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7.5784615384615392</v>
      </c>
      <c r="AI102" s="13">
        <f>IF('Données projet'!$A$62&gt;35,AI101+AH102-AQ101,IF(A102&lt;'Données projet'!$A$62,$AF$205^A102,IF(A102='Données projet'!$A$62,'Données projet'!$B$62,AI101+AH102-AQ101)))</f>
        <v>292.45076923076851</v>
      </c>
      <c r="AJ102" s="13">
        <f>AI102*VLOOKUP('Données projet'!$B$10,Paramètres!$A$1:$I$89,3,0)*VLOOKUP('Données projet'!$B$10,Paramètres!$A$1:$I$89,5,0)</f>
        <v>136.86695999999966</v>
      </c>
      <c r="AK102" s="13">
        <f t="shared" si="89"/>
        <v>35.578327333867257</v>
      </c>
      <c r="AL102" s="20">
        <f t="shared" si="58"/>
        <v>300.34220877315158</v>
      </c>
      <c r="AM102" s="59">
        <f t="shared" si="59"/>
        <v>593.67554210648495</v>
      </c>
      <c r="AN102" s="59">
        <f ca="1">AVERAGE(OFFSET($AM$3,0,0,'Données projet'!$E$10+1,1))-AVERAGE(OFFSET($H$3,0,0,'Données projet'!$E$10+1,1))</f>
        <v>192.20041613277965</v>
      </c>
      <c r="AO102" s="59">
        <f t="shared" si="90"/>
        <v>132.76245212522417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99.86537010913456</v>
      </c>
      <c r="AV102" s="21">
        <f>EXP(-LN(2)/25)*AV101+(1-EXP(-LN(2)/25))/(LN(2)/25)*Calculateur!AQ102*Calculateur!AS102*VLOOKUP('Données projet'!$B$10,Paramètres!$A$1:$I$89,3,0)*0.475*44/12</f>
        <v>24.618285702404076</v>
      </c>
      <c r="AW102" s="21">
        <f>EXP(-LN(2)/2)*AW101+(1-EXP(-LN(2)/2))/(LN(2)/2)*AQ102*AT102*VLOOKUP('Données projet'!$B$10,Paramètres!$A$1:$I$89,3,0)*0.475*44/12</f>
        <v>1.0274919058359078</v>
      </c>
      <c r="AX102" s="21">
        <f t="shared" si="60"/>
        <v>125.51114771737454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180.31844548479722</v>
      </c>
      <c r="BJ102" s="59">
        <f t="shared" si="92"/>
        <v>273.83237400307223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38.482136683721329</v>
      </c>
      <c r="BQ102" s="21">
        <f>EXP(-LN(2)/25)*BQ101+(1-EXP(-LN(2)/25))/(LN(2)/25)*Calculateur!BL102*Calculateur!BN102*VLOOKUP('Données projet'!$B$11,Paramètres!$A$1:$I$89,3,0)*0.475*44/12</f>
        <v>49.04593437342043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87.528071057141759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-3.979039320256561E-13</v>
      </c>
      <c r="BZ102" s="13">
        <f>BY102*VLOOKUP('Données projet'!$B$12,Paramètres!$A$1:$I$89,3,0)*VLOOKUP('Données projet'!$B$12,Paramètres!$A$1:$I$89,5,0)</f>
        <v>-2.379465513513424E-13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214.34615950592251</v>
      </c>
      <c r="CE102" s="59">
        <f t="shared" si="94"/>
        <v>159.66077836853066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97.640195662277904</v>
      </c>
      <c r="CL102" s="21">
        <f>EXP(-LN(2)/25)*CL101+(1-EXP(-LN(2)/25))/(LN(2)/25)*Calculateur!CG102*Calculateur!CI102*VLOOKUP('Données projet'!$B$12,Paramètres!$A$1:$I$89,3,0)*0.475*44/12</f>
        <v>20.203449837989268</v>
      </c>
      <c r="CM102" s="21">
        <f>EXP(-LN(2)/2)*CM101+(1-EXP(-LN(2)/2))/(LN(2)/2)*CG102*CJ102*VLOOKUP('Données projet'!$B$12,Paramètres!$A$1:$I$89,3,0)*0.475*44/12</f>
        <v>4.9941381759516394E-2</v>
      </c>
      <c r="CN102" s="22">
        <f t="shared" si="66"/>
        <v>117.89358688202668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46.800000000000111</v>
      </c>
      <c r="D103" s="11">
        <f t="shared" si="86"/>
        <v>13.784191583461164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467.66744380215727</v>
      </c>
      <c r="H103" s="67">
        <f t="shared" si="56"/>
        <v>398.85080034119505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-1.1368683772161603E-13</v>
      </c>
      <c r="O103" s="13">
        <f>N103*VLOOKUP('Données projet'!$B$9,Paramètres!$A$1:$I$89,3,0)*VLOOKUP('Données projet'!$B$9,Paramètres!$A$1:$I$89,5,0)</f>
        <v>-6.3550942286383367E-14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279.32192402750189</v>
      </c>
      <c r="T103" s="59">
        <f t="shared" si="88"/>
        <v>371.43572414443611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92.967409011706579</v>
      </c>
      <c r="AA103" s="21">
        <f>EXP(-LN(2)/25)*AA102+(1-EXP(-LN(2)/25))/(LN(2)/25)*Calculateur!V103*Calculateur!X103*VLOOKUP('Données projet'!$B$9,Paramètres!$A$1:$I$89,3,0)*0.475*44/12</f>
        <v>16.543461924291538</v>
      </c>
      <c r="AB103" s="21">
        <f>EXP(-LN(2)/2)*AB102+(1-EXP(-LN(2)/2))/(LN(2)/2)*V103*Y103*VLOOKUP('Données projet'!$B$9,Paramètres!$A$1:$I$89,3,0)*0.475*44/12</f>
        <v>5.7591652191837045E-6</v>
      </c>
      <c r="AC103" s="22">
        <f t="shared" si="57"/>
        <v>109.51087669516333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7.5784615384615392</v>
      </c>
      <c r="AI103" s="13">
        <f>IF('Données projet'!$A$62&gt;35,AI102+AH103-AQ102,IF(A103&lt;'Données projet'!$A$62,$AF$205^A103,IF(A103='Données projet'!$A$62,'Données projet'!$B$62,AI102+AH103-AQ102)))</f>
        <v>300.02923076923003</v>
      </c>
      <c r="AJ103" s="13">
        <f>AI103*VLOOKUP('Données projet'!$B$10,Paramètres!$A$1:$I$89,3,0)*VLOOKUP('Données projet'!$B$10,Paramètres!$A$1:$I$89,5,0)</f>
        <v>140.41367999999966</v>
      </c>
      <c r="AK103" s="13">
        <f t="shared" si="89"/>
        <v>36.391757494259856</v>
      </c>
      <c r="AL103" s="20">
        <f t="shared" si="58"/>
        <v>307.93613696916861</v>
      </c>
      <c r="AM103" s="59">
        <f t="shared" si="59"/>
        <v>601.26947030250199</v>
      </c>
      <c r="AN103" s="59">
        <f ca="1">AVERAGE(OFFSET($AM$3,0,0,'Données projet'!$E$10+1,1))-AVERAGE(OFFSET($H$3,0,0,'Données projet'!$E$10+1,1))</f>
        <v>192.20041613277965</v>
      </c>
      <c r="AO103" s="59">
        <f t="shared" si="90"/>
        <v>132.76245212522417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97.907071113155652</v>
      </c>
      <c r="AV103" s="21">
        <f>EXP(-LN(2)/25)*AV102+(1-EXP(-LN(2)/25))/(LN(2)/25)*Calculateur!AQ103*Calculateur!AS103*VLOOKUP('Données projet'!$B$10,Paramètres!$A$1:$I$89,3,0)*0.475*44/12</f>
        <v>23.945097385252456</v>
      </c>
      <c r="AW103" s="21">
        <f>EXP(-LN(2)/2)*AW102+(1-EXP(-LN(2)/2))/(LN(2)/2)*AQ103*AT103*VLOOKUP('Données projet'!$B$10,Paramètres!$A$1:$I$89,3,0)*0.475*44/12</f>
        <v>0.72654649423085993</v>
      </c>
      <c r="AX103" s="21">
        <f t="shared" si="60"/>
        <v>122.57871499263896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180.31844548479722</v>
      </c>
      <c r="BJ103" s="59">
        <f t="shared" si="92"/>
        <v>273.83237400307223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37.727525455139286</v>
      </c>
      <c r="BQ103" s="21">
        <f>EXP(-LN(2)/25)*BQ102+(1-EXP(-LN(2)/25))/(LN(2)/25)*Calculateur!BL103*Calculateur!BN103*VLOOKUP('Données projet'!$B$11,Paramètres!$A$1:$I$89,3,0)*0.475*44/12</f>
        <v>47.704770718765658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85.432296173904945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-3.979039320256561E-13</v>
      </c>
      <c r="BZ103" s="13">
        <f>BY103*VLOOKUP('Données projet'!$B$12,Paramètres!$A$1:$I$89,3,0)*VLOOKUP('Données projet'!$B$12,Paramètres!$A$1:$I$89,5,0)</f>
        <v>-2.379465513513424E-13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214.34615950592251</v>
      </c>
      <c r="CE103" s="59">
        <f t="shared" si="94"/>
        <v>159.66077836853066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95.725530979979453</v>
      </c>
      <c r="CL103" s="21">
        <f>EXP(-LN(2)/25)*CL102+(1-EXP(-LN(2)/25))/(LN(2)/25)*Calculateur!CG103*Calculateur!CI103*VLOOKUP('Données projet'!$B$12,Paramètres!$A$1:$I$89,3,0)*0.475*44/12</f>
        <v>19.650985439716202</v>
      </c>
      <c r="CM103" s="21">
        <f>EXP(-LN(2)/2)*CM102+(1-EXP(-LN(2)/2))/(LN(2)/2)*CG103*CJ103*VLOOKUP('Données projet'!$B$12,Paramètres!$A$1:$I$89,3,0)*0.475*44/12</f>
        <v>3.5313889703980195E-2</v>
      </c>
      <c r="CN103" s="22">
        <f t="shared" si="66"/>
        <v>115.41183030939965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47.268000000000114</v>
      </c>
      <c r="D104" s="11">
        <f t="shared" si="86"/>
        <v>13.905918076773704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472.21971848737684</v>
      </c>
      <c r="H104" s="67">
        <f t="shared" si="56"/>
        <v>399.87790731704769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-6.3550942286383367E-14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279.32192402750189</v>
      </c>
      <c r="T104" s="59">
        <f t="shared" si="88"/>
        <v>371.43572414443611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91.144374825507398</v>
      </c>
      <c r="AA104" s="21">
        <f>EXP(-LN(2)/25)*AA103+(1-EXP(-LN(2)/25))/(LN(2)/25)*Calculateur!V104*Calculateur!X104*VLOOKUP('Données projet'!$B$9,Paramètres!$A$1:$I$89,3,0)*0.475*44/12</f>
        <v>16.091080087988935</v>
      </c>
      <c r="AB104" s="21">
        <f>EXP(-LN(2)/2)*AB103+(1-EXP(-LN(2)/2))/(LN(2)/2)*V104*Y104*VLOOKUP('Données projet'!$B$9,Paramètres!$A$1:$I$89,3,0)*0.475*44/12</f>
        <v>4.0723447804585067E-6</v>
      </c>
      <c r="AC104" s="22">
        <f t="shared" si="57"/>
        <v>107.23545898584112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>
        <f>VLOOKUP(A104,'Données projet'!$A$61:$I$81,2,0)</f>
        <v>307.60769230769228</v>
      </c>
      <c r="AG104" s="12">
        <f>VLOOKUP(A104,'Données projet'!$A$61:$I$81,9,0)</f>
        <v>7.5784615384615392</v>
      </c>
      <c r="AH104" s="12">
        <f t="array" ref="AH104">INDEX(AG:AG,MIN(IF(ISNUMBER(AG104:AG300),ROW(AG104:AG300),"")))</f>
        <v>7.5784615384615392</v>
      </c>
      <c r="AI104" s="13">
        <f>IF('Données projet'!$A$62&gt;35,AI103+AH104-AQ103,IF(A104&lt;'Données projet'!$A$62,$AF$205^A104,IF(A104='Données projet'!$A$62,'Données projet'!$B$62,AI103+AH104-AQ103)))</f>
        <v>307.60769230769154</v>
      </c>
      <c r="AJ104" s="13">
        <f>AI104*VLOOKUP('Données projet'!$B$10,Paramètres!$A$1:$I$89,3,0)*VLOOKUP('Données projet'!$B$10,Paramètres!$A$1:$I$89,5,0)</f>
        <v>143.96039999999965</v>
      </c>
      <c r="AK104" s="13">
        <f t="shared" si="89"/>
        <v>37.202799286612169</v>
      </c>
      <c r="AL104" s="20">
        <f t="shared" si="58"/>
        <v>315.52590542418221</v>
      </c>
      <c r="AM104" s="59">
        <f t="shared" si="59"/>
        <v>608.85923875751553</v>
      </c>
      <c r="AN104" s="59">
        <f ca="1">AVERAGE(OFFSET($AM$3,0,0,'Données projet'!$E$10+1,1))-AVERAGE(OFFSET($H$3,0,0,'Données projet'!$E$10+1,1))</f>
        <v>192.20041613277965</v>
      </c>
      <c r="AO104" s="59">
        <f t="shared" si="90"/>
        <v>132.76245212522417</v>
      </c>
      <c r="AP104" s="15">
        <f>IF(ISNA(VLOOKUP(A104,'Données projet'!$A$61:$I$81,3,0)),0,VLOOKUP(A104,'Données projet'!$A$61:$I$81,3,0))</f>
        <v>8</v>
      </c>
      <c r="AQ104" s="15">
        <f>IF(ISNA(VLOOKUP(A104,'Données projet'!$A$61:$I$81,4,0)),0,VLOOKUP(A104,'Données projet'!$A$61:$I$81,4,0))</f>
        <v>307.60769230769228</v>
      </c>
      <c r="AR104" s="16">
        <f>IF(ISNA(VLOOKUP(A104,'Données projet'!$A$61:$I$81,5,0)),0%,VLOOKUP(A104,'Données projet'!$A$61:$I$81,5,0)*VLOOKUP('Données projet'!$B$10,Paramètres!$A$1:$I$89,7,0))</f>
        <v>0.38500000000000001</v>
      </c>
      <c r="AS104" s="16">
        <f>IF(ISNA(VLOOKUP(A104,'Données projet'!$A$61:$I$81,6,0)),0%,VLOOKUP(A104,'Données projet'!$A$61:$I$81,6,0)*VLOOKUP('Données projet'!$B$10,Paramètres!$A$1:$I$89,7,0))</f>
        <v>9.240000000000001E-2</v>
      </c>
      <c r="AT104" s="16">
        <f>IF(ISNA(VLOOKUP(A104,'Données projet'!$A$61:$I$81,7,0)),0%,VLOOKUP(A104,'Données projet'!$A$61:$I$81,7,0))</f>
        <v>0.13200000000000001</v>
      </c>
      <c r="AU104" s="21">
        <f>EXP(-LN(2)/35)*AU103+(1-EXP(-LN(2)/35))/(LN(2)/35)*AQ104*AR104*VLOOKUP('Données projet'!$B$10,Paramètres!$A$1:$I$89,3,0)*0.475*44/12</f>
        <v>169.51168177392393</v>
      </c>
      <c r="AV104" s="21">
        <f>EXP(-LN(2)/25)*AV103+(1-EXP(-LN(2)/25))/(LN(2)/25)*Calculateur!AQ104*Calculateur!AS104*VLOOKUP('Données projet'!$B$10,Paramètres!$A$1:$I$89,3,0)*0.475*44/12</f>
        <v>40.866720942624497</v>
      </c>
      <c r="AW104" s="21">
        <f>EXP(-LN(2)/2)*AW103+(1-EXP(-LN(2)/2))/(LN(2)/2)*AQ104*AT104*VLOOKUP('Données projet'!$B$10,Paramètres!$A$1:$I$89,3,0)*0.475*44/12</f>
        <v>22.029299059635388</v>
      </c>
      <c r="AX104" s="21">
        <f t="shared" si="60"/>
        <v>232.40770177618379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180.31844548479722</v>
      </c>
      <c r="BJ104" s="59">
        <f t="shared" si="92"/>
        <v>273.83237400307223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36.987711692482335</v>
      </c>
      <c r="BQ104" s="21">
        <f>EXP(-LN(2)/25)*BQ103+(1-EXP(-LN(2)/25))/(LN(2)/25)*Calculateur!BL104*Calculateur!BN104*VLOOKUP('Données projet'!$B$11,Paramètres!$A$1:$I$89,3,0)*0.475*44/12</f>
        <v>46.400281254776154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83.387992947258482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-3.979039320256561E-13</v>
      </c>
      <c r="BZ104" s="13">
        <f>BY104*VLOOKUP('Données projet'!$B$12,Paramètres!$A$1:$I$89,3,0)*VLOOKUP('Données projet'!$B$12,Paramètres!$A$1:$I$89,5,0)</f>
        <v>-2.379465513513424E-13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214.34615950592251</v>
      </c>
      <c r="CE104" s="59">
        <f t="shared" si="94"/>
        <v>159.66077836853066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93.848411704270731</v>
      </c>
      <c r="CL104" s="21">
        <f>EXP(-LN(2)/25)*CL103+(1-EXP(-LN(2)/25))/(LN(2)/25)*Calculateur!CG104*Calculateur!CI104*VLOOKUP('Données projet'!$B$12,Paramètres!$A$1:$I$89,3,0)*0.475*44/12</f>
        <v>19.11362820946675</v>
      </c>
      <c r="CM104" s="21">
        <f>EXP(-LN(2)/2)*CM103+(1-EXP(-LN(2)/2))/(LN(2)/2)*CG104*CJ104*VLOOKUP('Données projet'!$B$12,Paramètres!$A$1:$I$89,3,0)*0.475*44/12</f>
        <v>2.4970690879758197E-2</v>
      </c>
      <c r="CN104" s="22">
        <f t="shared" si="66"/>
        <v>112.98701060461724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47.736000000000118</v>
      </c>
      <c r="D105" s="11">
        <f t="shared" si="86"/>
        <v>14.027504361700455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476.77091086225005</v>
      </c>
      <c r="H105" s="67">
        <f t="shared" si="56"/>
        <v>400.90477009662845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-6.3550942286383367E-14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279.32192402750189</v>
      </c>
      <c r="T105" s="59">
        <f t="shared" si="88"/>
        <v>371.43572414443611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89.357089227758536</v>
      </c>
      <c r="AA105" s="21">
        <f>EXP(-LN(2)/25)*AA104+(1-EXP(-LN(2)/25))/(LN(2)/25)*Calculateur!V105*Calculateur!X105*VLOOKUP('Données projet'!$B$9,Paramètres!$A$1:$I$89,3,0)*0.475*44/12</f>
        <v>15.651068656789752</v>
      </c>
      <c r="AB105" s="21">
        <f>EXP(-LN(2)/2)*AB104+(1-EXP(-LN(2)/2))/(LN(2)/2)*V105*Y105*VLOOKUP('Données projet'!$B$9,Paramètres!$A$1:$I$89,3,0)*0.475*44/12</f>
        <v>2.8795826095918523E-6</v>
      </c>
      <c r="AC105" s="22">
        <f t="shared" si="57"/>
        <v>105.00816076413089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-7.3896444519050419E-13</v>
      </c>
      <c r="AJ105" s="13">
        <f>AI105*VLOOKUP('Données projet'!$B$10,Paramètres!$A$1:$I$89,3,0)*VLOOKUP('Données projet'!$B$10,Paramètres!$A$1:$I$89,5,0)</f>
        <v>-3.4583536034915594E-13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192.20041613277965</v>
      </c>
      <c r="AO105" s="59">
        <f t="shared" si="90"/>
        <v>132.76245212522417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166.18766108625405</v>
      </c>
      <c r="AV105" s="21">
        <f>EXP(-LN(2)/25)*AV104+(1-EXP(-LN(2)/25))/(LN(2)/25)*Calculateur!AQ105*Calculateur!AS105*VLOOKUP('Données projet'!$B$10,Paramètres!$A$1:$I$89,3,0)*0.475*44/12</f>
        <v>39.749218309360977</v>
      </c>
      <c r="AW105" s="21">
        <f>EXP(-LN(2)/2)*AW104+(1-EXP(-LN(2)/2))/(LN(2)/2)*AQ105*AT105*VLOOKUP('Données projet'!$B$10,Paramètres!$A$1:$I$89,3,0)*0.475*44/12</f>
        <v>15.577066749854618</v>
      </c>
      <c r="AX105" s="21">
        <f t="shared" si="60"/>
        <v>221.51394614546965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180.31844548479722</v>
      </c>
      <c r="BJ105" s="59">
        <f t="shared" si="92"/>
        <v>273.83237400307223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36.262405226469248</v>
      </c>
      <c r="BQ105" s="21">
        <f>EXP(-LN(2)/25)*BQ104+(1-EXP(-LN(2)/25))/(LN(2)/25)*Calculateur!BL105*Calculateur!BN105*VLOOKUP('Données projet'!$B$11,Paramètres!$A$1:$I$89,3,0)*0.475*44/12</f>
        <v>45.131463123779561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81.393868350248809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-3.979039320256561E-13</v>
      </c>
      <c r="BZ105" s="13">
        <f>BY105*VLOOKUP('Données projet'!$B$12,Paramètres!$A$1:$I$89,3,0)*VLOOKUP('Données projet'!$B$12,Paramètres!$A$1:$I$89,5,0)</f>
        <v>-2.379465513513424E-13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214.34615950592251</v>
      </c>
      <c r="CE105" s="59">
        <f t="shared" si="94"/>
        <v>159.66077836853066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92.008101592628961</v>
      </c>
      <c r="CL105" s="21">
        <f>EXP(-LN(2)/25)*CL104+(1-EXP(-LN(2)/25))/(LN(2)/25)*Calculateur!CG105*Calculateur!CI105*VLOOKUP('Données projet'!$B$12,Paramètres!$A$1:$I$89,3,0)*0.475*44/12</f>
        <v>18.590965040936858</v>
      </c>
      <c r="CM105" s="21">
        <f>EXP(-LN(2)/2)*CM104+(1-EXP(-LN(2)/2))/(LN(2)/2)*CG105*CJ105*VLOOKUP('Données projet'!$B$12,Paramètres!$A$1:$I$89,3,0)*0.475*44/12</f>
        <v>1.7656944851990097E-2</v>
      </c>
      <c r="CN105" s="22">
        <f t="shared" si="66"/>
        <v>110.61672357841782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48.204000000000121</v>
      </c>
      <c r="D106" s="11">
        <f t="shared" si="86"/>
        <v>14.148951972010016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481.32103276639413</v>
      </c>
      <c r="H106" s="67">
        <f t="shared" si="56"/>
        <v>401.93139135125097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-6.3550942286383367E-14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279.32192402750189</v>
      </c>
      <c r="T106" s="59">
        <f t="shared" si="88"/>
        <v>371.43572414443611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87.604851210444949</v>
      </c>
      <c r="AA106" s="21">
        <f>EXP(-LN(2)/25)*AA105+(1-EXP(-LN(2)/25))/(LN(2)/25)*Calculateur!V106*Calculateur!X106*VLOOKUP('Données projet'!$B$9,Paramètres!$A$1:$I$89,3,0)*0.475*44/12</f>
        <v>15.223089361315907</v>
      </c>
      <c r="AB106" s="21">
        <f>EXP(-LN(2)/2)*AB105+(1-EXP(-LN(2)/2))/(LN(2)/2)*V106*Y106*VLOOKUP('Données projet'!$B$9,Paramètres!$A$1:$I$89,3,0)*0.475*44/12</f>
        <v>2.0361723902292534E-6</v>
      </c>
      <c r="AC106" s="22">
        <f t="shared" si="57"/>
        <v>102.82794260793324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-7.3896444519050419E-13</v>
      </c>
      <c r="AJ106" s="13">
        <f>AI106*VLOOKUP('Données projet'!$B$10,Paramètres!$A$1:$I$89,3,0)*VLOOKUP('Données projet'!$B$10,Paramètres!$A$1:$I$89,5,0)</f>
        <v>-3.4583536034915594E-13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192.20041613277965</v>
      </c>
      <c r="AO106" s="59">
        <f t="shared" si="90"/>
        <v>132.76245212522417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162.92882241681696</v>
      </c>
      <c r="AV106" s="21">
        <f>EXP(-LN(2)/25)*AV105+(1-EXP(-LN(2)/25))/(LN(2)/25)*Calculateur!AQ106*Calculateur!AS106*VLOOKUP('Données projet'!$B$10,Paramètres!$A$1:$I$89,3,0)*0.475*44/12</f>
        <v>38.662273844370958</v>
      </c>
      <c r="AW106" s="21">
        <f>EXP(-LN(2)/2)*AW105+(1-EXP(-LN(2)/2))/(LN(2)/2)*AQ106*AT106*VLOOKUP('Données projet'!$B$10,Paramètres!$A$1:$I$89,3,0)*0.475*44/12</f>
        <v>11.014649529817696</v>
      </c>
      <c r="AX106" s="21">
        <f t="shared" si="60"/>
        <v>212.6057457910056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180.31844548479722</v>
      </c>
      <c r="BJ106" s="59">
        <f t="shared" si="92"/>
        <v>273.83237400307223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35.551321577861415</v>
      </c>
      <c r="BQ106" s="21">
        <f>EXP(-LN(2)/25)*BQ105+(1-EXP(-LN(2)/25))/(LN(2)/25)*Calculateur!BL106*Calculateur!BN106*VLOOKUP('Données projet'!$B$11,Paramètres!$A$1:$I$89,3,0)*0.475*44/12</f>
        <v>43.897340891299315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79.448662469160723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-3.979039320256561E-13</v>
      </c>
      <c r="BZ106" s="13">
        <f>BY106*VLOOKUP('Données projet'!$B$12,Paramètres!$A$1:$I$89,3,0)*VLOOKUP('Données projet'!$B$12,Paramètres!$A$1:$I$89,5,0)</f>
        <v>-2.379465513513424E-13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214.34615950592251</v>
      </c>
      <c r="CE106" s="59">
        <f t="shared" si="94"/>
        <v>159.66077836853066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90.203878839798151</v>
      </c>
      <c r="CL106" s="21">
        <f>EXP(-LN(2)/25)*CL105+(1-EXP(-LN(2)/25))/(LN(2)/25)*Calculateur!CG106*Calculateur!CI106*VLOOKUP('Données projet'!$B$12,Paramètres!$A$1:$I$89,3,0)*0.475*44/12</f>
        <v>18.082594124236078</v>
      </c>
      <c r="CM106" s="21">
        <f>EXP(-LN(2)/2)*CM105+(1-EXP(-LN(2)/2))/(LN(2)/2)*CG106*CJ106*VLOOKUP('Données projet'!$B$12,Paramètres!$A$1:$I$89,3,0)*0.475*44/12</f>
        <v>1.2485345439879099E-2</v>
      </c>
      <c r="CN106" s="22">
        <f t="shared" si="66"/>
        <v>108.29895830947412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48.672000000000125</v>
      </c>
      <c r="D107" s="11">
        <f t="shared" si="86"/>
        <v>14.270262409972092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485.87009579627687</v>
      </c>
      <c r="H107" s="67">
        <f t="shared" si="56"/>
        <v>402.95777369736822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-6.3550942286383367E-14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279.32192402750189</v>
      </c>
      <c r="T107" s="59">
        <f t="shared" si="88"/>
        <v>371.43572414443611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85.886973511891227</v>
      </c>
      <c r="AA107" s="21">
        <f>EXP(-LN(2)/25)*AA106+(1-EXP(-LN(2)/25))/(LN(2)/25)*Calculateur!V107*Calculateur!X107*VLOOKUP('Données projet'!$B$9,Paramètres!$A$1:$I$89,3,0)*0.475*44/12</f>
        <v>14.806813182183246</v>
      </c>
      <c r="AB107" s="21">
        <f>EXP(-LN(2)/2)*AB106+(1-EXP(-LN(2)/2))/(LN(2)/2)*V107*Y107*VLOOKUP('Données projet'!$B$9,Paramètres!$A$1:$I$89,3,0)*0.475*44/12</f>
        <v>1.4397913047959261E-6</v>
      </c>
      <c r="AC107" s="22">
        <f t="shared" si="57"/>
        <v>100.69378813386578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-7.3896444519050419E-13</v>
      </c>
      <c r="AJ107" s="13">
        <f>AI107*VLOOKUP('Données projet'!$B$10,Paramètres!$A$1:$I$89,3,0)*VLOOKUP('Données projet'!$B$10,Paramètres!$A$1:$I$89,5,0)</f>
        <v>-3.4583536034915594E-13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192.20041613277965</v>
      </c>
      <c r="AO107" s="59">
        <f t="shared" si="90"/>
        <v>132.76245212522417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159.73388758599222</v>
      </c>
      <c r="AV107" s="21">
        <f>EXP(-LN(2)/25)*AV106+(1-EXP(-LN(2)/25))/(LN(2)/25)*Calculateur!AQ107*Calculateur!AS107*VLOOKUP('Données projet'!$B$10,Paramètres!$A$1:$I$89,3,0)*0.475*44/12</f>
        <v>37.605051932936014</v>
      </c>
      <c r="AW107" s="21">
        <f>EXP(-LN(2)/2)*AW106+(1-EXP(-LN(2)/2))/(LN(2)/2)*AQ107*AT107*VLOOKUP('Données projet'!$B$10,Paramètres!$A$1:$I$89,3,0)*0.475*44/12</f>
        <v>7.7885333749273107</v>
      </c>
      <c r="AX107" s="21">
        <f t="shared" si="60"/>
        <v>205.12747289385555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180.31844548479722</v>
      </c>
      <c r="BJ107" s="59">
        <f t="shared" si="92"/>
        <v>273.83237400307223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34.854181845884582</v>
      </c>
      <c r="BQ107" s="21">
        <f>EXP(-LN(2)/25)*BQ106+(1-EXP(-LN(2)/25))/(LN(2)/25)*Calculateur!BL107*Calculateur!BN107*VLOOKUP('Données projet'!$B$11,Paramètres!$A$1:$I$89,3,0)*0.475*44/12</f>
        <v>42.696965796165905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77.551147642050495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-3.979039320256561E-13</v>
      </c>
      <c r="BZ107" s="13">
        <f>BY107*VLOOKUP('Données projet'!$B$12,Paramètres!$A$1:$I$89,3,0)*VLOOKUP('Données projet'!$B$12,Paramètres!$A$1:$I$89,5,0)</f>
        <v>-2.379465513513424E-13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214.34615950592251</v>
      </c>
      <c r="CE107" s="59">
        <f t="shared" si="94"/>
        <v>159.66077836853066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88.435035794683131</v>
      </c>
      <c r="CL107" s="21">
        <f>EXP(-LN(2)/25)*CL106+(1-EXP(-LN(2)/25))/(LN(2)/25)*Calculateur!CG107*Calculateur!CI107*VLOOKUP('Données projet'!$B$12,Paramètres!$A$1:$I$89,3,0)*0.475*44/12</f>
        <v>17.588124636986546</v>
      </c>
      <c r="CM107" s="21">
        <f>EXP(-LN(2)/2)*CM106+(1-EXP(-LN(2)/2))/(LN(2)/2)*CG107*CJ107*VLOOKUP('Données projet'!$B$12,Paramètres!$A$1:$I$89,3,0)*0.475*44/12</f>
        <v>8.8284724259950487E-3</v>
      </c>
      <c r="CN107" s="22">
        <f t="shared" si="66"/>
        <v>106.03198890409567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49.140000000000128</v>
      </c>
      <c r="D108" s="11">
        <f t="shared" si="86"/>
        <v>14.3914371473009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490.41811131249915</v>
      </c>
      <c r="H108" s="67">
        <f t="shared" si="56"/>
        <v>403.98391969821591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-6.3550942286383367E-14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279.32192402750189</v>
      </c>
      <c r="T108" s="59">
        <f t="shared" si="88"/>
        <v>371.43572414443611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84.202782347204206</v>
      </c>
      <c r="AA108" s="21">
        <f>EXP(-LN(2)/25)*AA107+(1-EXP(-LN(2)/25))/(LN(2)/25)*Calculateur!V108*Calculateur!X108*VLOOKUP('Données projet'!$B$9,Paramètres!$A$1:$I$89,3,0)*0.475*44/12</f>
        <v>14.401920097059982</v>
      </c>
      <c r="AB108" s="21">
        <f>EXP(-LN(2)/2)*AB107+(1-EXP(-LN(2)/2))/(LN(2)/2)*V108*Y108*VLOOKUP('Données projet'!$B$9,Paramètres!$A$1:$I$89,3,0)*0.475*44/12</f>
        <v>1.0180861951146267E-6</v>
      </c>
      <c r="AC108" s="22">
        <f t="shared" si="57"/>
        <v>98.604703462350386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-7.3896444519050419E-13</v>
      </c>
      <c r="AJ108" s="13">
        <f>AI108*VLOOKUP('Données projet'!$B$10,Paramètres!$A$1:$I$89,3,0)*VLOOKUP('Données projet'!$B$10,Paramètres!$A$1:$I$89,5,0)</f>
        <v>-3.4583536034915594E-13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192.20041613277965</v>
      </c>
      <c r="AO108" s="59">
        <f t="shared" si="90"/>
        <v>132.76245212522417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156.60160347848213</v>
      </c>
      <c r="AV108" s="21">
        <f>EXP(-LN(2)/25)*AV107+(1-EXP(-LN(2)/25))/(LN(2)/25)*Calculateur!AQ108*Calculateur!AS108*VLOOKUP('Données projet'!$B$10,Paramètres!$A$1:$I$89,3,0)*0.475*44/12</f>
        <v>36.576739810266147</v>
      </c>
      <c r="AW108" s="21">
        <f>EXP(-LN(2)/2)*AW107+(1-EXP(-LN(2)/2))/(LN(2)/2)*AQ108*AT108*VLOOKUP('Données projet'!$B$10,Paramètres!$A$1:$I$89,3,0)*0.475*44/12</f>
        <v>5.5073247649088488</v>
      </c>
      <c r="AX108" s="21">
        <f t="shared" si="60"/>
        <v>198.68566805365714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180.31844548479722</v>
      </c>
      <c r="BJ108" s="59">
        <f t="shared" si="92"/>
        <v>273.83237400307223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34.170712598838563</v>
      </c>
      <c r="BQ108" s="21">
        <f>EXP(-LN(2)/25)*BQ107+(1-EXP(-LN(2)/25))/(LN(2)/25)*Calculateur!BL108*Calculateur!BN108*VLOOKUP('Données projet'!$B$11,Paramètres!$A$1:$I$89,3,0)*0.475*44/12</f>
        <v>41.5294150211339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75.700127619972463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-3.979039320256561E-13</v>
      </c>
      <c r="BZ108" s="13">
        <f>BY108*VLOOKUP('Données projet'!$B$12,Paramètres!$A$1:$I$89,3,0)*VLOOKUP('Données projet'!$B$12,Paramètres!$A$1:$I$89,5,0)</f>
        <v>-2.379465513513424E-13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214.34615950592251</v>
      </c>
      <c r="CE108" s="59">
        <f t="shared" si="94"/>
        <v>159.66077836853066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86.700878682795093</v>
      </c>
      <c r="CL108" s="21">
        <f>EXP(-LN(2)/25)*CL107+(1-EXP(-LN(2)/25))/(LN(2)/25)*Calculateur!CG108*Calculateur!CI108*VLOOKUP('Données projet'!$B$12,Paramètres!$A$1:$I$89,3,0)*0.475*44/12</f>
        <v>17.107176443868873</v>
      </c>
      <c r="CM108" s="21">
        <f>EXP(-LN(2)/2)*CM107+(1-EXP(-LN(2)/2))/(LN(2)/2)*CG108*CJ108*VLOOKUP('Données projet'!$B$12,Paramètres!$A$1:$I$89,3,0)*0.475*44/12</f>
        <v>6.2426727199395493E-3</v>
      </c>
      <c r="CN108" s="22">
        <f t="shared" si="66"/>
        <v>103.81429779938389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49.608000000000132</v>
      </c>
      <c r="D109" s="11">
        <f t="shared" si="86"/>
        <v>14.512477626061624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494.96509044679243</v>
      </c>
      <c r="H109" s="67">
        <f t="shared" si="56"/>
        <v>405.00983186539088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-6.3550942286383367E-14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279.32192402750189</v>
      </c>
      <c r="T109" s="59">
        <f t="shared" si="88"/>
        <v>371.43572414443611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82.551617144001526</v>
      </c>
      <c r="AA109" s="21">
        <f>EXP(-LN(2)/25)*AA108+(1-EXP(-LN(2)/25))/(LN(2)/25)*Calculateur!V109*Calculateur!X109*VLOOKUP('Données projet'!$B$9,Paramètres!$A$1:$I$89,3,0)*0.475*44/12</f>
        <v>14.008098834641816</v>
      </c>
      <c r="AB109" s="21">
        <f>EXP(-LN(2)/2)*AB108+(1-EXP(-LN(2)/2))/(LN(2)/2)*V109*Y109*VLOOKUP('Données projet'!$B$9,Paramètres!$A$1:$I$89,3,0)*0.475*44/12</f>
        <v>7.1989565239796306E-7</v>
      </c>
      <c r="AC109" s="22">
        <f t="shared" si="57"/>
        <v>96.559716698538992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-7.3896444519050419E-13</v>
      </c>
      <c r="AJ109" s="13">
        <f>AI109*VLOOKUP('Données projet'!$B$10,Paramètres!$A$1:$I$89,3,0)*VLOOKUP('Données projet'!$B$10,Paramètres!$A$1:$I$89,5,0)</f>
        <v>-3.4583536034915594E-13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192.20041613277965</v>
      </c>
      <c r="AO109" s="59">
        <f t="shared" si="90"/>
        <v>132.76245212522417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153.53074155181565</v>
      </c>
      <c r="AV109" s="21">
        <f>EXP(-LN(2)/25)*AV108+(1-EXP(-LN(2)/25))/(LN(2)/25)*Calculateur!AQ109*Calculateur!AS109*VLOOKUP('Données projet'!$B$10,Paramètres!$A$1:$I$89,3,0)*0.475*44/12</f>
        <v>35.57654693666727</v>
      </c>
      <c r="AW109" s="21">
        <f>EXP(-LN(2)/2)*AW108+(1-EXP(-LN(2)/2))/(LN(2)/2)*AQ109*AT109*VLOOKUP('Données projet'!$B$10,Paramètres!$A$1:$I$89,3,0)*0.475*44/12</f>
        <v>3.8942666874636558</v>
      </c>
      <c r="AX109" s="21">
        <f t="shared" si="60"/>
        <v>193.00155517594658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180.31844548479722</v>
      </c>
      <c r="BJ109" s="59">
        <f t="shared" si="92"/>
        <v>273.83237400307223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33.500645766852038</v>
      </c>
      <c r="BQ109" s="21">
        <f>EXP(-LN(2)/25)*BQ108+(1-EXP(-LN(2)/25))/(LN(2)/25)*Calculateur!BL109*Calculateur!BN109*VLOOKUP('Données projet'!$B$11,Paramètres!$A$1:$I$89,3,0)*0.475*44/12</f>
        <v>40.393790983443978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73.894436750296023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-3.979039320256561E-13</v>
      </c>
      <c r="BZ109" s="13">
        <f>BY109*VLOOKUP('Données projet'!$B$12,Paramètres!$A$1:$I$89,3,0)*VLOOKUP('Données projet'!$B$12,Paramètres!$A$1:$I$89,5,0)</f>
        <v>-2.379465513513424E-13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214.34615950592251</v>
      </c>
      <c r="CE109" s="59">
        <f t="shared" si="94"/>
        <v>159.66077836853066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85.000727334139782</v>
      </c>
      <c r="CL109" s="21">
        <f>EXP(-LN(2)/25)*CL108+(1-EXP(-LN(2)/25))/(LN(2)/25)*Calculateur!CG109*Calculateur!CI109*VLOOKUP('Données projet'!$B$12,Paramètres!$A$1:$I$89,3,0)*0.475*44/12</f>
        <v>16.639379804383967</v>
      </c>
      <c r="CM109" s="21">
        <f>EXP(-LN(2)/2)*CM108+(1-EXP(-LN(2)/2))/(LN(2)/2)*CG109*CJ109*VLOOKUP('Données projet'!$B$12,Paramètres!$A$1:$I$89,3,0)*0.475*44/12</f>
        <v>4.4142362129975243E-3</v>
      </c>
      <c r="CN109" s="22">
        <f t="shared" si="66"/>
        <v>101.64452137473674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50.076000000000136</v>
      </c>
      <c r="D110" s="11">
        <f t="shared" si="86"/>
        <v>14.633385259541638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499.51104410874353</v>
      </c>
      <c r="H110" s="67">
        <f t="shared" si="56"/>
        <v>406.03551266036857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-6.3550942286383367E-14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279.32192402750189</v>
      </c>
      <c r="T110" s="59">
        <f t="shared" si="88"/>
        <v>371.43572414443611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80.932830283322318</v>
      </c>
      <c r="AA110" s="21">
        <f>EXP(-LN(2)/25)*AA109+(1-EXP(-LN(2)/25))/(LN(2)/25)*Calculateur!V110*Calculateur!X110*VLOOKUP('Données projet'!$B$9,Paramètres!$A$1:$I$89,3,0)*0.475*44/12</f>
        <v>13.625046635354634</v>
      </c>
      <c r="AB110" s="21">
        <f>EXP(-LN(2)/2)*AB109+(1-EXP(-LN(2)/2))/(LN(2)/2)*V110*Y110*VLOOKUP('Données projet'!$B$9,Paramètres!$A$1:$I$89,3,0)*0.475*44/12</f>
        <v>5.0904309755731334E-7</v>
      </c>
      <c r="AC110" s="22">
        <f t="shared" si="57"/>
        <v>94.557877427720058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-7.3896444519050419E-13</v>
      </c>
      <c r="AJ110" s="13">
        <f>AI110*VLOOKUP('Données projet'!$B$10,Paramètres!$A$1:$I$89,3,0)*VLOOKUP('Données projet'!$B$10,Paramètres!$A$1:$I$89,5,0)</f>
        <v>-3.4583536034915594E-13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192.20041613277965</v>
      </c>
      <c r="AO110" s="59">
        <f t="shared" si="90"/>
        <v>132.76245212522417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150.52009735449028</v>
      </c>
      <c r="AV110" s="21">
        <f>EXP(-LN(2)/25)*AV109+(1-EXP(-LN(2)/25))/(LN(2)/25)*Calculateur!AQ110*Calculateur!AS110*VLOOKUP('Données projet'!$B$10,Paramètres!$A$1:$I$89,3,0)*0.475*44/12</f>
        <v>34.603704389794814</v>
      </c>
      <c r="AW110" s="21">
        <f>EXP(-LN(2)/2)*AW109+(1-EXP(-LN(2)/2))/(LN(2)/2)*AQ110*AT110*VLOOKUP('Données projet'!$B$10,Paramètres!$A$1:$I$89,3,0)*0.475*44/12</f>
        <v>2.7536623824544249</v>
      </c>
      <c r="AX110" s="21">
        <f t="shared" si="60"/>
        <v>187.87746412673951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180.31844548479722</v>
      </c>
      <c r="BJ110" s="59">
        <f t="shared" si="92"/>
        <v>273.83237400307223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32.843718536740361</v>
      </c>
      <c r="BQ110" s="21">
        <f>EXP(-LN(2)/25)*BQ109+(1-EXP(-LN(2)/25))/(LN(2)/25)*Calculateur!BL110*Calculateur!BN110*VLOOKUP('Données projet'!$B$11,Paramètres!$A$1:$I$89,3,0)*0.475*44/12</f>
        <v>39.289220644784557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72.132939181524918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-3.979039320256561E-13</v>
      </c>
      <c r="BZ110" s="13">
        <f>BY110*VLOOKUP('Données projet'!$B$12,Paramètres!$A$1:$I$89,3,0)*VLOOKUP('Données projet'!$B$12,Paramètres!$A$1:$I$89,5,0)</f>
        <v>-2.379465513513424E-13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214.34615950592251</v>
      </c>
      <c r="CE110" s="59">
        <f t="shared" si="94"/>
        <v>159.66077836853066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83.333914916441671</v>
      </c>
      <c r="CL110" s="21">
        <f>EXP(-LN(2)/25)*CL109+(1-EXP(-LN(2)/25))/(LN(2)/25)*Calculateur!CG110*Calculateur!CI110*VLOOKUP('Données projet'!$B$12,Paramètres!$A$1:$I$89,3,0)*0.475*44/12</f>
        <v>16.184375088606135</v>
      </c>
      <c r="CM110" s="21">
        <f>EXP(-LN(2)/2)*CM109+(1-EXP(-LN(2)/2))/(LN(2)/2)*CG110*CJ110*VLOOKUP('Données projet'!$B$12,Paramètres!$A$1:$I$89,3,0)*0.475*44/12</f>
        <v>3.1213363599697746E-3</v>
      </c>
      <c r="CN110" s="22">
        <f t="shared" si="66"/>
        <v>99.52141134140777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50.544000000000139</v>
      </c>
      <c r="D111" s="11">
        <f t="shared" si="86"/>
        <v>14.754161433088285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504.05598299226153</v>
      </c>
      <c r="H111" s="67">
        <f t="shared" si="56"/>
        <v>407.06096449596231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-6.3550942286383367E-14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279.32192402750189</v>
      </c>
      <c r="T111" s="59">
        <f t="shared" si="88"/>
        <v>371.43572414443611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79.345786845618534</v>
      </c>
      <c r="AA111" s="21">
        <f>EXP(-LN(2)/25)*AA110+(1-EXP(-LN(2)/25))/(LN(2)/25)*Calculateur!V111*Calculateur!X111*VLOOKUP('Données projet'!$B$9,Paramètres!$A$1:$I$89,3,0)*0.475*44/12</f>
        <v>13.252469018600799</v>
      </c>
      <c r="AB111" s="21">
        <f>EXP(-LN(2)/2)*AB110+(1-EXP(-LN(2)/2))/(LN(2)/2)*V111*Y111*VLOOKUP('Données projet'!$B$9,Paramètres!$A$1:$I$89,3,0)*0.475*44/12</f>
        <v>3.5994782619898153E-7</v>
      </c>
      <c r="AC111" s="22">
        <f t="shared" si="57"/>
        <v>92.598256224167159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-7.3896444519050419E-13</v>
      </c>
      <c r="AJ111" s="13">
        <f>AI111*VLOOKUP('Données projet'!$B$10,Paramètres!$A$1:$I$89,3,0)*VLOOKUP('Données projet'!$B$10,Paramètres!$A$1:$I$89,5,0)</f>
        <v>-3.4583536034915594E-13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192.20041613277965</v>
      </c>
      <c r="AO111" s="59">
        <f t="shared" si="90"/>
        <v>132.76245212522417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147.56849005356281</v>
      </c>
      <c r="AV111" s="21">
        <f>EXP(-LN(2)/25)*AV110+(1-EXP(-LN(2)/25))/(LN(2)/25)*Calculateur!AQ111*Calculateur!AS111*VLOOKUP('Données projet'!$B$10,Paramètres!$A$1:$I$89,3,0)*0.475*44/12</f>
        <v>33.657464273526152</v>
      </c>
      <c r="AW111" s="21">
        <f>EXP(-LN(2)/2)*AW110+(1-EXP(-LN(2)/2))/(LN(2)/2)*AQ111*AT111*VLOOKUP('Données projet'!$B$10,Paramètres!$A$1:$I$89,3,0)*0.475*44/12</f>
        <v>1.9471333437318283</v>
      </c>
      <c r="AX111" s="21">
        <f t="shared" si="60"/>
        <v>183.17308767082079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180.31844548479722</v>
      </c>
      <c r="BJ111" s="59">
        <f t="shared" si="92"/>
        <v>273.83237400307223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32.19967324892513</v>
      </c>
      <c r="BQ111" s="21">
        <f>EXP(-LN(2)/25)*BQ110+(1-EXP(-LN(2)/25))/(LN(2)/25)*Calculateur!BL111*Calculateur!BN111*VLOOKUP('Données projet'!$B$11,Paramètres!$A$1:$I$89,3,0)*0.475*44/12</f>
        <v>38.214854840122605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70.414528089047735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-3.979039320256561E-13</v>
      </c>
      <c r="BZ111" s="13">
        <f>BY111*VLOOKUP('Données projet'!$B$12,Paramètres!$A$1:$I$89,3,0)*VLOOKUP('Données projet'!$B$12,Paramètres!$A$1:$I$89,5,0)</f>
        <v>-2.379465513513424E-13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214.34615950592251</v>
      </c>
      <c r="CE111" s="59">
        <f t="shared" si="94"/>
        <v>159.66077836853066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81.699787673599431</v>
      </c>
      <c r="CL111" s="21">
        <f>EXP(-LN(2)/25)*CL110+(1-EXP(-LN(2)/25))/(LN(2)/25)*Calculateur!CG111*Calculateur!CI111*VLOOKUP('Données projet'!$B$12,Paramètres!$A$1:$I$89,3,0)*0.475*44/12</f>
        <v>15.741812500708905</v>
      </c>
      <c r="CM111" s="21">
        <f>EXP(-LN(2)/2)*CM110+(1-EXP(-LN(2)/2))/(LN(2)/2)*CG111*CJ111*VLOOKUP('Données projet'!$B$12,Paramètres!$A$1:$I$89,3,0)*0.475*44/12</f>
        <v>2.2071181064987622E-3</v>
      </c>
      <c r="CN111" s="22">
        <f t="shared" si="66"/>
        <v>97.443807292414832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51.012000000000143</v>
      </c>
      <c r="D112" s="11">
        <f t="shared" si="86"/>
        <v>14.874807504914717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508.59991758179893</v>
      </c>
      <c r="H112" s="67">
        <f t="shared" si="56"/>
        <v>408.08618973772667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-6.3550942286383367E-14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279.32192402750189</v>
      </c>
      <c r="T112" s="59">
        <f t="shared" si="88"/>
        <v>371.43572414443611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77.789864361727211</v>
      </c>
      <c r="AA112" s="21">
        <f>EXP(-LN(2)/25)*AA111+(1-EXP(-LN(2)/25))/(LN(2)/25)*Calculateur!V112*Calculateur!X112*VLOOKUP('Données projet'!$B$9,Paramètres!$A$1:$I$89,3,0)*0.475*44/12</f>
        <v>12.890079556370104</v>
      </c>
      <c r="AB112" s="21">
        <f>EXP(-LN(2)/2)*AB111+(1-EXP(-LN(2)/2))/(LN(2)/2)*V112*Y112*VLOOKUP('Données projet'!$B$9,Paramètres!$A$1:$I$89,3,0)*0.475*44/12</f>
        <v>2.5452154877865667E-7</v>
      </c>
      <c r="AC112" s="22">
        <f t="shared" si="57"/>
        <v>90.67994417261886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-7.3896444519050419E-13</v>
      </c>
      <c r="AJ112" s="13">
        <f>AI112*VLOOKUP('Données projet'!$B$10,Paramètres!$A$1:$I$89,3,0)*VLOOKUP('Données projet'!$B$10,Paramètres!$A$1:$I$89,5,0)</f>
        <v>-3.4583536034915594E-13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192.20041613277965</v>
      </c>
      <c r="AO112" s="59">
        <f t="shared" si="90"/>
        <v>132.76245212522417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144.67476197150384</v>
      </c>
      <c r="AV112" s="21">
        <f>EXP(-LN(2)/25)*AV111+(1-EXP(-LN(2)/25))/(LN(2)/25)*Calculateur!AQ112*Calculateur!AS112*VLOOKUP('Données projet'!$B$10,Paramètres!$A$1:$I$89,3,0)*0.475*44/12</f>
        <v>32.737099142997458</v>
      </c>
      <c r="AW112" s="21">
        <f>EXP(-LN(2)/2)*AW111+(1-EXP(-LN(2)/2))/(LN(2)/2)*AQ112*AT112*VLOOKUP('Données projet'!$B$10,Paramètres!$A$1:$I$89,3,0)*0.475*44/12</f>
        <v>1.3768311912272126</v>
      </c>
      <c r="AX112" s="21">
        <f t="shared" si="60"/>
        <v>178.78869230572852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180.31844548479722</v>
      </c>
      <c r="BJ112" s="59">
        <f t="shared" si="92"/>
        <v>273.83237400307223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31.568257296375116</v>
      </c>
      <c r="BQ112" s="21">
        <f>EXP(-LN(2)/25)*BQ111+(1-EXP(-LN(2)/25))/(LN(2)/25)*Calculateur!BL112*Calculateur!BN112*VLOOKUP('Données projet'!$B$11,Paramètres!$A$1:$I$89,3,0)*0.475*44/12</f>
        <v>37.16986762488758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68.738124921262695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-3.979039320256561E-13</v>
      </c>
      <c r="BZ112" s="13">
        <f>BY112*VLOOKUP('Données projet'!$B$12,Paramètres!$A$1:$I$89,3,0)*VLOOKUP('Données projet'!$B$12,Paramètres!$A$1:$I$89,5,0)</f>
        <v>-2.379465513513424E-13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214.34615950592251</v>
      </c>
      <c r="CE112" s="59">
        <f t="shared" si="94"/>
        <v>159.66077836853066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80.097704669270129</v>
      </c>
      <c r="CL112" s="21">
        <f>EXP(-LN(2)/25)*CL111+(1-EXP(-LN(2)/25))/(LN(2)/25)*Calculateur!CG112*Calculateur!CI112*VLOOKUP('Données projet'!$B$12,Paramètres!$A$1:$I$89,3,0)*0.475*44/12</f>
        <v>15.311351810051079</v>
      </c>
      <c r="CM112" s="21">
        <f>EXP(-LN(2)/2)*CM111+(1-EXP(-LN(2)/2))/(LN(2)/2)*CG112*CJ112*VLOOKUP('Données projet'!$B$12,Paramètres!$A$1:$I$89,3,0)*0.475*44/12</f>
        <v>1.5606681799848873E-3</v>
      </c>
      <c r="CN112" s="22">
        <f t="shared" si="66"/>
        <v>95.410617147501199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51.480000000000146</v>
      </c>
      <c r="D113" s="11">
        <f t="shared" si="86"/>
        <v>14.995324806875265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513.14285815833648</v>
      </c>
      <c r="H113" s="67">
        <f t="shared" si="56"/>
        <v>409.11119070530799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-6.3550942286383367E-14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279.32192402750189</v>
      </c>
      <c r="T113" s="59">
        <f t="shared" si="88"/>
        <v>371.43572414443611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76.264452568725986</v>
      </c>
      <c r="AA113" s="21">
        <f>EXP(-LN(2)/25)*AA112+(1-EXP(-LN(2)/25))/(LN(2)/25)*Calculateur!V113*Calculateur!X113*VLOOKUP('Données projet'!$B$9,Paramètres!$A$1:$I$89,3,0)*0.475*44/12</f>
        <v>12.53759965304134</v>
      </c>
      <c r="AB113" s="21">
        <f>EXP(-LN(2)/2)*AB112+(1-EXP(-LN(2)/2))/(LN(2)/2)*V113*Y113*VLOOKUP('Données projet'!$B$9,Paramètres!$A$1:$I$89,3,0)*0.475*44/12</f>
        <v>1.7997391309949077E-7</v>
      </c>
      <c r="AC113" s="22">
        <f t="shared" si="57"/>
        <v>88.802052401741236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-7.3896444519050419E-13</v>
      </c>
      <c r="AJ113" s="13">
        <f>AI113*VLOOKUP('Données projet'!$B$10,Paramètres!$A$1:$I$89,3,0)*VLOOKUP('Données projet'!$B$10,Paramètres!$A$1:$I$89,5,0)</f>
        <v>-3.4583536034915594E-13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192.20041613277965</v>
      </c>
      <c r="AO113" s="59">
        <f t="shared" si="90"/>
        <v>132.76245212522417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141.83777813213419</v>
      </c>
      <c r="AV113" s="21">
        <f>EXP(-LN(2)/25)*AV112+(1-EXP(-LN(2)/25))/(LN(2)/25)*Calculateur!AQ113*Calculateur!AS113*VLOOKUP('Données projet'!$B$10,Paramètres!$A$1:$I$89,3,0)*0.475*44/12</f>
        <v>31.841901445362971</v>
      </c>
      <c r="AW113" s="21">
        <f>EXP(-LN(2)/2)*AW112+(1-EXP(-LN(2)/2))/(LN(2)/2)*AQ113*AT113*VLOOKUP('Données projet'!$B$10,Paramètres!$A$1:$I$89,3,0)*0.475*44/12</f>
        <v>0.97356667186591428</v>
      </c>
      <c r="AX113" s="21">
        <f t="shared" si="60"/>
        <v>174.65324624936306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180.31844548479722</v>
      </c>
      <c r="BJ113" s="59">
        <f t="shared" si="92"/>
        <v>273.83237400307223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30.949223025528902</v>
      </c>
      <c r="BQ113" s="21">
        <f>EXP(-LN(2)/25)*BQ112+(1-EXP(-LN(2)/25))/(LN(2)/25)*Calculateur!BL113*Calculateur!BN113*VLOOKUP('Données projet'!$B$11,Paramètres!$A$1:$I$89,3,0)*0.475*44/12</f>
        <v>36.153455640006641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67.102678665535535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-3.979039320256561E-13</v>
      </c>
      <c r="BZ113" s="13">
        <f>BY113*VLOOKUP('Données projet'!$B$12,Paramètres!$A$1:$I$89,3,0)*VLOOKUP('Données projet'!$B$12,Paramètres!$A$1:$I$89,5,0)</f>
        <v>-2.379465513513424E-13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214.34615950592251</v>
      </c>
      <c r="CE113" s="59">
        <f t="shared" si="94"/>
        <v>159.66077836853066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78.527037535481583</v>
      </c>
      <c r="CL113" s="21">
        <f>EXP(-LN(2)/25)*CL112+(1-EXP(-LN(2)/25))/(LN(2)/25)*Calculateur!CG113*Calculateur!CI113*VLOOKUP('Données projet'!$B$12,Paramètres!$A$1:$I$89,3,0)*0.475*44/12</f>
        <v>14.892662089616234</v>
      </c>
      <c r="CM113" s="21">
        <f>EXP(-LN(2)/2)*CM112+(1-EXP(-LN(2)/2))/(LN(2)/2)*CG113*CJ113*VLOOKUP('Données projet'!$B$12,Paramètres!$A$1:$I$89,3,0)*0.475*44/12</f>
        <v>1.1035590532493811E-3</v>
      </c>
      <c r="CN113" s="22">
        <f t="shared" si="66"/>
        <v>93.420803184151069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51.94800000000015</v>
      </c>
      <c r="D114" s="11">
        <f t="shared" si="86"/>
        <v>15.115714645211932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517.68481480514595</v>
      </c>
      <c r="H114" s="67">
        <f t="shared" si="56"/>
        <v>410.13596967374434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-6.3550942286383367E-14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279.32192402750189</v>
      </c>
      <c r="T114" s="59">
        <f t="shared" si="88"/>
        <v>371.43572414443611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74.768953170576196</v>
      </c>
      <c r="AA114" s="21">
        <f>EXP(-LN(2)/25)*AA113+(1-EXP(-LN(2)/25))/(LN(2)/25)*Calculateur!V114*Calculateur!X114*VLOOKUP('Données projet'!$B$9,Paramètres!$A$1:$I$89,3,0)*0.475*44/12</f>
        <v>12.194758331205215</v>
      </c>
      <c r="AB114" s="21">
        <f>EXP(-LN(2)/2)*AB113+(1-EXP(-LN(2)/2))/(LN(2)/2)*V114*Y114*VLOOKUP('Données projet'!$B$9,Paramètres!$A$1:$I$89,3,0)*0.475*44/12</f>
        <v>1.2726077438932834E-7</v>
      </c>
      <c r="AC114" s="22">
        <f t="shared" si="57"/>
        <v>86.96371162904218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-7.3896444519050419E-13</v>
      </c>
      <c r="AJ114" s="13">
        <f>AI114*VLOOKUP('Données projet'!$B$10,Paramètres!$A$1:$I$89,3,0)*VLOOKUP('Données projet'!$B$10,Paramètres!$A$1:$I$89,5,0)</f>
        <v>-3.4583536034915594E-13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192.20041613277965</v>
      </c>
      <c r="AO114" s="59">
        <f t="shared" si="90"/>
        <v>132.76245212522417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139.0564258154653</v>
      </c>
      <c r="AV114" s="21">
        <f>EXP(-LN(2)/25)*AV113+(1-EXP(-LN(2)/25))/(LN(2)/25)*Calculateur!AQ114*Calculateur!AS114*VLOOKUP('Données projet'!$B$10,Paramètres!$A$1:$I$89,3,0)*0.475*44/12</f>
        <v>30.971182975846698</v>
      </c>
      <c r="AW114" s="21">
        <f>EXP(-LN(2)/2)*AW113+(1-EXP(-LN(2)/2))/(LN(2)/2)*AQ114*AT114*VLOOKUP('Données projet'!$B$10,Paramètres!$A$1:$I$89,3,0)*0.475*44/12</f>
        <v>0.68841559561360643</v>
      </c>
      <c r="AX114" s="21">
        <f t="shared" si="60"/>
        <v>170.7160243869256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180.31844548479722</v>
      </c>
      <c r="BJ114" s="59">
        <f t="shared" si="92"/>
        <v>273.83237400307223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30.342327639160359</v>
      </c>
      <c r="BQ114" s="21">
        <f>EXP(-LN(2)/25)*BQ113+(1-EXP(-LN(2)/25))/(LN(2)/25)*Calculateur!BL114*Calculateur!BN114*VLOOKUP('Données projet'!$B$11,Paramètres!$A$1:$I$89,3,0)*0.475*44/12</f>
        <v>35.164837494303057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65.507165133463417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-3.979039320256561E-13</v>
      </c>
      <c r="BZ114" s="13">
        <f>BY114*VLOOKUP('Données projet'!$B$12,Paramètres!$A$1:$I$89,3,0)*VLOOKUP('Données projet'!$B$12,Paramètres!$A$1:$I$89,5,0)</f>
        <v>-2.379465513513424E-13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214.34615950592251</v>
      </c>
      <c r="CE114" s="59">
        <f t="shared" si="94"/>
        <v>159.66077836853066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76.987170226174271</v>
      </c>
      <c r="CL114" s="21">
        <f>EXP(-LN(2)/25)*CL113+(1-EXP(-LN(2)/25))/(LN(2)/25)*Calculateur!CG114*Calculateur!CI114*VLOOKUP('Données projet'!$B$12,Paramètres!$A$1:$I$89,3,0)*0.475*44/12</f>
        <v>14.485421461604616</v>
      </c>
      <c r="CM114" s="21">
        <f>EXP(-LN(2)/2)*CM113+(1-EXP(-LN(2)/2))/(LN(2)/2)*CG114*CJ114*VLOOKUP('Données projet'!$B$12,Paramètres!$A$1:$I$89,3,0)*0.475*44/12</f>
        <v>7.8033408999244366E-4</v>
      </c>
      <c r="CN114" s="22">
        <f t="shared" si="66"/>
        <v>91.473372021868883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52.416000000000153</v>
      </c>
      <c r="D115" s="11">
        <f t="shared" si="86"/>
        <v>15.23597830127307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522.22579741333709</v>
      </c>
      <c r="H115" s="67">
        <f t="shared" si="56"/>
        <v>411.1605288747175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-6.3550942286383367E-14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279.32192402750189</v>
      </c>
      <c r="T115" s="59">
        <f t="shared" si="88"/>
        <v>371.43572414443611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73.302779603459555</v>
      </c>
      <c r="AA115" s="21">
        <f>EXP(-LN(2)/25)*AA114+(1-EXP(-LN(2)/25))/(LN(2)/25)*Calculateur!V115*Calculateur!X115*VLOOKUP('Données projet'!$B$9,Paramètres!$A$1:$I$89,3,0)*0.475*44/12</f>
        <v>11.861292023343939</v>
      </c>
      <c r="AB115" s="21">
        <f>EXP(-LN(2)/2)*AB114+(1-EXP(-LN(2)/2))/(LN(2)/2)*V115*Y115*VLOOKUP('Données projet'!$B$9,Paramètres!$A$1:$I$89,3,0)*0.475*44/12</f>
        <v>8.9986956549745383E-8</v>
      </c>
      <c r="AC115" s="22">
        <f t="shared" si="57"/>
        <v>85.164071716790446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-7.3896444519050419E-13</v>
      </c>
      <c r="AJ115" s="13">
        <f>AI115*VLOOKUP('Données projet'!$B$10,Paramètres!$A$1:$I$89,3,0)*VLOOKUP('Données projet'!$B$10,Paramètres!$A$1:$I$89,5,0)</f>
        <v>-3.4583536034915594E-13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192.20041613277965</v>
      </c>
      <c r="AO115" s="59">
        <f t="shared" si="90"/>
        <v>132.76245212522417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136.32961412126889</v>
      </c>
      <c r="AV115" s="21">
        <f>EXP(-LN(2)/25)*AV114+(1-EXP(-LN(2)/25))/(LN(2)/25)*Calculateur!AQ115*Calculateur!AS115*VLOOKUP('Données projet'!$B$10,Paramètres!$A$1:$I$89,3,0)*0.475*44/12</f>
        <v>30.124274348668443</v>
      </c>
      <c r="AW115" s="21">
        <f>EXP(-LN(2)/2)*AW114+(1-EXP(-LN(2)/2))/(LN(2)/2)*AQ115*AT115*VLOOKUP('Données projet'!$B$10,Paramètres!$A$1:$I$89,3,0)*0.475*44/12</f>
        <v>0.48678333593295725</v>
      </c>
      <c r="AX115" s="21">
        <f t="shared" si="60"/>
        <v>166.94067180587029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180.31844548479722</v>
      </c>
      <c r="BJ115" s="59">
        <f t="shared" si="92"/>
        <v>273.83237400307223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29.747333101148872</v>
      </c>
      <c r="BQ115" s="21">
        <f>EXP(-LN(2)/25)*BQ114+(1-EXP(-LN(2)/25))/(LN(2)/25)*Calculateur!BL115*Calculateur!BN115*VLOOKUP('Données projet'!$B$11,Paramètres!$A$1:$I$89,3,0)*0.475*44/12</f>
        <v>34.203253163782904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63.950586264931772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-3.979039320256561E-13</v>
      </c>
      <c r="BZ115" s="13">
        <f>BY115*VLOOKUP('Données projet'!$B$12,Paramètres!$A$1:$I$89,3,0)*VLOOKUP('Données projet'!$B$12,Paramètres!$A$1:$I$89,5,0)</f>
        <v>-2.379465513513424E-13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214.34615950592251</v>
      </c>
      <c r="CE115" s="59">
        <f t="shared" si="94"/>
        <v>159.66077836853066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75.477498775576166</v>
      </c>
      <c r="CL115" s="21">
        <f>EXP(-LN(2)/25)*CL114+(1-EXP(-LN(2)/25))/(LN(2)/25)*Calculateur!CG115*Calculateur!CI115*VLOOKUP('Données projet'!$B$12,Paramètres!$A$1:$I$89,3,0)*0.475*44/12</f>
        <v>14.089316849981831</v>
      </c>
      <c r="CM115" s="21">
        <f>EXP(-LN(2)/2)*CM114+(1-EXP(-LN(2)/2))/(LN(2)/2)*CG115*CJ115*VLOOKUP('Données projet'!$B$12,Paramètres!$A$1:$I$89,3,0)*0.475*44/12</f>
        <v>5.5177952662469054E-4</v>
      </c>
      <c r="CN115" s="22">
        <f t="shared" si="66"/>
        <v>89.567367405084624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52.884000000000157</v>
      </c>
      <c r="D116" s="11">
        <f t="shared" si="86"/>
        <v>15.356117032205747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526.76581568720349</v>
      </c>
      <c r="H116" s="67">
        <f t="shared" si="56"/>
        <v>412.1848704977586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-6.3550942286383367E-14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279.32192402750189</v>
      </c>
      <c r="T116" s="59">
        <f t="shared" si="88"/>
        <v>371.43572414443611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71.865356805716502</v>
      </c>
      <c r="AA116" s="21">
        <f>EXP(-LN(2)/25)*AA115+(1-EXP(-LN(2)/25))/(LN(2)/25)*Calculateur!V116*Calculateur!X116*VLOOKUP('Données projet'!$B$9,Paramètres!$A$1:$I$89,3,0)*0.475*44/12</f>
        <v>11.536944369207362</v>
      </c>
      <c r="AB116" s="21">
        <f>EXP(-LN(2)/2)*AB115+(1-EXP(-LN(2)/2))/(LN(2)/2)*V116*Y116*VLOOKUP('Données projet'!$B$9,Paramètres!$A$1:$I$89,3,0)*0.475*44/12</f>
        <v>6.3630387194664168E-8</v>
      </c>
      <c r="AC116" s="22">
        <f t="shared" si="57"/>
        <v>83.402301238554244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-7.3896444519050419E-13</v>
      </c>
      <c r="AJ116" s="13">
        <f>AI116*VLOOKUP('Données projet'!$B$10,Paramètres!$A$1:$I$89,3,0)*VLOOKUP('Données projet'!$B$10,Paramètres!$A$1:$I$89,5,0)</f>
        <v>-3.4583536034915594E-13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192.20041613277965</v>
      </c>
      <c r="AO116" s="59">
        <f t="shared" si="90"/>
        <v>132.76245212522417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133.65627354120477</v>
      </c>
      <c r="AV116" s="21">
        <f>EXP(-LN(2)/25)*AV115+(1-EXP(-LN(2)/25))/(LN(2)/25)*Calculateur!AQ116*Calculateur!AS116*VLOOKUP('Données projet'!$B$10,Paramètres!$A$1:$I$89,3,0)*0.475*44/12</f>
        <v>29.300524482437368</v>
      </c>
      <c r="AW116" s="21">
        <f>EXP(-LN(2)/2)*AW115+(1-EXP(-LN(2)/2))/(LN(2)/2)*AQ116*AT116*VLOOKUP('Données projet'!$B$10,Paramètres!$A$1:$I$89,3,0)*0.475*44/12</f>
        <v>0.34420779780680327</v>
      </c>
      <c r="AX116" s="21">
        <f t="shared" si="60"/>
        <v>163.30100582144894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180.31844548479722</v>
      </c>
      <c r="BJ116" s="59">
        <f t="shared" si="92"/>
        <v>273.83237400307223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29.164006043116956</v>
      </c>
      <c r="BQ116" s="21">
        <f>EXP(-LN(2)/25)*BQ115+(1-EXP(-LN(2)/25))/(LN(2)/25)*Calculateur!BL116*Calculateur!BN116*VLOOKUP('Données projet'!$B$11,Paramètres!$A$1:$I$89,3,0)*0.475*44/12</f>
        <v>33.267963407348347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62.431969450465303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-3.979039320256561E-13</v>
      </c>
      <c r="BZ116" s="13">
        <f>BY116*VLOOKUP('Données projet'!$B$12,Paramètres!$A$1:$I$89,3,0)*VLOOKUP('Données projet'!$B$12,Paramètres!$A$1:$I$89,5,0)</f>
        <v>-2.379465513513424E-13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214.34615950592251</v>
      </c>
      <c r="CE116" s="59">
        <f t="shared" si="94"/>
        <v>159.66077836853066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73.997431061315623</v>
      </c>
      <c r="CL116" s="21">
        <f>EXP(-LN(2)/25)*CL115+(1-EXP(-LN(2)/25))/(LN(2)/25)*Calculateur!CG116*Calculateur!CI116*VLOOKUP('Données projet'!$B$12,Paramètres!$A$1:$I$89,3,0)*0.475*44/12</f>
        <v>13.704043739794106</v>
      </c>
      <c r="CM116" s="21">
        <f>EXP(-LN(2)/2)*CM115+(1-EXP(-LN(2)/2))/(LN(2)/2)*CG116*CJ116*VLOOKUP('Données projet'!$B$12,Paramètres!$A$1:$I$89,3,0)*0.475*44/12</f>
        <v>3.9016704499622183E-4</v>
      </c>
      <c r="CN116" s="22">
        <f t="shared" si="66"/>
        <v>87.701864968154723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53.35200000000016</v>
      </c>
      <c r="D117" s="11">
        <f t="shared" si="86"/>
        <v>15.476132071622883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531.30487914937089</v>
      </c>
      <c r="H117" s="67">
        <f t="shared" si="56"/>
        <v>413.20899669141011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-6.3550942286383367E-14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279.32192402750189</v>
      </c>
      <c r="T117" s="59">
        <f t="shared" si="88"/>
        <v>371.43572414443611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70.456120992295851</v>
      </c>
      <c r="AA117" s="21">
        <f>EXP(-LN(2)/25)*AA116+(1-EXP(-LN(2)/25))/(LN(2)/25)*Calculateur!V117*Calculateur!X117*VLOOKUP('Données projet'!$B$9,Paramètres!$A$1:$I$89,3,0)*0.475*44/12</f>
        <v>11.221466018729849</v>
      </c>
      <c r="AB117" s="21">
        <f>EXP(-LN(2)/2)*AB116+(1-EXP(-LN(2)/2))/(LN(2)/2)*V117*Y117*VLOOKUP('Données projet'!$B$9,Paramètres!$A$1:$I$89,3,0)*0.475*44/12</f>
        <v>4.4993478274872691E-8</v>
      </c>
      <c r="AC117" s="22">
        <f t="shared" si="57"/>
        <v>81.677587056019192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-7.3896444519050419E-13</v>
      </c>
      <c r="AJ117" s="13">
        <f>AI117*VLOOKUP('Données projet'!$B$10,Paramètres!$A$1:$I$89,3,0)*VLOOKUP('Données projet'!$B$10,Paramètres!$A$1:$I$89,5,0)</f>
        <v>-3.4583536034915594E-13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192.20041613277965</v>
      </c>
      <c r="AO117" s="59">
        <f t="shared" si="90"/>
        <v>132.76245212522417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131.03535553933895</v>
      </c>
      <c r="AV117" s="21">
        <f>EXP(-LN(2)/25)*AV116+(1-EXP(-LN(2)/25))/(LN(2)/25)*Calculateur!AQ117*Calculateur!AS117*VLOOKUP('Données projet'!$B$10,Paramètres!$A$1:$I$89,3,0)*0.475*44/12</f>
        <v>28.499300099617503</v>
      </c>
      <c r="AW117" s="21">
        <f>EXP(-LN(2)/2)*AW116+(1-EXP(-LN(2)/2))/(LN(2)/2)*AQ117*AT117*VLOOKUP('Données projet'!$B$10,Paramètres!$A$1:$I$89,3,0)*0.475*44/12</f>
        <v>0.24339166796647865</v>
      </c>
      <c r="AX117" s="21">
        <f t="shared" si="60"/>
        <v>159.77804730692293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180.31844548479722</v>
      </c>
      <c r="BJ117" s="59">
        <f t="shared" si="92"/>
        <v>273.83237400307223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28.59211767289867</v>
      </c>
      <c r="BQ117" s="21">
        <f>EXP(-LN(2)/25)*BQ116+(1-EXP(-LN(2)/25))/(LN(2)/25)*Calculateur!BL117*Calculateur!BN117*VLOOKUP('Données projet'!$B$11,Paramètres!$A$1:$I$89,3,0)*0.475*44/12</f>
        <v>32.358249198488245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60.950366871386919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-3.979039320256561E-13</v>
      </c>
      <c r="BZ117" s="13">
        <f>BY117*VLOOKUP('Données projet'!$B$12,Paramètres!$A$1:$I$89,3,0)*VLOOKUP('Données projet'!$B$12,Paramètres!$A$1:$I$89,5,0)</f>
        <v>-2.379465513513424E-13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214.34615950592251</v>
      </c>
      <c r="CE117" s="59">
        <f t="shared" si="94"/>
        <v>159.66077836853066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72.546386572179557</v>
      </c>
      <c r="CL117" s="21">
        <f>EXP(-LN(2)/25)*CL116+(1-EXP(-LN(2)/25))/(LN(2)/25)*Calculateur!CG117*Calculateur!CI117*VLOOKUP('Données projet'!$B$12,Paramètres!$A$1:$I$89,3,0)*0.475*44/12</f>
        <v>13.329305943065096</v>
      </c>
      <c r="CM117" s="21">
        <f>EXP(-LN(2)/2)*CM116+(1-EXP(-LN(2)/2))/(LN(2)/2)*CG117*CJ117*VLOOKUP('Données projet'!$B$12,Paramètres!$A$1:$I$89,3,0)*0.475*44/12</f>
        <v>2.7588976331234527E-4</v>
      </c>
      <c r="CN117" s="22">
        <f t="shared" si="66"/>
        <v>85.875968405007967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53.820000000000164</v>
      </c>
      <c r="D118" s="11">
        <f t="shared" si="86"/>
        <v>15.596024630246307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535.84299714576218</v>
      </c>
      <c r="H118" s="67">
        <f t="shared" si="56"/>
        <v>414.2329095643459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-6.3550942286383367E-14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279.32192402750189</v>
      </c>
      <c r="T118" s="59">
        <f t="shared" si="88"/>
        <v>371.43572414443611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69.074519433627401</v>
      </c>
      <c r="AA118" s="21">
        <f>EXP(-LN(2)/25)*AA117+(1-EXP(-LN(2)/25))/(LN(2)/25)*Calculateur!V118*Calculateur!X118*VLOOKUP('Données projet'!$B$9,Paramètres!$A$1:$I$89,3,0)*0.475*44/12</f>
        <v>10.914614440336431</v>
      </c>
      <c r="AB118" s="21">
        <f>EXP(-LN(2)/2)*AB117+(1-EXP(-LN(2)/2))/(LN(2)/2)*V118*Y118*VLOOKUP('Données projet'!$B$9,Paramètres!$A$1:$I$89,3,0)*0.475*44/12</f>
        <v>3.1815193597332084E-8</v>
      </c>
      <c r="AC118" s="22">
        <f t="shared" si="57"/>
        <v>79.989133905779028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-7.3896444519050419E-13</v>
      </c>
      <c r="AJ118" s="13">
        <f>AI118*VLOOKUP('Données projet'!$B$10,Paramètres!$A$1:$I$89,3,0)*VLOOKUP('Données projet'!$B$10,Paramètres!$A$1:$I$89,5,0)</f>
        <v>-3.4583536034915594E-13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192.20041613277965</v>
      </c>
      <c r="AO118" s="59">
        <f t="shared" si="90"/>
        <v>132.76245212522417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128.46583214088758</v>
      </c>
      <c r="AV118" s="21">
        <f>EXP(-LN(2)/25)*AV117+(1-EXP(-LN(2)/25))/(LN(2)/25)*Calculateur!AQ118*Calculateur!AS118*VLOOKUP('Données projet'!$B$10,Paramètres!$A$1:$I$89,3,0)*0.475*44/12</f>
        <v>27.719985239680408</v>
      </c>
      <c r="AW118" s="21">
        <f>EXP(-LN(2)/2)*AW117+(1-EXP(-LN(2)/2))/(LN(2)/2)*AQ118*AT118*VLOOKUP('Données projet'!$B$10,Paramètres!$A$1:$I$89,3,0)*0.475*44/12</f>
        <v>0.17210389890340166</v>
      </c>
      <c r="AX118" s="21">
        <f t="shared" si="60"/>
        <v>156.35792127947138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180.31844548479722</v>
      </c>
      <c r="BJ118" s="59">
        <f t="shared" si="92"/>
        <v>273.83237400307223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28.031443684802902</v>
      </c>
      <c r="BQ118" s="21">
        <f>EXP(-LN(2)/25)*BQ117+(1-EXP(-LN(2)/25))/(LN(2)/25)*Calculateur!BL118*Calculateur!BN118*VLOOKUP('Données projet'!$B$11,Paramètres!$A$1:$I$89,3,0)*0.475*44/12</f>
        <v>31.473411172509216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59.504854857312118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-3.979039320256561E-13</v>
      </c>
      <c r="BZ118" s="13">
        <f>BY118*VLOOKUP('Données projet'!$B$12,Paramètres!$A$1:$I$89,3,0)*VLOOKUP('Données projet'!$B$12,Paramètres!$A$1:$I$89,5,0)</f>
        <v>-2.379465513513424E-13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214.34615950592251</v>
      </c>
      <c r="CE118" s="59">
        <f t="shared" si="94"/>
        <v>159.66077836853066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71.1237961804257</v>
      </c>
      <c r="CL118" s="21">
        <f>EXP(-LN(2)/25)*CL117+(1-EXP(-LN(2)/25))/(LN(2)/25)*Calculateur!CG118*Calculateur!CI118*VLOOKUP('Données projet'!$B$12,Paramètres!$A$1:$I$89,3,0)*0.475*44/12</f>
        <v>12.964815371094247</v>
      </c>
      <c r="CM118" s="21">
        <f>EXP(-LN(2)/2)*CM117+(1-EXP(-LN(2)/2))/(LN(2)/2)*CG118*CJ118*VLOOKUP('Données projet'!$B$12,Paramètres!$A$1:$I$89,3,0)*0.475*44/12</f>
        <v>1.9508352249811091E-4</v>
      </c>
      <c r="CN118" s="22">
        <f t="shared" si="66"/>
        <v>84.088806635042445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54.288000000000167</v>
      </c>
      <c r="D119" s="11">
        <f t="shared" si="86"/>
        <v>15.715795896526787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540.38017885038346</v>
      </c>
      <c r="H119" s="67">
        <f t="shared" si="56"/>
        <v>415.2566111864511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-6.3550942286383367E-14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279.32192402750189</v>
      </c>
      <c r="T119" s="59">
        <f t="shared" si="88"/>
        <v>371.43572414443611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67.720010238830696</v>
      </c>
      <c r="AA119" s="21">
        <f>EXP(-LN(2)/25)*AA118+(1-EXP(-LN(2)/25))/(LN(2)/25)*Calculateur!V119*Calculateur!X119*VLOOKUP('Données projet'!$B$9,Paramètres!$A$1:$I$89,3,0)*0.475*44/12</f>
        <v>10.616153734490803</v>
      </c>
      <c r="AB119" s="21">
        <f>EXP(-LN(2)/2)*AB118+(1-EXP(-LN(2)/2))/(LN(2)/2)*V119*Y119*VLOOKUP('Données projet'!$B$9,Paramètres!$A$1:$I$89,3,0)*0.475*44/12</f>
        <v>2.2496739137436346E-8</v>
      </c>
      <c r="AC119" s="22">
        <f t="shared" si="57"/>
        <v>78.336163995818239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-7.3896444519050419E-13</v>
      </c>
      <c r="AJ119" s="13">
        <f>AI119*VLOOKUP('Données projet'!$B$10,Paramètres!$A$1:$I$89,3,0)*VLOOKUP('Données projet'!$B$10,Paramètres!$A$1:$I$89,5,0)</f>
        <v>-3.4583536034915594E-13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192.20041613277965</v>
      </c>
      <c r="AO119" s="59">
        <f t="shared" si="90"/>
        <v>132.76245212522417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125.94669552902533</v>
      </c>
      <c r="AV119" s="21">
        <f>EXP(-LN(2)/25)*AV118+(1-EXP(-LN(2)/25))/(LN(2)/25)*Calculateur!AQ119*Calculateur!AS119*VLOOKUP('Données projet'!$B$10,Paramètres!$A$1:$I$89,3,0)*0.475*44/12</f>
        <v>26.961980785570677</v>
      </c>
      <c r="AW119" s="21">
        <f>EXP(-LN(2)/2)*AW118+(1-EXP(-LN(2)/2))/(LN(2)/2)*AQ119*AT119*VLOOKUP('Données projet'!$B$10,Paramètres!$A$1:$I$89,3,0)*0.475*44/12</f>
        <v>0.12169583398323934</v>
      </c>
      <c r="AX119" s="21">
        <f t="shared" si="60"/>
        <v>153.03037214857926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180.31844548479722</v>
      </c>
      <c r="BJ119" s="59">
        <f t="shared" si="92"/>
        <v>273.83237400307223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27.481764171636328</v>
      </c>
      <c r="BQ119" s="21">
        <f>EXP(-LN(2)/25)*BQ118+(1-EXP(-LN(2)/25))/(LN(2)/25)*Calculateur!BL119*Calculateur!BN119*VLOOKUP('Données projet'!$B$11,Paramètres!$A$1:$I$89,3,0)*0.475*44/12</f>
        <v>30.612769088882192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58.094533260518517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-3.979039320256561E-13</v>
      </c>
      <c r="BZ119" s="13">
        <f>BY119*VLOOKUP('Données projet'!$B$12,Paramètres!$A$1:$I$89,3,0)*VLOOKUP('Données projet'!$B$12,Paramètres!$A$1:$I$89,5,0)</f>
        <v>-2.379465513513424E-13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214.34615950592251</v>
      </c>
      <c r="CE119" s="59">
        <f t="shared" si="94"/>
        <v>159.66077836853066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69.729101918559678</v>
      </c>
      <c r="CL119" s="21">
        <f>EXP(-LN(2)/25)*CL118+(1-EXP(-LN(2)/25))/(LN(2)/25)*Calculateur!CG119*Calculateur!CI119*VLOOKUP('Données projet'!$B$12,Paramètres!$A$1:$I$89,3,0)*0.475*44/12</f>
        <v>12.610291812981666</v>
      </c>
      <c r="CM119" s="21">
        <f>EXP(-LN(2)/2)*CM118+(1-EXP(-LN(2)/2))/(LN(2)/2)*CG119*CJ119*VLOOKUP('Données projet'!$B$12,Paramètres!$A$1:$I$89,3,0)*0.475*44/12</f>
        <v>1.3794488165617264E-4</v>
      </c>
      <c r="CN119" s="22">
        <f t="shared" si="66"/>
        <v>82.339531676423007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54.756000000000171</v>
      </c>
      <c r="D120" s="11">
        <f t="shared" si="86"/>
        <v>15.835447037242094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544.91643326994028</v>
      </c>
      <c r="H120" s="67">
        <f t="shared" si="56"/>
        <v>416.28010358986359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-6.3550942286383367E-14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279.32192402750189</v>
      </c>
      <c r="T120" s="59">
        <f t="shared" si="88"/>
        <v>371.43572414443611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66.392062143174925</v>
      </c>
      <c r="AA120" s="21">
        <f>EXP(-LN(2)/25)*AA119+(1-EXP(-LN(2)/25))/(LN(2)/25)*Calculateur!V120*Calculateur!X120*VLOOKUP('Données projet'!$B$9,Paramètres!$A$1:$I$89,3,0)*0.475*44/12</f>
        <v>10.32585445234189</v>
      </c>
      <c r="AB120" s="21">
        <f>EXP(-LN(2)/2)*AB119+(1-EXP(-LN(2)/2))/(LN(2)/2)*V120*Y120*VLOOKUP('Données projet'!$B$9,Paramètres!$A$1:$I$89,3,0)*0.475*44/12</f>
        <v>1.5907596798666042E-8</v>
      </c>
      <c r="AC120" s="22">
        <f t="shared" si="57"/>
        <v>76.717916611424414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-7.3896444519050419E-13</v>
      </c>
      <c r="AJ120" s="13">
        <f>AI120*VLOOKUP('Données projet'!$B$10,Paramètres!$A$1:$I$89,3,0)*VLOOKUP('Données projet'!$B$10,Paramètres!$A$1:$I$89,5,0)</f>
        <v>-3.4583536034915594E-13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192.20041613277965</v>
      </c>
      <c r="AO120" s="59">
        <f t="shared" si="90"/>
        <v>132.76245212522417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123.47695764960008</v>
      </c>
      <c r="AV120" s="21">
        <f>EXP(-LN(2)/25)*AV119+(1-EXP(-LN(2)/25))/(LN(2)/25)*Calculateur!AQ120*Calculateur!AS120*VLOOKUP('Données projet'!$B$10,Paramètres!$A$1:$I$89,3,0)*0.475*44/12</f>
        <v>26.224704003120301</v>
      </c>
      <c r="AW120" s="21">
        <f>EXP(-LN(2)/2)*AW119+(1-EXP(-LN(2)/2))/(LN(2)/2)*AQ120*AT120*VLOOKUP('Données projet'!$B$10,Paramètres!$A$1:$I$89,3,0)*0.475*44/12</f>
        <v>8.6051949451700846E-2</v>
      </c>
      <c r="AX120" s="21">
        <f t="shared" si="60"/>
        <v>149.78771360217209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180.31844548479722</v>
      </c>
      <c r="BJ120" s="59">
        <f t="shared" si="92"/>
        <v>273.83237400307223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26.942863538451554</v>
      </c>
      <c r="BQ120" s="21">
        <f>EXP(-LN(2)/25)*BQ119+(1-EXP(-LN(2)/25))/(LN(2)/25)*Calculateur!BL120*Calculateur!BN120*VLOOKUP('Données projet'!$B$11,Paramètres!$A$1:$I$89,3,0)*0.475*44/12</f>
        <v>29.775661308291149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56.718524846742703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-3.979039320256561E-13</v>
      </c>
      <c r="BZ120" s="13">
        <f>BY120*VLOOKUP('Données projet'!$B$12,Paramètres!$A$1:$I$89,3,0)*VLOOKUP('Données projet'!$B$12,Paramètres!$A$1:$I$89,5,0)</f>
        <v>-2.379465513513424E-13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214.34615950592251</v>
      </c>
      <c r="CE120" s="59">
        <f t="shared" si="94"/>
        <v>159.66077836853066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68.361756760489357</v>
      </c>
      <c r="CL120" s="21">
        <f>EXP(-LN(2)/25)*CL119+(1-EXP(-LN(2)/25))/(LN(2)/25)*Calculateur!CG120*Calculateur!CI120*VLOOKUP('Données projet'!$B$12,Paramètres!$A$1:$I$89,3,0)*0.475*44/12</f>
        <v>12.265462720209257</v>
      </c>
      <c r="CM120" s="21">
        <f>EXP(-LN(2)/2)*CM119+(1-EXP(-LN(2)/2))/(LN(2)/2)*CG120*CJ120*VLOOKUP('Données projet'!$B$12,Paramètres!$A$1:$I$89,3,0)*0.475*44/12</f>
        <v>9.7541761249055457E-5</v>
      </c>
      <c r="CN120" s="22">
        <f t="shared" si="66"/>
        <v>80.627317022459863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55.224000000000174</v>
      </c>
      <c r="D121" s="11">
        <f t="shared" si="86"/>
        <v>15.954979198073998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549.45176924829184</v>
      </c>
      <c r="H121" s="67">
        <f t="shared" si="56"/>
        <v>417.30338876997916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-6.3550942286383367E-14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279.32192402750189</v>
      </c>
      <c r="T121" s="59">
        <f t="shared" si="88"/>
        <v>371.43572414443611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65.090154299706612</v>
      </c>
      <c r="AA121" s="21">
        <f>EXP(-LN(2)/25)*AA120+(1-EXP(-LN(2)/25))/(LN(2)/25)*Calculateur!V121*Calculateur!X121*VLOOKUP('Données projet'!$B$9,Paramètres!$A$1:$I$89,3,0)*0.475*44/12</f>
        <v>10.043493419329515</v>
      </c>
      <c r="AB121" s="21">
        <f>EXP(-LN(2)/2)*AB120+(1-EXP(-LN(2)/2))/(LN(2)/2)*V121*Y121*VLOOKUP('Données projet'!$B$9,Paramètres!$A$1:$I$89,3,0)*0.475*44/12</f>
        <v>1.1248369568718173E-8</v>
      </c>
      <c r="AC121" s="22">
        <f t="shared" si="57"/>
        <v>75.133647730284508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-7.3896444519050419E-13</v>
      </c>
      <c r="AJ121" s="13">
        <f>AI121*VLOOKUP('Données projet'!$B$10,Paramètres!$A$1:$I$89,3,0)*VLOOKUP('Données projet'!$B$10,Paramètres!$A$1:$I$89,5,0)</f>
        <v>-3.4583536034915594E-13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192.20041613277965</v>
      </c>
      <c r="AO121" s="59">
        <f t="shared" si="90"/>
        <v>132.76245212522417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121.055649823599</v>
      </c>
      <c r="AV121" s="21">
        <f>EXP(-LN(2)/25)*AV120+(1-EXP(-LN(2)/25))/(LN(2)/25)*Calculateur!AQ121*Calculateur!AS121*VLOOKUP('Données projet'!$B$10,Paramètres!$A$1:$I$89,3,0)*0.475*44/12</f>
        <v>25.507588093057731</v>
      </c>
      <c r="AW121" s="21">
        <f>EXP(-LN(2)/2)*AW120+(1-EXP(-LN(2)/2))/(LN(2)/2)*AQ121*AT121*VLOOKUP('Données projet'!$B$10,Paramètres!$A$1:$I$89,3,0)*0.475*44/12</f>
        <v>6.0847916991619684E-2</v>
      </c>
      <c r="AX121" s="21">
        <f t="shared" si="60"/>
        <v>146.62408583364837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180.31844548479722</v>
      </c>
      <c r="BJ121" s="59">
        <f t="shared" si="92"/>
        <v>273.83237400307223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26.414530417986601</v>
      </c>
      <c r="BQ121" s="21">
        <f>EXP(-LN(2)/25)*BQ120+(1-EXP(-LN(2)/25))/(LN(2)/25)*Calculateur!BL121*Calculateur!BN121*VLOOKUP('Données projet'!$B$11,Paramètres!$A$1:$I$89,3,0)*0.475*44/12</f>
        <v>28.961444283981951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55.375974701968552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-3.979039320256561E-13</v>
      </c>
      <c r="BZ121" s="13">
        <f>BY121*VLOOKUP('Données projet'!$B$12,Paramètres!$A$1:$I$89,3,0)*VLOOKUP('Données projet'!$B$12,Paramètres!$A$1:$I$89,5,0)</f>
        <v>-2.379465513513424E-13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214.34615950592251</v>
      </c>
      <c r="CE121" s="59">
        <f t="shared" si="94"/>
        <v>159.66077836853066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67.021224406970589</v>
      </c>
      <c r="CL121" s="21">
        <f>EXP(-LN(2)/25)*CL120+(1-EXP(-LN(2)/25))/(LN(2)/25)*Calculateur!CG121*Calculateur!CI121*VLOOKUP('Données projet'!$B$12,Paramètres!$A$1:$I$89,3,0)*0.475*44/12</f>
        <v>11.930062997112483</v>
      </c>
      <c r="CM121" s="21">
        <f>EXP(-LN(2)/2)*CM120+(1-EXP(-LN(2)/2))/(LN(2)/2)*CG121*CJ121*VLOOKUP('Données projet'!$B$12,Paramètres!$A$1:$I$89,3,0)*0.475*44/12</f>
        <v>6.8972440828086318E-5</v>
      </c>
      <c r="CN121" s="22">
        <f t="shared" si="66"/>
        <v>78.951356376523904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55.692000000000178</v>
      </c>
      <c r="D122" s="11">
        <f t="shared" si="86"/>
        <v>16.074393504165254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553.98619547075066</v>
      </c>
      <c r="H122" s="67">
        <f t="shared" si="56"/>
        <v>418.32646868642144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-6.3550942286383367E-14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279.32192402750189</v>
      </c>
      <c r="T122" s="59">
        <f t="shared" si="88"/>
        <v>371.43572414443611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63.813776074963336</v>
      </c>
      <c r="AA122" s="21">
        <f>EXP(-LN(2)/25)*AA121+(1-EXP(-LN(2)/25))/(LN(2)/25)*Calculateur!V122*Calculateur!X122*VLOOKUP('Données projet'!$B$9,Paramètres!$A$1:$I$89,3,0)*0.475*44/12</f>
        <v>9.7688535636135843</v>
      </c>
      <c r="AB122" s="21">
        <f>EXP(-LN(2)/2)*AB121+(1-EXP(-LN(2)/2))/(LN(2)/2)*V122*Y122*VLOOKUP('Données projet'!$B$9,Paramètres!$A$1:$I$89,3,0)*0.475*44/12</f>
        <v>7.953798399333021E-9</v>
      </c>
      <c r="AC122" s="22">
        <f t="shared" si="57"/>
        <v>73.582629646530719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-7.3896444519050419E-13</v>
      </c>
      <c r="AJ122" s="13">
        <f>AI122*VLOOKUP('Données projet'!$B$10,Paramètres!$A$1:$I$89,3,0)*VLOOKUP('Données projet'!$B$10,Paramètres!$A$1:$I$89,5,0)</f>
        <v>-3.4583536034915594E-13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192.20041613277965</v>
      </c>
      <c r="AO122" s="59">
        <f t="shared" si="90"/>
        <v>132.76245212522417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118.68182236721385</v>
      </c>
      <c r="AV122" s="21">
        <f>EXP(-LN(2)/25)*AV121+(1-EXP(-LN(2)/25))/(LN(2)/25)*Calculateur!AQ122*Calculateur!AS122*VLOOKUP('Données projet'!$B$10,Paramètres!$A$1:$I$89,3,0)*0.475*44/12</f>
        <v>24.810081755267309</v>
      </c>
      <c r="AW122" s="21">
        <f>EXP(-LN(2)/2)*AW121+(1-EXP(-LN(2)/2))/(LN(2)/2)*AQ122*AT122*VLOOKUP('Données projet'!$B$10,Paramètres!$A$1:$I$89,3,0)*0.475*44/12</f>
        <v>4.302597472585043E-2</v>
      </c>
      <c r="AX122" s="21">
        <f t="shared" si="60"/>
        <v>143.53493009720702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180.31844548479722</v>
      </c>
      <c r="BJ122" s="59">
        <f t="shared" si="92"/>
        <v>273.83237400307223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25.896557587762583</v>
      </c>
      <c r="BQ122" s="21">
        <f>EXP(-LN(2)/25)*BQ121+(1-EXP(-LN(2)/25))/(LN(2)/25)*Calculateur!BL122*Calculateur!BN122*VLOOKUP('Données projet'!$B$11,Paramètres!$A$1:$I$89,3,0)*0.475*44/12</f>
        <v>28.1694920670203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54.066049654782887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-3.979039320256561E-13</v>
      </c>
      <c r="BZ122" s="13">
        <f>BY122*VLOOKUP('Données projet'!$B$12,Paramètres!$A$1:$I$89,3,0)*VLOOKUP('Données projet'!$B$12,Paramètres!$A$1:$I$89,5,0)</f>
        <v>-2.379465513513424E-13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214.34615950592251</v>
      </c>
      <c r="CE122" s="59">
        <f t="shared" si="94"/>
        <v>159.66077836853066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65.706979075260321</v>
      </c>
      <c r="CL122" s="21">
        <f>EXP(-LN(2)/25)*CL121+(1-EXP(-LN(2)/25))/(LN(2)/25)*Calculateur!CG122*Calculateur!CI122*VLOOKUP('Données projet'!$B$12,Paramètres!$A$1:$I$89,3,0)*0.475*44/12</f>
        <v>11.603834797081696</v>
      </c>
      <c r="CM122" s="21">
        <f>EXP(-LN(2)/2)*CM121+(1-EXP(-LN(2)/2))/(LN(2)/2)*CG122*CJ122*VLOOKUP('Données projet'!$B$12,Paramètres!$A$1:$I$89,3,0)*0.475*44/12</f>
        <v>4.8770880624527729E-5</v>
      </c>
      <c r="CN122" s="22">
        <f t="shared" si="66"/>
        <v>77.310862643222634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56.160000000000181</v>
      </c>
      <c r="D123" s="11">
        <f t="shared" si="86"/>
        <v>16.193691060657081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558.51972046823164</v>
      </c>
      <c r="H123" s="67">
        <f t="shared" si="56"/>
        <v>419.34934526397802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-6.3550942286383367E-14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279.32192402750189</v>
      </c>
      <c r="T123" s="59">
        <f t="shared" si="88"/>
        <v>371.43572414443611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62.562426848693427</v>
      </c>
      <c r="AA123" s="21">
        <f>EXP(-LN(2)/25)*AA122+(1-EXP(-LN(2)/25))/(LN(2)/25)*Calculateur!V123*Calculateur!X123*VLOOKUP('Données projet'!$B$9,Paramètres!$A$1:$I$89,3,0)*0.475*44/12</f>
        <v>9.5017237491948894</v>
      </c>
      <c r="AB123" s="21">
        <f>EXP(-LN(2)/2)*AB122+(1-EXP(-LN(2)/2))/(LN(2)/2)*V123*Y123*VLOOKUP('Données projet'!$B$9,Paramètres!$A$1:$I$89,3,0)*0.475*44/12</f>
        <v>5.6241847843590864E-9</v>
      </c>
      <c r="AC123" s="22">
        <f t="shared" si="57"/>
        <v>72.064150603512502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-7.3896444519050419E-13</v>
      </c>
      <c r="AJ123" s="13">
        <f>AI123*VLOOKUP('Données projet'!$B$10,Paramètres!$A$1:$I$89,3,0)*VLOOKUP('Données projet'!$B$10,Paramètres!$A$1:$I$89,5,0)</f>
        <v>-3.4583536034915594E-13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192.20041613277965</v>
      </c>
      <c r="AO123" s="59">
        <f t="shared" si="90"/>
        <v>132.76245212522417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116.35454421935664</v>
      </c>
      <c r="AV123" s="21">
        <f>EXP(-LN(2)/25)*AV122+(1-EXP(-LN(2)/25))/(LN(2)/25)*Calculateur!AQ123*Calculateur!AS123*VLOOKUP('Données projet'!$B$10,Paramètres!$A$1:$I$89,3,0)*0.475*44/12</f>
        <v>24.13164876496403</v>
      </c>
      <c r="AW123" s="21">
        <f>EXP(-LN(2)/2)*AW122+(1-EXP(-LN(2)/2))/(LN(2)/2)*AQ123*AT123*VLOOKUP('Données projet'!$B$10,Paramètres!$A$1:$I$89,3,0)*0.475*44/12</f>
        <v>3.0423958495809846E-2</v>
      </c>
      <c r="AX123" s="21">
        <f t="shared" si="60"/>
        <v>140.51661694281648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180.31844548479722</v>
      </c>
      <c r="BJ123" s="59">
        <f t="shared" si="92"/>
        <v>273.83237400307223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25.388741888807026</v>
      </c>
      <c r="BQ123" s="21">
        <f>EXP(-LN(2)/25)*BQ122+(1-EXP(-LN(2)/25))/(LN(2)/25)*Calculateur!BL123*Calculateur!BN123*VLOOKUP('Données projet'!$B$11,Paramètres!$A$1:$I$89,3,0)*0.475*44/12</f>
        <v>27.399195825078426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52.787937713885455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-3.979039320256561E-13</v>
      </c>
      <c r="BZ123" s="13">
        <f>BY123*VLOOKUP('Données projet'!$B$12,Paramètres!$A$1:$I$89,3,0)*VLOOKUP('Données projet'!$B$12,Paramètres!$A$1:$I$89,5,0)</f>
        <v>-2.379465513513424E-13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214.34615950592251</v>
      </c>
      <c r="CE123" s="59">
        <f t="shared" si="94"/>
        <v>159.66077836853066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64.418505292894395</v>
      </c>
      <c r="CL123" s="21">
        <f>EXP(-LN(2)/25)*CL122+(1-EXP(-LN(2)/25))/(LN(2)/25)*Calculateur!CG123*Calculateur!CI123*VLOOKUP('Données projet'!$B$12,Paramètres!$A$1:$I$89,3,0)*0.475*44/12</f>
        <v>11.286527324336346</v>
      </c>
      <c r="CM123" s="21">
        <f>EXP(-LN(2)/2)*CM122+(1-EXP(-LN(2)/2))/(LN(2)/2)*CG123*CJ123*VLOOKUP('Données projet'!$B$12,Paramètres!$A$1:$I$89,3,0)*0.475*44/12</f>
        <v>3.4486220414043159E-5</v>
      </c>
      <c r="CN123" s="22">
        <f t="shared" si="66"/>
        <v>75.705067103451157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56.628000000000185</v>
      </c>
      <c r="D124" s="11">
        <f t="shared" si="86"/>
        <v>16.312872953208569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563.05235262126064</v>
      </c>
      <c r="H124" s="67">
        <f t="shared" si="56"/>
        <v>420.37202039350524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-6.3550942286383367E-14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279.32192402750189</v>
      </c>
      <c r="T124" s="59">
        <f t="shared" si="88"/>
        <v>371.43572414443611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61.335615817503005</v>
      </c>
      <c r="AA124" s="21">
        <f>EXP(-LN(2)/25)*AA123+(1-EXP(-LN(2)/25))/(LN(2)/25)*Calculateur!V124*Calculateur!X124*VLOOKUP('Données projet'!$B$9,Paramètres!$A$1:$I$89,3,0)*0.475*44/12</f>
        <v>9.2418986135992203</v>
      </c>
      <c r="AB124" s="21">
        <f>EXP(-LN(2)/2)*AB123+(1-EXP(-LN(2)/2))/(LN(2)/2)*V124*Y124*VLOOKUP('Données projet'!$B$9,Paramètres!$A$1:$I$89,3,0)*0.475*44/12</f>
        <v>3.9768991996665105E-9</v>
      </c>
      <c r="AC124" s="22">
        <f t="shared" si="57"/>
        <v>70.577514435079124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-7.3896444519050419E-13</v>
      </c>
      <c r="AJ124" s="13">
        <f>AI124*VLOOKUP('Données projet'!$B$10,Paramètres!$A$1:$I$89,3,0)*VLOOKUP('Données projet'!$B$10,Paramètres!$A$1:$I$89,5,0)</f>
        <v>-3.4583536034915594E-13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192.20041613277965</v>
      </c>
      <c r="AO124" s="59">
        <f t="shared" si="90"/>
        <v>132.76245212522417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114.07290257647939</v>
      </c>
      <c r="AV124" s="21">
        <f>EXP(-LN(2)/25)*AV123+(1-EXP(-LN(2)/25))/(LN(2)/25)*Calculateur!AQ124*Calculateur!AS124*VLOOKUP('Données projet'!$B$10,Paramètres!$A$1:$I$89,3,0)*0.475*44/12</f>
        <v>23.471767560457835</v>
      </c>
      <c r="AW124" s="21">
        <f>EXP(-LN(2)/2)*AW123+(1-EXP(-LN(2)/2))/(LN(2)/2)*AQ124*AT124*VLOOKUP('Données projet'!$B$10,Paramètres!$A$1:$I$89,3,0)*0.475*44/12</f>
        <v>2.1512987362925218E-2</v>
      </c>
      <c r="AX124" s="21">
        <f t="shared" si="60"/>
        <v>137.56618312430015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180.31844548479722</v>
      </c>
      <c r="BJ124" s="59">
        <f t="shared" si="92"/>
        <v>273.83237400307223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24.890884145970997</v>
      </c>
      <c r="BQ124" s="21">
        <f>EXP(-LN(2)/25)*BQ123+(1-EXP(-LN(2)/25))/(LN(2)/25)*Calculateur!BL124*Calculateur!BN124*VLOOKUP('Données projet'!$B$11,Paramètres!$A$1:$I$89,3,0)*0.475*44/12</f>
        <v>26.649963374380569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51.540847520351562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-3.979039320256561E-13</v>
      </c>
      <c r="BZ124" s="13">
        <f>BY124*VLOOKUP('Données projet'!$B$12,Paramètres!$A$1:$I$89,3,0)*VLOOKUP('Données projet'!$B$12,Paramètres!$A$1:$I$89,5,0)</f>
        <v>-2.379465513513424E-13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214.34615950592251</v>
      </c>
      <c r="CE124" s="59">
        <f t="shared" si="94"/>
        <v>159.66077836853066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63.155297695509262</v>
      </c>
      <c r="CL124" s="21">
        <f>EXP(-LN(2)/25)*CL123+(1-EXP(-LN(2)/25))/(LN(2)/25)*Calculateur!CG124*Calculateur!CI124*VLOOKUP('Données projet'!$B$12,Paramètres!$A$1:$I$89,3,0)*0.475*44/12</f>
        <v>10.977896641119692</v>
      </c>
      <c r="CM124" s="21">
        <f>EXP(-LN(2)/2)*CM123+(1-EXP(-LN(2)/2))/(LN(2)/2)*CG124*CJ124*VLOOKUP('Données projet'!$B$12,Paramètres!$A$1:$I$89,3,0)*0.475*44/12</f>
        <v>2.4385440312263864E-5</v>
      </c>
      <c r="CN124" s="22">
        <f t="shared" si="66"/>
        <v>74.133218722069259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57.096000000000188</v>
      </c>
      <c r="D125" s="11">
        <f t="shared" si="86"/>
        <v>16.431940248498069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567.58410016384607</v>
      </c>
      <c r="H125" s="67">
        <f t="shared" si="56"/>
        <v>421.39449593280108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-6.3550942286383367E-14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279.32192402750189</v>
      </c>
      <c r="T125" s="59">
        <f t="shared" si="88"/>
        <v>371.43572414443611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60.132861802353389</v>
      </c>
      <c r="AA125" s="21">
        <f>EXP(-LN(2)/25)*AA124+(1-EXP(-LN(2)/25))/(LN(2)/25)*Calculateur!V125*Calculateur!X125*VLOOKUP('Données projet'!$B$9,Paramètres!$A$1:$I$89,3,0)*0.475*44/12</f>
        <v>8.989178410000024</v>
      </c>
      <c r="AB125" s="21">
        <f>EXP(-LN(2)/2)*AB124+(1-EXP(-LN(2)/2))/(LN(2)/2)*V125*Y125*VLOOKUP('Données projet'!$B$9,Paramètres!$A$1:$I$89,3,0)*0.475*44/12</f>
        <v>2.8120923921795432E-9</v>
      </c>
      <c r="AC125" s="22">
        <f t="shared" si="57"/>
        <v>69.122040215165498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-7.3896444519050419E-13</v>
      </c>
      <c r="AJ125" s="13">
        <f>AI125*VLOOKUP('Données projet'!$B$10,Paramètres!$A$1:$I$89,3,0)*VLOOKUP('Données projet'!$B$10,Paramètres!$A$1:$I$89,5,0)</f>
        <v>-3.4583536034915594E-13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192.20041613277965</v>
      </c>
      <c r="AO125" s="59">
        <f t="shared" si="90"/>
        <v>132.76245212522417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111.83600253455499</v>
      </c>
      <c r="AV125" s="21">
        <f>EXP(-LN(2)/25)*AV124+(1-EXP(-LN(2)/25))/(LN(2)/25)*Calculateur!AQ125*Calculateur!AS125*VLOOKUP('Données projet'!$B$10,Paramètres!$A$1:$I$89,3,0)*0.475*44/12</f>
        <v>22.829930842190503</v>
      </c>
      <c r="AW125" s="21">
        <f>EXP(-LN(2)/2)*AW124+(1-EXP(-LN(2)/2))/(LN(2)/2)*AQ125*AT125*VLOOKUP('Données projet'!$B$10,Paramètres!$A$1:$I$89,3,0)*0.475*44/12</f>
        <v>1.5211979247904926E-2</v>
      </c>
      <c r="AX125" s="21">
        <f t="shared" si="60"/>
        <v>134.68114535599341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180.31844548479722</v>
      </c>
      <c r="BJ125" s="59">
        <f t="shared" si="92"/>
        <v>273.83237400307223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24.402789089808742</v>
      </c>
      <c r="BQ125" s="21">
        <f>EXP(-LN(2)/25)*BQ124+(1-EXP(-LN(2)/25))/(LN(2)/25)*Calculateur!BL125*Calculateur!BN125*VLOOKUP('Données projet'!$B$11,Paramètres!$A$1:$I$89,3,0)*0.475*44/12</f>
        <v>25.921218724447467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50.324007814256206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-3.979039320256561E-13</v>
      </c>
      <c r="BZ125" s="13">
        <f>BY125*VLOOKUP('Données projet'!$B$12,Paramètres!$A$1:$I$89,3,0)*VLOOKUP('Données projet'!$B$12,Paramètres!$A$1:$I$89,5,0)</f>
        <v>-2.379465513513424E-13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214.34615950592251</v>
      </c>
      <c r="CE125" s="59">
        <f t="shared" si="94"/>
        <v>159.66077836853066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61.916860828628295</v>
      </c>
      <c r="CL125" s="21">
        <f>EXP(-LN(2)/25)*CL124+(1-EXP(-LN(2)/25))/(LN(2)/25)*Calculateur!CG125*Calculateur!CI125*VLOOKUP('Données projet'!$B$12,Paramètres!$A$1:$I$89,3,0)*0.475*44/12</f>
        <v>10.67770548016578</v>
      </c>
      <c r="CM125" s="21">
        <f>EXP(-LN(2)/2)*CM124+(1-EXP(-LN(2)/2))/(LN(2)/2)*CG125*CJ125*VLOOKUP('Données projet'!$B$12,Paramètres!$A$1:$I$89,3,0)*0.475*44/12</f>
        <v>1.7243110207021579E-5</v>
      </c>
      <c r="CN125" s="22">
        <f t="shared" si="66"/>
        <v>72.594583551904279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57.564000000000192</v>
      </c>
      <c r="D126" s="11">
        <f t="shared" si="86"/>
        <v>16.55089399470792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572.11497118722059</v>
      </c>
      <c r="H126" s="67">
        <f t="shared" si="56"/>
        <v>422.41677370744992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-6.3550942286383367E-14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279.32192402750189</v>
      </c>
      <c r="T126" s="59">
        <f t="shared" si="88"/>
        <v>371.43572414443611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58.953693059833341</v>
      </c>
      <c r="AA126" s="21">
        <f>EXP(-LN(2)/25)*AA125+(1-EXP(-LN(2)/25))/(LN(2)/25)*Calculateur!V126*Calculateur!X126*VLOOKUP('Données projet'!$B$9,Paramètres!$A$1:$I$89,3,0)*0.475*44/12</f>
        <v>8.7433688536582252</v>
      </c>
      <c r="AB126" s="21">
        <f>EXP(-LN(2)/2)*AB125+(1-EXP(-LN(2)/2))/(LN(2)/2)*V126*Y126*VLOOKUP('Données projet'!$B$9,Paramètres!$A$1:$I$89,3,0)*0.475*44/12</f>
        <v>1.9884495998332552E-9</v>
      </c>
      <c r="AC126" s="22">
        <f t="shared" si="57"/>
        <v>67.69706191548002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-7.3896444519050419E-13</v>
      </c>
      <c r="AJ126" s="13">
        <f>AI126*VLOOKUP('Données projet'!$B$10,Paramètres!$A$1:$I$89,3,0)*VLOOKUP('Données projet'!$B$10,Paramètres!$A$1:$I$89,5,0)</f>
        <v>-3.4583536034915594E-13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192.20041613277965</v>
      </c>
      <c r="AO126" s="59">
        <f t="shared" si="90"/>
        <v>132.76245212522417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109.64296673807841</v>
      </c>
      <c r="AV126" s="21">
        <f>EXP(-LN(2)/25)*AV125+(1-EXP(-LN(2)/25))/(LN(2)/25)*Calculateur!AQ126*Calculateur!AS126*VLOOKUP('Données projet'!$B$10,Paramètres!$A$1:$I$89,3,0)*0.475*44/12</f>
        <v>22.205645182736919</v>
      </c>
      <c r="AW126" s="21">
        <f>EXP(-LN(2)/2)*AW125+(1-EXP(-LN(2)/2))/(LN(2)/2)*AQ126*AT126*VLOOKUP('Données projet'!$B$10,Paramètres!$A$1:$I$89,3,0)*0.475*44/12</f>
        <v>1.0756493681462611E-2</v>
      </c>
      <c r="AX126" s="21">
        <f t="shared" si="60"/>
        <v>131.8593684144968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180.31844548479722</v>
      </c>
      <c r="BJ126" s="59">
        <f t="shared" si="92"/>
        <v>273.83237400307223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23.924265279989243</v>
      </c>
      <c r="BQ126" s="21">
        <f>EXP(-LN(2)/25)*BQ125+(1-EXP(-LN(2)/25))/(LN(2)/25)*Calculateur!BL126*Calculateur!BN126*VLOOKUP('Données projet'!$B$11,Paramètres!$A$1:$I$89,3,0)*0.475*44/12</f>
        <v>25.212401635289801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49.136666915279044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-3.979039320256561E-13</v>
      </c>
      <c r="BZ126" s="13">
        <f>BY126*VLOOKUP('Données projet'!$B$12,Paramètres!$A$1:$I$89,3,0)*VLOOKUP('Données projet'!$B$12,Paramètres!$A$1:$I$89,5,0)</f>
        <v>-2.379465513513424E-13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214.34615950592251</v>
      </c>
      <c r="CE126" s="59">
        <f t="shared" si="94"/>
        <v>159.66077836853066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60.702708953334962</v>
      </c>
      <c r="CL126" s="21">
        <f>EXP(-LN(2)/25)*CL125+(1-EXP(-LN(2)/25))/(LN(2)/25)*Calculateur!CG126*Calculateur!CI126*VLOOKUP('Données projet'!$B$12,Paramètres!$A$1:$I$89,3,0)*0.475*44/12</f>
        <v>10.38572306229452</v>
      </c>
      <c r="CM126" s="21">
        <f>EXP(-LN(2)/2)*CM125+(1-EXP(-LN(2)/2))/(LN(2)/2)*CG126*CJ126*VLOOKUP('Données projet'!$B$12,Paramètres!$A$1:$I$89,3,0)*0.475*44/12</f>
        <v>1.2192720156131932E-5</v>
      </c>
      <c r="CN126" s="22">
        <f t="shared" si="66"/>
        <v>71.088444208349628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58.032000000000195</v>
      </c>
      <c r="D127" s="11">
        <f t="shared" si="86"/>
        <v>16.669735221992848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576.64497364345516</v>
      </c>
      <c r="H127" s="67">
        <f t="shared" si="56"/>
        <v>423.43885551163788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-6.3550942286383367E-14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279.32192402750189</v>
      </c>
      <c r="T127" s="59">
        <f t="shared" si="88"/>
        <v>371.43572414443611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57.797647097132199</v>
      </c>
      <c r="AA127" s="21">
        <f>EXP(-LN(2)/25)*AA126+(1-EXP(-LN(2)/25))/(LN(2)/25)*Calculateur!V127*Calculateur!X127*VLOOKUP('Données projet'!$B$9,Paramètres!$A$1:$I$89,3,0)*0.475*44/12</f>
        <v>8.5042809725611566</v>
      </c>
      <c r="AB127" s="21">
        <f>EXP(-LN(2)/2)*AB126+(1-EXP(-LN(2)/2))/(LN(2)/2)*V127*Y127*VLOOKUP('Données projet'!$B$9,Paramètres!$A$1:$I$89,3,0)*0.475*44/12</f>
        <v>1.4060461960897716E-9</v>
      </c>
      <c r="AC127" s="22">
        <f t="shared" si="57"/>
        <v>66.301928071099411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-7.3896444519050419E-13</v>
      </c>
      <c r="AJ127" s="13">
        <f>AI127*VLOOKUP('Données projet'!$B$10,Paramètres!$A$1:$I$89,3,0)*VLOOKUP('Données projet'!$B$10,Paramètres!$A$1:$I$89,5,0)</f>
        <v>-3.4583536034915594E-13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192.20041613277965</v>
      </c>
      <c r="AO127" s="59">
        <f t="shared" si="90"/>
        <v>132.76245212522417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107.49293503595099</v>
      </c>
      <c r="AV127" s="21">
        <f>EXP(-LN(2)/25)*AV126+(1-EXP(-LN(2)/25))/(LN(2)/25)*Calculateur!AQ127*Calculateur!AS127*VLOOKUP('Données projet'!$B$10,Paramètres!$A$1:$I$89,3,0)*0.475*44/12</f>
        <v>21.598430647470849</v>
      </c>
      <c r="AW127" s="21">
        <f>EXP(-LN(2)/2)*AW126+(1-EXP(-LN(2)/2))/(LN(2)/2)*AQ127*AT127*VLOOKUP('Données projet'!$B$10,Paramètres!$A$1:$I$89,3,0)*0.475*44/12</f>
        <v>7.605989623952464E-3</v>
      </c>
      <c r="AX127" s="21">
        <f t="shared" si="60"/>
        <v>129.09897167304578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180.31844548479722</v>
      </c>
      <c r="BJ127" s="59">
        <f t="shared" si="92"/>
        <v>273.83237400307223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23.455125030209597</v>
      </c>
      <c r="BQ127" s="21">
        <f>EXP(-LN(2)/25)*BQ126+(1-EXP(-LN(2)/25))/(LN(2)/25)*Calculateur!BL127*Calculateur!BN127*VLOOKUP('Données projet'!$B$11,Paramètres!$A$1:$I$89,3,0)*0.475*44/12</f>
        <v>24.522967186710222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47.978092216919819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-3.979039320256561E-13</v>
      </c>
      <c r="BZ127" s="13">
        <f>BY127*VLOOKUP('Données projet'!$B$12,Paramètres!$A$1:$I$89,3,0)*VLOOKUP('Données projet'!$B$12,Paramètres!$A$1:$I$89,5,0)</f>
        <v>-2.379465513513424E-13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214.34615950592251</v>
      </c>
      <c r="CE127" s="59">
        <f t="shared" si="94"/>
        <v>159.66077836853066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59.512365855756613</v>
      </c>
      <c r="CL127" s="21">
        <f>EXP(-LN(2)/25)*CL126+(1-EXP(-LN(2)/25))/(LN(2)/25)*Calculateur!CG127*Calculateur!CI127*VLOOKUP('Données projet'!$B$12,Paramètres!$A$1:$I$89,3,0)*0.475*44/12</f>
        <v>10.101724918994638</v>
      </c>
      <c r="CM127" s="21">
        <f>EXP(-LN(2)/2)*CM126+(1-EXP(-LN(2)/2))/(LN(2)/2)*CG127*CJ127*VLOOKUP('Données projet'!$B$12,Paramètres!$A$1:$I$89,3,0)*0.475*44/12</f>
        <v>8.6215551035107897E-6</v>
      </c>
      <c r="CN127" s="22">
        <f t="shared" si="66"/>
        <v>69.614099396306344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58.500000000000199</v>
      </c>
      <c r="D128" s="11">
        <f t="shared" si="86"/>
        <v>16.788464942932855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581.17411534895689</v>
      </c>
      <c r="H128" s="67">
        <f t="shared" si="56"/>
        <v>424.4607431089417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-6.3550942286383367E-14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279.32192402750189</v>
      </c>
      <c r="T128" s="59">
        <f t="shared" si="88"/>
        <v>371.43572414443611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56.664270490641215</v>
      </c>
      <c r="AA128" s="21">
        <f>EXP(-LN(2)/25)*AA127+(1-EXP(-LN(2)/25))/(LN(2)/25)*Calculateur!V128*Calculateur!X128*VLOOKUP('Données projet'!$B$9,Paramètres!$A$1:$I$89,3,0)*0.475*44/12</f>
        <v>8.2717309621457726</v>
      </c>
      <c r="AB128" s="21">
        <f>EXP(-LN(2)/2)*AB127+(1-EXP(-LN(2)/2))/(LN(2)/2)*V128*Y128*VLOOKUP('Données projet'!$B$9,Paramètres!$A$1:$I$89,3,0)*0.475*44/12</f>
        <v>9.9422479991662762E-10</v>
      </c>
      <c r="AC128" s="22">
        <f t="shared" si="57"/>
        <v>64.936001453781202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-7.3896444519050419E-13</v>
      </c>
      <c r="AJ128" s="13">
        <f>AI128*VLOOKUP('Données projet'!$B$10,Paramètres!$A$1:$I$89,3,0)*VLOOKUP('Données projet'!$B$10,Paramètres!$A$1:$I$89,5,0)</f>
        <v>-3.4583536034915594E-13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192.20041613277965</v>
      </c>
      <c r="AO128" s="59">
        <f t="shared" si="90"/>
        <v>132.76245212522417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105.38506414411243</v>
      </c>
      <c r="AV128" s="21">
        <f>EXP(-LN(2)/25)*AV127+(1-EXP(-LN(2)/25))/(LN(2)/25)*Calculateur!AQ128*Calculateur!AS128*VLOOKUP('Données projet'!$B$10,Paramètres!$A$1:$I$89,3,0)*0.475*44/12</f>
        <v>21.007820425603654</v>
      </c>
      <c r="AW128" s="21">
        <f>EXP(-LN(2)/2)*AW127+(1-EXP(-LN(2)/2))/(LN(2)/2)*AQ128*AT128*VLOOKUP('Données projet'!$B$10,Paramètres!$A$1:$I$89,3,0)*0.475*44/12</f>
        <v>5.3782468407313063E-3</v>
      </c>
      <c r="AX128" s="21">
        <f t="shared" si="60"/>
        <v>126.39826281655682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180.31844548479722</v>
      </c>
      <c r="BJ128" s="59">
        <f t="shared" si="92"/>
        <v>273.83237400307223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22.995184334580834</v>
      </c>
      <c r="BQ128" s="21">
        <f>EXP(-LN(2)/25)*BQ127+(1-EXP(-LN(2)/25))/(LN(2)/25)*Calculateur!BL128*Calculateur!BN128*VLOOKUP('Données projet'!$B$11,Paramètres!$A$1:$I$89,3,0)*0.475*44/12</f>
        <v>23.852385359382833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46.847569693963663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-3.979039320256561E-13</v>
      </c>
      <c r="BZ128" s="13">
        <f>BY128*VLOOKUP('Données projet'!$B$12,Paramètres!$A$1:$I$89,3,0)*VLOOKUP('Données projet'!$B$12,Paramètres!$A$1:$I$89,5,0)</f>
        <v>-2.379465513513424E-13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214.34615950592251</v>
      </c>
      <c r="CE128" s="59">
        <f t="shared" si="94"/>
        <v>159.66077836853066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58.345364660284176</v>
      </c>
      <c r="CL128" s="21">
        <f>EXP(-LN(2)/25)*CL127+(1-EXP(-LN(2)/25))/(LN(2)/25)*Calculateur!CG128*Calculateur!CI128*VLOOKUP('Données projet'!$B$12,Paramètres!$A$1:$I$89,3,0)*0.475*44/12</f>
        <v>9.8254927198581044</v>
      </c>
      <c r="CM128" s="21">
        <f>EXP(-LN(2)/2)*CM127+(1-EXP(-LN(2)/2))/(LN(2)/2)*CG128*CJ128*VLOOKUP('Données projet'!$B$12,Paramètres!$A$1:$I$89,3,0)*0.475*44/12</f>
        <v>6.0963600780659661E-6</v>
      </c>
      <c r="CN128" s="22">
        <f t="shared" si="66"/>
        <v>68.170863476502362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58.968000000000202</v>
      </c>
      <c r="D129" s="11">
        <f t="shared" si="86"/>
        <v>16.907084152971169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585.70240398784915</v>
      </c>
      <c r="H129" s="67">
        <f t="shared" si="56"/>
        <v>425.48243823309178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-6.3550942286383367E-14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279.32192402750189</v>
      </c>
      <c r="T129" s="59">
        <f t="shared" si="88"/>
        <v>371.43572414443611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55.553118708112045</v>
      </c>
      <c r="AA129" s="21">
        <f>EXP(-LN(2)/25)*AA128+(1-EXP(-LN(2)/25))/(LN(2)/25)*Calculateur!V129*Calculateur!X129*VLOOKUP('Données projet'!$B$9,Paramètres!$A$1:$I$89,3,0)*0.475*44/12</f>
        <v>8.0455400439944711</v>
      </c>
      <c r="AB129" s="21">
        <f>EXP(-LN(2)/2)*AB128+(1-EXP(-LN(2)/2))/(LN(2)/2)*V129*Y129*VLOOKUP('Données projet'!$B$9,Paramètres!$A$1:$I$89,3,0)*0.475*44/12</f>
        <v>7.030230980448858E-10</v>
      </c>
      <c r="AC129" s="22">
        <f t="shared" si="57"/>
        <v>63.598658752809541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-7.3896444519050419E-13</v>
      </c>
      <c r="AJ129" s="13">
        <f>AI129*VLOOKUP('Données projet'!$B$10,Paramètres!$A$1:$I$89,3,0)*VLOOKUP('Données projet'!$B$10,Paramètres!$A$1:$I$89,5,0)</f>
        <v>-3.4583536034915594E-13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192.20041613277965</v>
      </c>
      <c r="AO129" s="59">
        <f t="shared" si="90"/>
        <v>132.76245212522417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103.31852731478854</v>
      </c>
      <c r="AV129" s="21">
        <f>EXP(-LN(2)/25)*AV128+(1-EXP(-LN(2)/25))/(LN(2)/25)*Calculateur!AQ129*Calculateur!AS129*VLOOKUP('Données projet'!$B$10,Paramètres!$A$1:$I$89,3,0)*0.475*44/12</f>
        <v>20.433360471312259</v>
      </c>
      <c r="AW129" s="21">
        <f>EXP(-LN(2)/2)*AW128+(1-EXP(-LN(2)/2))/(LN(2)/2)*AQ129*AT129*VLOOKUP('Données projet'!$B$10,Paramètres!$A$1:$I$89,3,0)*0.475*44/12</f>
        <v>3.8029948119762324E-3</v>
      </c>
      <c r="AX129" s="21">
        <f t="shared" si="60"/>
        <v>123.75569078091277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180.31844548479722</v>
      </c>
      <c r="BJ129" s="59">
        <f t="shared" si="92"/>
        <v>273.83237400307223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22.544262795457229</v>
      </c>
      <c r="BQ129" s="21">
        <f>EXP(-LN(2)/25)*BQ128+(1-EXP(-LN(2)/25))/(LN(2)/25)*Calculateur!BL129*Calculateur!BN129*VLOOKUP('Données projet'!$B$11,Paramètres!$A$1:$I$89,3,0)*0.475*44/12</f>
        <v>23.200140627388077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45.744403422845309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-3.979039320256561E-13</v>
      </c>
      <c r="BZ129" s="13">
        <f>BY129*VLOOKUP('Données projet'!$B$12,Paramètres!$A$1:$I$89,3,0)*VLOOKUP('Données projet'!$B$12,Paramètres!$A$1:$I$89,5,0)</f>
        <v>-2.379465513513424E-13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214.34615950592251</v>
      </c>
      <c r="CE129" s="59">
        <f t="shared" si="94"/>
        <v>159.66077836853066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57.201247646454505</v>
      </c>
      <c r="CL129" s="21">
        <f>EXP(-LN(2)/25)*CL128+(1-EXP(-LN(2)/25))/(LN(2)/25)*Calculateur!CG129*Calculateur!CI129*VLOOKUP('Données projet'!$B$12,Paramètres!$A$1:$I$89,3,0)*0.475*44/12</f>
        <v>9.5568141047333786</v>
      </c>
      <c r="CM129" s="21">
        <f>EXP(-LN(2)/2)*CM128+(1-EXP(-LN(2)/2))/(LN(2)/2)*CG129*CJ129*VLOOKUP('Données projet'!$B$12,Paramètres!$A$1:$I$89,3,0)*0.475*44/12</f>
        <v>4.3107775517553949E-6</v>
      </c>
      <c r="CN129" s="22">
        <f t="shared" si="66"/>
        <v>66.758066061965437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59.436000000000206</v>
      </c>
      <c r="D130" s="11">
        <f t="shared" si="86"/>
        <v>17.025593830837963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590.22984711524202</v>
      </c>
      <c r="H130" s="67">
        <f t="shared" si="56"/>
        <v>426.50394258870983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-6.3550942286383367E-14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279.32192402750189</v>
      </c>
      <c r="T130" s="59">
        <f t="shared" si="88"/>
        <v>371.43572414443611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54.463755934302604</v>
      </c>
      <c r="AA130" s="21">
        <f>EXP(-LN(2)/25)*AA129+(1-EXP(-LN(2)/25))/(LN(2)/25)*Calculateur!V130*Calculateur!X130*VLOOKUP('Données projet'!$B$9,Paramètres!$A$1:$I$89,3,0)*0.475*44/12</f>
        <v>7.8255343283948795</v>
      </c>
      <c r="AB130" s="21">
        <f>EXP(-LN(2)/2)*AB129+(1-EXP(-LN(2)/2))/(LN(2)/2)*V130*Y130*VLOOKUP('Données projet'!$B$9,Paramètres!$A$1:$I$89,3,0)*0.475*44/12</f>
        <v>4.9711239995831381E-10</v>
      </c>
      <c r="AC130" s="22">
        <f t="shared" si="57"/>
        <v>62.289290263194594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-7.3896444519050419E-13</v>
      </c>
      <c r="AJ130" s="13">
        <f>AI130*VLOOKUP('Données projet'!$B$10,Paramètres!$A$1:$I$89,3,0)*VLOOKUP('Données projet'!$B$10,Paramètres!$A$1:$I$89,5,0)</f>
        <v>-3.4583536034915594E-13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192.20041613277965</v>
      </c>
      <c r="AO130" s="59">
        <f t="shared" si="90"/>
        <v>132.76245212522417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101.29251401222469</v>
      </c>
      <c r="AV130" s="21">
        <f>EXP(-LN(2)/25)*AV129+(1-EXP(-LN(2)/25))/(LN(2)/25)*Calculateur!AQ130*Calculateur!AS130*VLOOKUP('Données projet'!$B$10,Paramètres!$A$1:$I$89,3,0)*0.475*44/12</f>
        <v>19.874609154680499</v>
      </c>
      <c r="AW130" s="21">
        <f>EXP(-LN(2)/2)*AW129+(1-EXP(-LN(2)/2))/(LN(2)/2)*AQ130*AT130*VLOOKUP('Données projet'!$B$10,Paramètres!$A$1:$I$89,3,0)*0.475*44/12</f>
        <v>2.6891234203656536E-3</v>
      </c>
      <c r="AX130" s="21">
        <f t="shared" si="60"/>
        <v>121.16981229032555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180.31844548479722</v>
      </c>
      <c r="BJ130" s="59">
        <f t="shared" si="92"/>
        <v>273.83237400307223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22.102183552680856</v>
      </c>
      <c r="BQ130" s="21">
        <f>EXP(-LN(2)/25)*BQ129+(1-EXP(-LN(2)/25))/(LN(2)/25)*Calculateur!BL130*Calculateur!BN130*VLOOKUP('Données projet'!$B$11,Paramètres!$A$1:$I$89,3,0)*0.475*44/12</f>
        <v>22.56573156188978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44.667915114570633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-3.979039320256561E-13</v>
      </c>
      <c r="BZ130" s="13">
        <f>BY130*VLOOKUP('Données projet'!$B$12,Paramètres!$A$1:$I$89,3,0)*VLOOKUP('Données projet'!$B$12,Paramètres!$A$1:$I$89,5,0)</f>
        <v>-2.379465513513424E-13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214.34615950592251</v>
      </c>
      <c r="CE130" s="59">
        <f t="shared" si="94"/>
        <v>159.66077836853066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56.079566069423564</v>
      </c>
      <c r="CL130" s="21">
        <f>EXP(-LN(2)/25)*CL129+(1-EXP(-LN(2)/25))/(LN(2)/25)*Calculateur!CG130*Calculateur!CI130*VLOOKUP('Données projet'!$B$12,Paramètres!$A$1:$I$89,3,0)*0.475*44/12</f>
        <v>9.2954825204684326</v>
      </c>
      <c r="CM130" s="21">
        <f>EXP(-LN(2)/2)*CM129+(1-EXP(-LN(2)/2))/(LN(2)/2)*CG130*CJ130*VLOOKUP('Données projet'!$B$12,Paramètres!$A$1:$I$89,3,0)*0.475*44/12</f>
        <v>3.048180039032983E-6</v>
      </c>
      <c r="CN130" s="22">
        <f t="shared" si="66"/>
        <v>65.375051638072037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59.90400000000021</v>
      </c>
      <c r="D131" s="11">
        <f t="shared" si="86"/>
        <v>17.143994938960237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594.75645216039641</v>
      </c>
      <c r="H131" s="67">
        <f t="shared" si="56"/>
        <v>427.52525785202272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-6.3550942286383367E-14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279.32192402750189</v>
      </c>
      <c r="T131" s="59">
        <f t="shared" si="88"/>
        <v>371.43572414443611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53.395754900041887</v>
      </c>
      <c r="AA131" s="21">
        <f>EXP(-LN(2)/25)*AA130+(1-EXP(-LN(2)/25))/(LN(2)/25)*Calculateur!V131*Calculateur!X131*VLOOKUP('Données projet'!$B$9,Paramètres!$A$1:$I$89,3,0)*0.475*44/12</f>
        <v>7.611544680657957</v>
      </c>
      <c r="AB131" s="21">
        <f>EXP(-LN(2)/2)*AB130+(1-EXP(-LN(2)/2))/(LN(2)/2)*V131*Y131*VLOOKUP('Données projet'!$B$9,Paramètres!$A$1:$I$89,3,0)*0.475*44/12</f>
        <v>3.515115490224429E-10</v>
      </c>
      <c r="AC131" s="22">
        <f t="shared" si="57"/>
        <v>61.007299581051356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-7.3896444519050419E-13</v>
      </c>
      <c r="AJ131" s="13">
        <f>AI131*VLOOKUP('Données projet'!$B$10,Paramètres!$A$1:$I$89,3,0)*VLOOKUP('Données projet'!$B$10,Paramètres!$A$1:$I$89,5,0)</f>
        <v>-3.4583536034915594E-13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192.20041613277965</v>
      </c>
      <c r="AO131" s="59">
        <f t="shared" si="90"/>
        <v>132.76245212522417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99.306229594778003</v>
      </c>
      <c r="AV131" s="21">
        <f>EXP(-LN(2)/25)*AV130+(1-EXP(-LN(2)/25))/(LN(2)/25)*Calculateur!AQ131*Calculateur!AS131*VLOOKUP('Données projet'!$B$10,Paramètres!$A$1:$I$89,3,0)*0.475*44/12</f>
        <v>19.33113692218549</v>
      </c>
      <c r="AW131" s="21">
        <f>EXP(-LN(2)/2)*AW130+(1-EXP(-LN(2)/2))/(LN(2)/2)*AQ131*AT131*VLOOKUP('Données projet'!$B$10,Paramètres!$A$1:$I$89,3,0)*0.475*44/12</f>
        <v>1.9014974059881166E-3</v>
      </c>
      <c r="AX131" s="21">
        <f t="shared" si="60"/>
        <v>118.63926801436948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180.31844548479722</v>
      </c>
      <c r="BJ131" s="59">
        <f t="shared" si="92"/>
        <v>273.83237400307223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21.668773214213612</v>
      </c>
      <c r="BQ131" s="21">
        <f>EXP(-LN(2)/25)*BQ130+(1-EXP(-LN(2)/25))/(LN(2)/25)*Calculateur!BL131*Calculateur!BN131*VLOOKUP('Données projet'!$B$11,Paramètres!$A$1:$I$89,3,0)*0.475*44/12</f>
        <v>21.948670445649658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43.61744365986327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-3.979039320256561E-13</v>
      </c>
      <c r="BZ131" s="13">
        <f>BY131*VLOOKUP('Données projet'!$B$12,Paramètres!$A$1:$I$89,3,0)*VLOOKUP('Données projet'!$B$12,Paramètres!$A$1:$I$89,5,0)</f>
        <v>-2.379465513513424E-13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214.34615950592251</v>
      </c>
      <c r="CE131" s="59">
        <f t="shared" si="94"/>
        <v>159.66077836853066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54.979879983959989</v>
      </c>
      <c r="CL131" s="21">
        <f>EXP(-LN(2)/25)*CL130+(1-EXP(-LN(2)/25))/(LN(2)/25)*Calculateur!CG131*Calculateur!CI131*VLOOKUP('Données projet'!$B$12,Paramètres!$A$1:$I$89,3,0)*0.475*44/12</f>
        <v>9.0412970621180424</v>
      </c>
      <c r="CM131" s="21">
        <f>EXP(-LN(2)/2)*CM130+(1-EXP(-LN(2)/2))/(LN(2)/2)*CG131*CJ131*VLOOKUP('Données projet'!$B$12,Paramètres!$A$1:$I$89,3,0)*0.475*44/12</f>
        <v>2.1553887758776974E-6</v>
      </c>
      <c r="CN131" s="22">
        <f t="shared" si="66"/>
        <v>64.021179201466808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60.372000000000213</v>
      </c>
      <c r="D132" s="11">
        <f t="shared" si="86"/>
        <v>17.262288423858621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599.28222642978756</v>
      </c>
      <c r="H132" s="67">
        <f t="shared" ref="H132:H195" si="110">(B132+E132+F132)*44/12+(C132+D132)*0.475*44/12</f>
        <v>428.54638567155416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-6.3550942286383367E-14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279.32192402750189</v>
      </c>
      <c r="T132" s="59">
        <f t="shared" si="88"/>
        <v>371.43572414443611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52.348696714646714</v>
      </c>
      <c r="AA132" s="21">
        <f>EXP(-LN(2)/25)*AA131+(1-EXP(-LN(2)/25))/(LN(2)/25)*Calculateur!V132*Calculateur!X132*VLOOKUP('Données projet'!$B$9,Paramètres!$A$1:$I$89,3,0)*0.475*44/12</f>
        <v>7.4034065910916267</v>
      </c>
      <c r="AB132" s="21">
        <f>EXP(-LN(2)/2)*AB131+(1-EXP(-LN(2)/2))/(LN(2)/2)*V132*Y132*VLOOKUP('Données projet'!$B$9,Paramètres!$A$1:$I$89,3,0)*0.475*44/12</f>
        <v>2.4855619997915691E-10</v>
      </c>
      <c r="AC132" s="22">
        <f t="shared" ref="AC132:AC153" si="111">SUM(Z132:AB132)</f>
        <v>59.752103305986893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-7.3896444519050419E-13</v>
      </c>
      <c r="AJ132" s="13">
        <f>AI132*VLOOKUP('Données projet'!$B$10,Paramètres!$A$1:$I$89,3,0)*VLOOKUP('Données projet'!$B$10,Paramètres!$A$1:$I$89,5,0)</f>
        <v>-3.4583536034915594E-13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192.20041613277965</v>
      </c>
      <c r="AO132" s="59">
        <f t="shared" si="90"/>
        <v>132.76245212522417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97.358895003243589</v>
      </c>
      <c r="AV132" s="21">
        <f>EXP(-LN(2)/25)*AV131+(1-EXP(-LN(2)/25))/(LN(2)/25)*Calculateur!AQ132*Calculateur!AS132*VLOOKUP('Données projet'!$B$10,Paramètres!$A$1:$I$89,3,0)*0.475*44/12</f>
        <v>18.802525966468018</v>
      </c>
      <c r="AW132" s="21">
        <f>EXP(-LN(2)/2)*AW131+(1-EXP(-LN(2)/2))/(LN(2)/2)*AQ132*AT132*VLOOKUP('Données projet'!$B$10,Paramètres!$A$1:$I$89,3,0)*0.475*44/12</f>
        <v>1.344561710182827E-3</v>
      </c>
      <c r="AX132" s="21">
        <f t="shared" ref="AX132:AX153" si="114">SUM(AU132:AW132)</f>
        <v>116.16276553142178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180.31844548479722</v>
      </c>
      <c r="BJ132" s="59">
        <f t="shared" si="92"/>
        <v>273.83237400307223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21.243861788129507</v>
      </c>
      <c r="BQ132" s="21">
        <f>EXP(-LN(2)/25)*BQ131+(1-EXP(-LN(2)/25))/(LN(2)/25)*Calculateur!BL132*Calculateur!BN132*VLOOKUP('Données projet'!$B$11,Paramètres!$A$1:$I$89,3,0)*0.475*44/12</f>
        <v>21.348482898082953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42.592344686212456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-3.979039320256561E-13</v>
      </c>
      <c r="BZ132" s="13">
        <f>BY132*VLOOKUP('Données projet'!$B$12,Paramètres!$A$1:$I$89,3,0)*VLOOKUP('Données projet'!$B$12,Paramètres!$A$1:$I$89,5,0)</f>
        <v>-2.379465513513424E-13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214.34615950592251</v>
      </c>
      <c r="CE132" s="59">
        <f t="shared" si="94"/>
        <v>159.66077836853066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53.901758071890079</v>
      </c>
      <c r="CL132" s="21">
        <f>EXP(-LN(2)/25)*CL131+(1-EXP(-LN(2)/25))/(LN(2)/25)*Calculateur!CG132*Calculateur!CI132*VLOOKUP('Données projet'!$B$12,Paramètres!$A$1:$I$89,3,0)*0.475*44/12</f>
        <v>8.7940623184932765</v>
      </c>
      <c r="CM132" s="21">
        <f>EXP(-LN(2)/2)*CM131+(1-EXP(-LN(2)/2))/(LN(2)/2)*CG132*CJ132*VLOOKUP('Données projet'!$B$12,Paramètres!$A$1:$I$89,3,0)*0.475*44/12</f>
        <v>1.5240900195164915E-6</v>
      </c>
      <c r="CN132" s="22">
        <f t="shared" ref="CN132:CN153" si="120">SUM(CK132:CM132)</f>
        <v>62.69582191447337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60.840000000000217</v>
      </c>
      <c r="D133" s="11">
        <f t="shared" ref="D133:D196" si="140">IFERROR(EXP(-1.0587+0.8836*LN(C133)+0.284),0)</f>
        <v>17.380475216531508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603.80717711006946</v>
      </c>
      <c r="H133" s="67">
        <f t="shared" si="110"/>
        <v>429.5673276687927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-6.3550942286383367E-14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279.32192402750189</v>
      </c>
      <c r="T133" s="59">
        <f t="shared" ref="T133:T196" si="142">$T$3</f>
        <v>371.43572414443611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51.322170701624707</v>
      </c>
      <c r="AA133" s="21">
        <f>EXP(-LN(2)/25)*AA132+(1-EXP(-LN(2)/25))/(LN(2)/25)*Calculateur!V133*Calculateur!X133*VLOOKUP('Données projet'!$B$9,Paramètres!$A$1:$I$89,3,0)*0.475*44/12</f>
        <v>7.2009600485299945</v>
      </c>
      <c r="AB133" s="21">
        <f>EXP(-LN(2)/2)*AB132+(1-EXP(-LN(2)/2))/(LN(2)/2)*V133*Y133*VLOOKUP('Données projet'!$B$9,Paramètres!$A$1:$I$89,3,0)*0.475*44/12</f>
        <v>1.7575577451122145E-10</v>
      </c>
      <c r="AC133" s="22">
        <f t="shared" si="111"/>
        <v>58.523130750330452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-7.3896444519050419E-13</v>
      </c>
      <c r="AJ133" s="13">
        <f>AI133*VLOOKUP('Données projet'!$B$10,Paramètres!$A$1:$I$89,3,0)*VLOOKUP('Données projet'!$B$10,Paramètres!$A$1:$I$89,5,0)</f>
        <v>-3.4583536034915594E-13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192.20041613277965</v>
      </c>
      <c r="AO133" s="59">
        <f t="shared" ref="AO133:AO196" si="144">$AO$3</f>
        <v>132.76245212522417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95.449746455292342</v>
      </c>
      <c r="AV133" s="21">
        <f>EXP(-LN(2)/25)*AV132+(1-EXP(-LN(2)/25))/(LN(2)/25)*Calculateur!AQ133*Calculateur!AS133*VLOOKUP('Données projet'!$B$10,Paramètres!$A$1:$I$89,3,0)*0.475*44/12</f>
        <v>18.288369905133084</v>
      </c>
      <c r="AW133" s="21">
        <f>EXP(-LN(2)/2)*AW132+(1-EXP(-LN(2)/2))/(LN(2)/2)*AQ133*AT133*VLOOKUP('Données projet'!$B$10,Paramètres!$A$1:$I$89,3,0)*0.475*44/12</f>
        <v>9.5074870299405843E-4</v>
      </c>
      <c r="AX133" s="21">
        <f t="shared" si="114"/>
        <v>113.73906710912841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180.31844548479722</v>
      </c>
      <c r="BJ133" s="59">
        <f t="shared" ref="BJ133:BJ196" si="146">$BJ$3</f>
        <v>273.83237400307223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20.827282615940533</v>
      </c>
      <c r="BQ133" s="21">
        <f>EXP(-LN(2)/25)*BQ132+(1-EXP(-LN(2)/25))/(LN(2)/25)*Calculateur!BL133*Calculateur!BN133*VLOOKUP('Données projet'!$B$11,Paramètres!$A$1:$I$89,3,0)*0.475*44/12</f>
        <v>20.76470751056695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41.591990126507483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-3.979039320256561E-13</v>
      </c>
      <c r="BZ133" s="13">
        <f>BY133*VLOOKUP('Données projet'!$B$12,Paramètres!$A$1:$I$89,3,0)*VLOOKUP('Données projet'!$B$12,Paramètres!$A$1:$I$89,5,0)</f>
        <v>-2.379465513513424E-13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214.34615950592251</v>
      </c>
      <c r="CE133" s="59">
        <f t="shared" ref="CE133:CE196" si="148">$CE$3</f>
        <v>159.66077836853066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52.844777472926424</v>
      </c>
      <c r="CL133" s="21">
        <f>EXP(-LN(2)/25)*CL132+(1-EXP(-LN(2)/25))/(LN(2)/25)*Calculateur!CG133*Calculateur!CI133*VLOOKUP('Données projet'!$B$12,Paramètres!$A$1:$I$89,3,0)*0.475*44/12</f>
        <v>8.5535882219344401</v>
      </c>
      <c r="CM133" s="21">
        <f>EXP(-LN(2)/2)*CM132+(1-EXP(-LN(2)/2))/(LN(2)/2)*CG133*CJ133*VLOOKUP('Données projet'!$B$12,Paramètres!$A$1:$I$89,3,0)*0.475*44/12</f>
        <v>1.0776943879388487E-6</v>
      </c>
      <c r="CN133" s="22">
        <f t="shared" si="120"/>
        <v>61.398366772555249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61.30800000000022</v>
      </c>
      <c r="D134" s="11">
        <f t="shared" si="140"/>
        <v>17.498556232826935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608.33131127094646</v>
      </c>
      <c r="H134" s="67">
        <f t="shared" si="110"/>
        <v>430.58808543884061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-6.3550942286383367E-14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279.32192402750189</v>
      </c>
      <c r="T134" s="59">
        <f t="shared" si="142"/>
        <v>371.43572414443611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50.315774237599015</v>
      </c>
      <c r="AA134" s="21">
        <f>EXP(-LN(2)/25)*AA133+(1-EXP(-LN(2)/25))/(LN(2)/25)*Calculateur!V134*Calculateur!X134*VLOOKUP('Données projet'!$B$9,Paramètres!$A$1:$I$89,3,0)*0.475*44/12</f>
        <v>7.0040494173209105</v>
      </c>
      <c r="AB134" s="21">
        <f>EXP(-LN(2)/2)*AB133+(1-EXP(-LN(2)/2))/(LN(2)/2)*V134*Y134*VLOOKUP('Données projet'!$B$9,Paramètres!$A$1:$I$89,3,0)*0.475*44/12</f>
        <v>1.2427809998957845E-10</v>
      </c>
      <c r="AC134" s="22">
        <f t="shared" si="111"/>
        <v>57.31982365504421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-7.3896444519050419E-13</v>
      </c>
      <c r="AJ134" s="13">
        <f>AI134*VLOOKUP('Données projet'!$B$10,Paramètres!$A$1:$I$89,3,0)*VLOOKUP('Données projet'!$B$10,Paramètres!$A$1:$I$89,5,0)</f>
        <v>-3.4583536034915594E-13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192.20041613277965</v>
      </c>
      <c r="AO134" s="59">
        <f t="shared" si="144"/>
        <v>132.76245212522417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93.578035145900785</v>
      </c>
      <c r="AV134" s="21">
        <f>EXP(-LN(2)/25)*AV133+(1-EXP(-LN(2)/25))/(LN(2)/25)*Calculateur!AQ134*Calculateur!AS134*VLOOKUP('Données projet'!$B$10,Paramètres!$A$1:$I$89,3,0)*0.475*44/12</f>
        <v>17.788273468333646</v>
      </c>
      <c r="AW134" s="21">
        <f>EXP(-LN(2)/2)*AW133+(1-EXP(-LN(2)/2))/(LN(2)/2)*AQ134*AT134*VLOOKUP('Données projet'!$B$10,Paramètres!$A$1:$I$89,3,0)*0.475*44/12</f>
        <v>6.7228085509141362E-4</v>
      </c>
      <c r="AX134" s="21">
        <f t="shared" si="114"/>
        <v>111.36698089508951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180.31844548479722</v>
      </c>
      <c r="BJ134" s="59">
        <f t="shared" si="146"/>
        <v>273.83237400307223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20.418872307229979</v>
      </c>
      <c r="BQ134" s="21">
        <f>EXP(-LN(2)/25)*BQ133+(1-EXP(-LN(2)/25))/(LN(2)/25)*Calculateur!BL134*Calculateur!BN134*VLOOKUP('Données projet'!$B$11,Paramètres!$A$1:$I$89,3,0)*0.475*44/12</f>
        <v>20.196895491721989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40.615767798951964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-3.979039320256561E-13</v>
      </c>
      <c r="BZ134" s="13">
        <f>BY134*VLOOKUP('Données projet'!$B$12,Paramètres!$A$1:$I$89,3,0)*VLOOKUP('Données projet'!$B$12,Paramètres!$A$1:$I$89,5,0)</f>
        <v>-2.379465513513424E-13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214.34615950592251</v>
      </c>
      <c r="CE134" s="59">
        <f t="shared" si="148"/>
        <v>159.66077836853066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51.808523618813936</v>
      </c>
      <c r="CL134" s="21">
        <f>EXP(-LN(2)/25)*CL133+(1-EXP(-LN(2)/25))/(LN(2)/25)*Calculateur!CG134*Calculateur!CI134*VLOOKUP('Données projet'!$B$12,Paramètres!$A$1:$I$89,3,0)*0.475*44/12</f>
        <v>8.3196899021919872</v>
      </c>
      <c r="CM134" s="21">
        <f>EXP(-LN(2)/2)*CM133+(1-EXP(-LN(2)/2))/(LN(2)/2)*CG134*CJ134*VLOOKUP('Données projet'!$B$12,Paramètres!$A$1:$I$89,3,0)*0.475*44/12</f>
        <v>7.6204500975824576E-7</v>
      </c>
      <c r="CN134" s="22">
        <f t="shared" si="120"/>
        <v>60.128214283050937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61.776000000000224</v>
      </c>
      <c r="D135" s="11">
        <f t="shared" si="140"/>
        <v>17.616532373802929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612.85463586795424</v>
      </c>
      <c r="H135" s="67">
        <f t="shared" si="110"/>
        <v>431.60866055104043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-6.3550942286383367E-14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279.32192402750189</v>
      </c>
      <c r="T135" s="59">
        <f t="shared" si="142"/>
        <v>371.43572414443611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49.329112594391638</v>
      </c>
      <c r="AA135" s="21">
        <f>EXP(-LN(2)/25)*AA134+(1-EXP(-LN(2)/25))/(LN(2)/25)*Calculateur!V135*Calculateur!X135*VLOOKUP('Données projet'!$B$9,Paramètres!$A$1:$I$89,3,0)*0.475*44/12</f>
        <v>6.8125233176773197</v>
      </c>
      <c r="AB135" s="21">
        <f>EXP(-LN(2)/2)*AB134+(1-EXP(-LN(2)/2))/(LN(2)/2)*V135*Y135*VLOOKUP('Données projet'!$B$9,Paramètres!$A$1:$I$89,3,0)*0.475*44/12</f>
        <v>8.7877887255610725E-11</v>
      </c>
      <c r="AC135" s="22">
        <f t="shared" si="111"/>
        <v>56.141635912156836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-7.3896444519050419E-13</v>
      </c>
      <c r="AJ135" s="13">
        <f>AI135*VLOOKUP('Données projet'!$B$10,Paramètres!$A$1:$I$89,3,0)*VLOOKUP('Données projet'!$B$10,Paramètres!$A$1:$I$89,5,0)</f>
        <v>-3.4583536034915594E-13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192.20041613277965</v>
      </c>
      <c r="AO135" s="59">
        <f t="shared" si="144"/>
        <v>132.76245212522417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91.743026953655232</v>
      </c>
      <c r="AV135" s="21">
        <f>EXP(-LN(2)/25)*AV134+(1-EXP(-LN(2)/25))/(LN(2)/25)*Calculateur!AQ135*Calculateur!AS135*VLOOKUP('Données projet'!$B$10,Paramètres!$A$1:$I$89,3,0)*0.475*44/12</f>
        <v>17.301852194897418</v>
      </c>
      <c r="AW135" s="21">
        <f>EXP(-LN(2)/2)*AW134+(1-EXP(-LN(2)/2))/(LN(2)/2)*AQ135*AT135*VLOOKUP('Données projet'!$B$10,Paramètres!$A$1:$I$89,3,0)*0.475*44/12</f>
        <v>4.7537435149702932E-4</v>
      </c>
      <c r="AX135" s="21">
        <f t="shared" si="114"/>
        <v>109.04535452290415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180.31844548479722</v>
      </c>
      <c r="BJ135" s="59">
        <f t="shared" si="146"/>
        <v>273.83237400307223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20.018470675567549</v>
      </c>
      <c r="BQ135" s="21">
        <f>EXP(-LN(2)/25)*BQ134+(1-EXP(-LN(2)/25))/(LN(2)/25)*Calculateur!BL135*Calculateur!BN135*VLOOKUP('Données projet'!$B$11,Paramètres!$A$1:$I$89,3,0)*0.475*44/12</f>
        <v>19.644610322392278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39.663080997959824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-3.979039320256561E-13</v>
      </c>
      <c r="BZ135" s="13">
        <f>BY135*VLOOKUP('Données projet'!$B$12,Paramètres!$A$1:$I$89,3,0)*VLOOKUP('Données projet'!$B$12,Paramètres!$A$1:$I$89,5,0)</f>
        <v>-2.379465513513424E-13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214.34615950592251</v>
      </c>
      <c r="CE135" s="59">
        <f t="shared" si="148"/>
        <v>159.66077836853066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50.792590070728153</v>
      </c>
      <c r="CL135" s="21">
        <f>EXP(-LN(2)/25)*CL134+(1-EXP(-LN(2)/25))/(LN(2)/25)*Calculateur!CG135*Calculateur!CI135*VLOOKUP('Données projet'!$B$12,Paramètres!$A$1:$I$89,3,0)*0.475*44/12</f>
        <v>8.0921875443030711</v>
      </c>
      <c r="CM135" s="21">
        <f>EXP(-LN(2)/2)*CM134+(1-EXP(-LN(2)/2))/(LN(2)/2)*CG135*CJ135*VLOOKUP('Données projet'!$B$12,Paramètres!$A$1:$I$89,3,0)*0.475*44/12</f>
        <v>5.3884719396942436E-7</v>
      </c>
      <c r="CN135" s="22">
        <f t="shared" si="120"/>
        <v>58.884778153878422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62.244000000000227</v>
      </c>
      <c r="D136" s="11">
        <f t="shared" si="140"/>
        <v>17.734404526076489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617.37715774515357</v>
      </c>
      <c r="H136" s="67">
        <f t="shared" si="110"/>
        <v>432.6290545495836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-6.3550942286383367E-14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279.32192402750189</v>
      </c>
      <c r="T136" s="59">
        <f t="shared" si="142"/>
        <v>371.43572414443611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48.36179878420338</v>
      </c>
      <c r="AA136" s="21">
        <f>EXP(-LN(2)/25)*AA135+(1-EXP(-LN(2)/25))/(LN(2)/25)*Calculateur!V136*Calculateur!X136*VLOOKUP('Données projet'!$B$9,Paramètres!$A$1:$I$89,3,0)*0.475*44/12</f>
        <v>6.626234509300402</v>
      </c>
      <c r="AB136" s="21">
        <f>EXP(-LN(2)/2)*AB135+(1-EXP(-LN(2)/2))/(LN(2)/2)*V136*Y136*VLOOKUP('Données projet'!$B$9,Paramètres!$A$1:$I$89,3,0)*0.475*44/12</f>
        <v>6.2139049994789226E-11</v>
      </c>
      <c r="AC136" s="22">
        <f t="shared" si="111"/>
        <v>54.98803329356592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-7.3896444519050419E-13</v>
      </c>
      <c r="AJ136" s="13">
        <f>AI136*VLOOKUP('Données projet'!$B$10,Paramètres!$A$1:$I$89,3,0)*VLOOKUP('Données projet'!$B$10,Paramètres!$A$1:$I$89,5,0)</f>
        <v>-3.4583536034915594E-13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192.20041613277965</v>
      </c>
      <c r="AO136" s="59">
        <f t="shared" si="144"/>
        <v>132.76245212522417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89.944002152815131</v>
      </c>
      <c r="AV136" s="21">
        <f>EXP(-LN(2)/25)*AV135+(1-EXP(-LN(2)/25))/(LN(2)/25)*Calculateur!AQ136*Calculateur!AS136*VLOOKUP('Données projet'!$B$10,Paramètres!$A$1:$I$89,3,0)*0.475*44/12</f>
        <v>16.828732136763083</v>
      </c>
      <c r="AW136" s="21">
        <f>EXP(-LN(2)/2)*AW135+(1-EXP(-LN(2)/2))/(LN(2)/2)*AQ136*AT136*VLOOKUP('Données projet'!$B$10,Paramètres!$A$1:$I$89,3,0)*0.475*44/12</f>
        <v>3.3614042754570686E-4</v>
      </c>
      <c r="AX136" s="21">
        <f t="shared" si="114"/>
        <v>106.77307043000576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180.31844548479722</v>
      </c>
      <c r="BJ136" s="59">
        <f t="shared" si="146"/>
        <v>273.83237400307223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19.625920675681137</v>
      </c>
      <c r="BQ136" s="21">
        <f>EXP(-LN(2)/25)*BQ135+(1-EXP(-LN(2)/25))/(LN(2)/25)*Calculateur!BL136*Calculateur!BN136*VLOOKUP('Données projet'!$B$11,Paramètres!$A$1:$I$89,3,0)*0.475*44/12</f>
        <v>19.107427420061303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38.733348095742443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-3.979039320256561E-13</v>
      </c>
      <c r="BZ136" s="13">
        <f>BY136*VLOOKUP('Données projet'!$B$12,Paramètres!$A$1:$I$89,3,0)*VLOOKUP('Données projet'!$B$12,Paramètres!$A$1:$I$89,5,0)</f>
        <v>-2.379465513513424E-13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214.34615950592251</v>
      </c>
      <c r="CE136" s="59">
        <f t="shared" si="148"/>
        <v>159.66077836853066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49.796578359862053</v>
      </c>
      <c r="CL136" s="21">
        <f>EXP(-LN(2)/25)*CL135+(1-EXP(-LN(2)/25))/(LN(2)/25)*Calculateur!CG136*Calculateur!CI136*VLOOKUP('Données projet'!$B$12,Paramètres!$A$1:$I$89,3,0)*0.475*44/12</f>
        <v>7.870906250354456</v>
      </c>
      <c r="CM136" s="21">
        <f>EXP(-LN(2)/2)*CM135+(1-EXP(-LN(2)/2))/(LN(2)/2)*CG136*CJ136*VLOOKUP('Données projet'!$B$12,Paramètres!$A$1:$I$89,3,0)*0.475*44/12</f>
        <v>3.8102250487912288E-7</v>
      </c>
      <c r="CN136" s="22">
        <f t="shared" si="120"/>
        <v>57.667484991239014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62.712000000000231</v>
      </c>
      <c r="D137" s="11">
        <f t="shared" si="140"/>
        <v>17.852173562161887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621.89888363774276</v>
      </c>
      <c r="H137" s="67">
        <f t="shared" si="110"/>
        <v>433.649268954099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-6.3550942286383367E-14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279.32192402750189</v>
      </c>
      <c r="T137" s="59">
        <f t="shared" si="142"/>
        <v>371.43572414443611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47.413453407829749</v>
      </c>
      <c r="AA137" s="21">
        <f>EXP(-LN(2)/25)*AA136+(1-EXP(-LN(2)/25))/(LN(2)/25)*Calculateur!V137*Calculateur!X137*VLOOKUP('Données projet'!$B$9,Paramètres!$A$1:$I$89,3,0)*0.475*44/12</f>
        <v>6.4450397781850546</v>
      </c>
      <c r="AB137" s="21">
        <f>EXP(-LN(2)/2)*AB136+(1-EXP(-LN(2)/2))/(LN(2)/2)*V137*Y137*VLOOKUP('Données projet'!$B$9,Paramètres!$A$1:$I$89,3,0)*0.475*44/12</f>
        <v>4.3938943627805363E-11</v>
      </c>
      <c r="AC137" s="22">
        <f t="shared" si="111"/>
        <v>53.858493186058745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-7.3896444519050419E-13</v>
      </c>
      <c r="AJ137" s="13">
        <f>AI137*VLOOKUP('Données projet'!$B$10,Paramètres!$A$1:$I$89,3,0)*VLOOKUP('Données projet'!$B$10,Paramètres!$A$1:$I$89,5,0)</f>
        <v>-3.4583536034915594E-13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192.20041613277965</v>
      </c>
      <c r="AO137" s="59">
        <f t="shared" si="144"/>
        <v>132.76245212522417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88.180255131022719</v>
      </c>
      <c r="AV137" s="21">
        <f>EXP(-LN(2)/25)*AV136+(1-EXP(-LN(2)/25))/(LN(2)/25)*Calculateur!AQ137*Calculateur!AS137*VLOOKUP('Données projet'!$B$10,Paramètres!$A$1:$I$89,3,0)*0.475*44/12</f>
        <v>16.368549571498736</v>
      </c>
      <c r="AW137" s="21">
        <f>EXP(-LN(2)/2)*AW136+(1-EXP(-LN(2)/2))/(LN(2)/2)*AQ137*AT137*VLOOKUP('Données projet'!$B$10,Paramètres!$A$1:$I$89,3,0)*0.475*44/12</f>
        <v>2.3768717574851469E-4</v>
      </c>
      <c r="AX137" s="21">
        <f t="shared" si="114"/>
        <v>104.54904238969721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180.31844548479722</v>
      </c>
      <c r="BJ137" s="59">
        <f t="shared" si="146"/>
        <v>273.83237400307223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19.24106834186064</v>
      </c>
      <c r="BQ137" s="21">
        <f>EXP(-LN(2)/25)*BQ136+(1-EXP(-LN(2)/25))/(LN(2)/25)*Calculateur!BL137*Calculateur!BN137*VLOOKUP('Données projet'!$B$11,Paramètres!$A$1:$I$89,3,0)*0.475*44/12</f>
        <v>18.58493381244379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37.826002154304433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-3.979039320256561E-13</v>
      </c>
      <c r="BZ137" s="13">
        <f>BY137*VLOOKUP('Données projet'!$B$12,Paramètres!$A$1:$I$89,3,0)*VLOOKUP('Données projet'!$B$12,Paramètres!$A$1:$I$89,5,0)</f>
        <v>-2.379465513513424E-13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214.34615950592251</v>
      </c>
      <c r="CE137" s="59">
        <f t="shared" si="148"/>
        <v>159.66077836853066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48.820097831138881</v>
      </c>
      <c r="CL137" s="21">
        <f>EXP(-LN(2)/25)*CL136+(1-EXP(-LN(2)/25))/(LN(2)/25)*Calculateur!CG137*Calculateur!CI137*VLOOKUP('Données projet'!$B$12,Paramètres!$A$1:$I$89,3,0)*0.475*44/12</f>
        <v>7.655675905025543</v>
      </c>
      <c r="CM137" s="21">
        <f>EXP(-LN(2)/2)*CM136+(1-EXP(-LN(2)/2))/(LN(2)/2)*CG137*CJ137*VLOOKUP('Données projet'!$B$12,Paramètres!$A$1:$I$89,3,0)*0.475*44/12</f>
        <v>2.6942359698471218E-7</v>
      </c>
      <c r="CN137" s="22">
        <f t="shared" si="120"/>
        <v>56.475774005588022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63.180000000000234</v>
      </c>
      <c r="D138" s="11">
        <f t="shared" si="140"/>
        <v>17.969840340798424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626.41982017458622</v>
      </c>
      <c r="H138" s="67">
        <f t="shared" si="110"/>
        <v>434.66930526022429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-6.3550942286383367E-14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279.32192402750189</v>
      </c>
      <c r="T138" s="59">
        <f t="shared" si="142"/>
        <v>371.43572414443611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46.48370450585324</v>
      </c>
      <c r="AA138" s="21">
        <f>EXP(-LN(2)/25)*AA137+(1-EXP(-LN(2)/25))/(LN(2)/25)*Calculateur!V138*Calculateur!X138*VLOOKUP('Données projet'!$B$9,Paramètres!$A$1:$I$89,3,0)*0.475*44/12</f>
        <v>6.2687998265206728</v>
      </c>
      <c r="AB138" s="21">
        <f>EXP(-LN(2)/2)*AB137+(1-EXP(-LN(2)/2))/(LN(2)/2)*V138*Y138*VLOOKUP('Données projet'!$B$9,Paramètres!$A$1:$I$89,3,0)*0.475*44/12</f>
        <v>3.1069524997394613E-11</v>
      </c>
      <c r="AC138" s="22">
        <f t="shared" si="111"/>
        <v>52.752504332404982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-7.3896444519050419E-13</v>
      </c>
      <c r="AJ138" s="13">
        <f>AI138*VLOOKUP('Données projet'!$B$10,Paramètres!$A$1:$I$89,3,0)*VLOOKUP('Données projet'!$B$10,Paramètres!$A$1:$I$89,5,0)</f>
        <v>-3.4583536034915594E-13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192.20041613277965</v>
      </c>
      <c r="AO138" s="59">
        <f t="shared" si="144"/>
        <v>132.76245212522417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86.451094112548205</v>
      </c>
      <c r="AV138" s="21">
        <f>EXP(-LN(2)/25)*AV137+(1-EXP(-LN(2)/25))/(LN(2)/25)*Calculateur!AQ138*Calculateur!AS138*VLOOKUP('Données projet'!$B$10,Paramètres!$A$1:$I$89,3,0)*0.475*44/12</f>
        <v>15.920950722681493</v>
      </c>
      <c r="AW138" s="21">
        <f>EXP(-LN(2)/2)*AW137+(1-EXP(-LN(2)/2))/(LN(2)/2)*AQ138*AT138*VLOOKUP('Données projet'!$B$10,Paramètres!$A$1:$I$89,3,0)*0.475*44/12</f>
        <v>1.6807021377285346E-4</v>
      </c>
      <c r="AX138" s="21">
        <f t="shared" si="114"/>
        <v>102.37221290544348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180.31844548479722</v>
      </c>
      <c r="BJ138" s="59">
        <f t="shared" si="146"/>
        <v>273.83237400307223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18.863762727569618</v>
      </c>
      <c r="BQ138" s="21">
        <f>EXP(-LN(2)/25)*BQ137+(1-EXP(-LN(2)/25))/(LN(2)/25)*Calculateur!BL138*Calculateur!BN138*VLOOKUP('Données projet'!$B$11,Paramètres!$A$1:$I$89,3,0)*0.475*44/12</f>
        <v>18.07672782000332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36.940490547572935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-3.979039320256561E-13</v>
      </c>
      <c r="BZ138" s="13">
        <f>BY138*VLOOKUP('Données projet'!$B$12,Paramètres!$A$1:$I$89,3,0)*VLOOKUP('Données projet'!$B$12,Paramètres!$A$1:$I$89,5,0)</f>
        <v>-2.379465513513424E-13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214.34615950592251</v>
      </c>
      <c r="CE138" s="59">
        <f t="shared" si="148"/>
        <v>159.66077836853066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47.862765489989656</v>
      </c>
      <c r="CL138" s="21">
        <f>EXP(-LN(2)/25)*CL137+(1-EXP(-LN(2)/25))/(LN(2)/25)*Calculateur!CG138*Calculateur!CI138*VLOOKUP('Données projet'!$B$12,Paramètres!$A$1:$I$89,3,0)*0.475*44/12</f>
        <v>7.4463310448081206</v>
      </c>
      <c r="CM138" s="21">
        <f>EXP(-LN(2)/2)*CM137+(1-EXP(-LN(2)/2))/(LN(2)/2)*CG138*CJ138*VLOOKUP('Données projet'!$B$12,Paramètres!$A$1:$I$89,3,0)*0.475*44/12</f>
        <v>1.9051125243956144E-7</v>
      </c>
      <c r="CN138" s="22">
        <f t="shared" si="120"/>
        <v>55.309096725309026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63.648000000000238</v>
      </c>
      <c r="D139" s="11">
        <f t="shared" si="140"/>
        <v>18.087405707268417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630.93997388067032</v>
      </c>
      <c r="H139" s="67">
        <f t="shared" si="110"/>
        <v>435.68916494015957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-6.3550942286383367E-14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279.32192402750189</v>
      </c>
      <c r="T139" s="59">
        <f t="shared" si="142"/>
        <v>371.43572414443611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45.572187412753649</v>
      </c>
      <c r="AA139" s="21">
        <f>EXP(-LN(2)/25)*AA138+(1-EXP(-LN(2)/25))/(LN(2)/25)*Calculateur!V139*Calculateur!X139*VLOOKUP('Données projet'!$B$9,Paramètres!$A$1:$I$89,3,0)*0.475*44/12</f>
        <v>6.09737916560261</v>
      </c>
      <c r="AB139" s="21">
        <f>EXP(-LN(2)/2)*AB138+(1-EXP(-LN(2)/2))/(LN(2)/2)*V139*Y139*VLOOKUP('Données projet'!$B$9,Paramètres!$A$1:$I$89,3,0)*0.475*44/12</f>
        <v>2.1969471813902681E-11</v>
      </c>
      <c r="AC139" s="22">
        <f t="shared" si="111"/>
        <v>51.66956657837823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-7.3896444519050419E-13</v>
      </c>
      <c r="AJ139" s="13">
        <f>AI139*VLOOKUP('Données projet'!$B$10,Paramètres!$A$1:$I$89,3,0)*VLOOKUP('Données projet'!$B$10,Paramètres!$A$1:$I$89,5,0)</f>
        <v>-3.4583536034915594E-13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192.20041613277965</v>
      </c>
      <c r="AO139" s="59">
        <f t="shared" si="144"/>
        <v>132.76245212522417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84.755840886961892</v>
      </c>
      <c r="AV139" s="21">
        <f>EXP(-LN(2)/25)*AV138+(1-EXP(-LN(2)/25))/(LN(2)/25)*Calculateur!AQ139*Calculateur!AS139*VLOOKUP('Données projet'!$B$10,Paramètres!$A$1:$I$89,3,0)*0.475*44/12</f>
        <v>15.485591487923356</v>
      </c>
      <c r="AW139" s="21">
        <f>EXP(-LN(2)/2)*AW138+(1-EXP(-LN(2)/2))/(LN(2)/2)*AQ139*AT139*VLOOKUP('Données projet'!$B$10,Paramètres!$A$1:$I$89,3,0)*0.475*44/12</f>
        <v>1.1884358787425736E-4</v>
      </c>
      <c r="AX139" s="21">
        <f t="shared" si="114"/>
        <v>100.24155121847312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180.31844548479722</v>
      </c>
      <c r="BJ139" s="59">
        <f t="shared" si="146"/>
        <v>273.83237400307223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18.493855846241143</v>
      </c>
      <c r="BQ139" s="21">
        <f>EXP(-LN(2)/25)*BQ138+(1-EXP(-LN(2)/25))/(LN(2)/25)*Calculateur!BL139*Calculateur!BN139*VLOOKUP('Données projet'!$B$11,Paramètres!$A$1:$I$89,3,0)*0.475*44/12</f>
        <v>17.582418747151529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36.076274593392668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-3.979039320256561E-13</v>
      </c>
      <c r="BZ139" s="13">
        <f>BY139*VLOOKUP('Données projet'!$B$12,Paramètres!$A$1:$I$89,3,0)*VLOOKUP('Données projet'!$B$12,Paramètres!$A$1:$I$89,5,0)</f>
        <v>-2.379465513513424E-13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214.34615950592251</v>
      </c>
      <c r="CE139" s="59">
        <f t="shared" si="148"/>
        <v>159.66077836853066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46.924205852135294</v>
      </c>
      <c r="CL139" s="21">
        <f>EXP(-LN(2)/25)*CL138+(1-EXP(-LN(2)/25))/(LN(2)/25)*Calculateur!CG139*Calculateur!CI139*VLOOKUP('Données projet'!$B$12,Paramètres!$A$1:$I$89,3,0)*0.475*44/12</f>
        <v>7.2427107308023118</v>
      </c>
      <c r="CM139" s="21">
        <f>EXP(-LN(2)/2)*CM138+(1-EXP(-LN(2)/2))/(LN(2)/2)*CG139*CJ139*VLOOKUP('Données projet'!$B$12,Paramètres!$A$1:$I$89,3,0)*0.475*44/12</f>
        <v>1.3471179849235609E-7</v>
      </c>
      <c r="CN139" s="22">
        <f t="shared" si="120"/>
        <v>54.1669167176494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64.116000000000241</v>
      </c>
      <c r="D140" s="11">
        <f t="shared" si="140"/>
        <v>18.204870493705315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635.45935117948159</v>
      </c>
      <c r="H140" s="67">
        <f t="shared" si="110"/>
        <v>436.7088494432038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-6.3550942286383367E-14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279.32192402750189</v>
      </c>
      <c r="T140" s="59">
        <f t="shared" si="142"/>
        <v>371.43572414443611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44.678544613879218</v>
      </c>
      <c r="AA140" s="21">
        <f>EXP(-LN(2)/25)*AA139+(1-EXP(-LN(2)/25))/(LN(2)/25)*Calculateur!V140*Calculateur!X140*VLOOKUP('Données projet'!$B$9,Paramètres!$A$1:$I$89,3,0)*0.475*44/12</f>
        <v>5.9306460116719721</v>
      </c>
      <c r="AB140" s="21">
        <f>EXP(-LN(2)/2)*AB139+(1-EXP(-LN(2)/2))/(LN(2)/2)*V140*Y140*VLOOKUP('Données projet'!$B$9,Paramètres!$A$1:$I$89,3,0)*0.475*44/12</f>
        <v>1.5534762498697307E-11</v>
      </c>
      <c r="AC140" s="22">
        <f t="shared" si="111"/>
        <v>50.609190625566725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-7.3896444519050419E-13</v>
      </c>
      <c r="AJ140" s="13">
        <f>AI140*VLOOKUP('Données projet'!$B$10,Paramètres!$A$1:$I$89,3,0)*VLOOKUP('Données projet'!$B$10,Paramètres!$A$1:$I$89,5,0)</f>
        <v>-3.4583536034915594E-13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192.20041613277965</v>
      </c>
      <c r="AO140" s="59">
        <f t="shared" si="144"/>
        <v>132.76245212522417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83.093830543126955</v>
      </c>
      <c r="AV140" s="21">
        <f>EXP(-LN(2)/25)*AV139+(1-EXP(-LN(2)/25))/(LN(2)/25)*Calculateur!AQ140*Calculateur!AS140*VLOOKUP('Données projet'!$B$10,Paramètres!$A$1:$I$89,3,0)*0.475*44/12</f>
        <v>15.062137174334229</v>
      </c>
      <c r="AW140" s="21">
        <f>EXP(-LN(2)/2)*AW139+(1-EXP(-LN(2)/2))/(LN(2)/2)*AQ140*AT140*VLOOKUP('Données projet'!$B$10,Paramètres!$A$1:$I$89,3,0)*0.475*44/12</f>
        <v>8.4035106886426729E-5</v>
      </c>
      <c r="AX140" s="21">
        <f t="shared" si="114"/>
        <v>98.156051752568061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180.31844548479722</v>
      </c>
      <c r="BJ140" s="59">
        <f t="shared" si="146"/>
        <v>273.83237400307223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18.131202613234599</v>
      </c>
      <c r="BQ140" s="21">
        <f>EXP(-LN(2)/25)*BQ139+(1-EXP(-LN(2)/25))/(LN(2)/25)*Calculateur!BL140*Calculateur!BN140*VLOOKUP('Données projet'!$B$11,Paramètres!$A$1:$I$89,3,0)*0.475*44/12</f>
        <v>17.101626581891452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35.232829195126051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-3.979039320256561E-13</v>
      </c>
      <c r="BZ140" s="13">
        <f>BY140*VLOOKUP('Données projet'!$B$12,Paramètres!$A$1:$I$89,3,0)*VLOOKUP('Données projet'!$B$12,Paramètres!$A$1:$I$89,5,0)</f>
        <v>-2.379465513513424E-13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214.34615950592251</v>
      </c>
      <c r="CE140" s="59">
        <f t="shared" si="148"/>
        <v>159.66077836853066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46.004050796314409</v>
      </c>
      <c r="CL140" s="21">
        <f>EXP(-LN(2)/25)*CL139+(1-EXP(-LN(2)/25))/(LN(2)/25)*Calculateur!CG140*Calculateur!CI140*VLOOKUP('Données projet'!$B$12,Paramètres!$A$1:$I$89,3,0)*0.475*44/12</f>
        <v>7.044658424990919</v>
      </c>
      <c r="CM140" s="21">
        <f>EXP(-LN(2)/2)*CM139+(1-EXP(-LN(2)/2))/(LN(2)/2)*CG140*CJ140*VLOOKUP('Données projet'!$B$12,Paramètres!$A$1:$I$89,3,0)*0.475*44/12</f>
        <v>9.525562621978072E-8</v>
      </c>
      <c r="CN140" s="22">
        <f t="shared" si="120"/>
        <v>53.048709316560959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64.584000000000245</v>
      </c>
      <c r="D141" s="11">
        <f t="shared" si="140"/>
        <v>18.322235519392791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639.97795839531466</v>
      </c>
      <c r="H141" s="67">
        <f t="shared" si="110"/>
        <v>437.72836019627618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-6.3550942286383367E-14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279.32192402750189</v>
      </c>
      <c r="T141" s="59">
        <f t="shared" si="142"/>
        <v>371.43572414443611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43.802425605222425</v>
      </c>
      <c r="AA141" s="21">
        <f>EXP(-LN(2)/25)*AA140+(1-EXP(-LN(2)/25))/(LN(2)/25)*Calculateur!V141*Calculateur!X141*VLOOKUP('Données projet'!$B$9,Paramètres!$A$1:$I$89,3,0)*0.475*44/12</f>
        <v>5.7684721846036826</v>
      </c>
      <c r="AB141" s="21">
        <f>EXP(-LN(2)/2)*AB140+(1-EXP(-LN(2)/2))/(LN(2)/2)*V141*Y141*VLOOKUP('Données projet'!$B$9,Paramètres!$A$1:$I$89,3,0)*0.475*44/12</f>
        <v>1.0984735906951341E-11</v>
      </c>
      <c r="AC141" s="22">
        <f t="shared" si="111"/>
        <v>49.57089778983709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-7.3896444519050419E-13</v>
      </c>
      <c r="AJ141" s="13">
        <f>AI141*VLOOKUP('Données projet'!$B$10,Paramètres!$A$1:$I$89,3,0)*VLOOKUP('Données projet'!$B$10,Paramètres!$A$1:$I$89,5,0)</f>
        <v>-3.4583536034915594E-13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192.20041613277965</v>
      </c>
      <c r="AO141" s="59">
        <f t="shared" si="144"/>
        <v>132.76245212522417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81.464411208408407</v>
      </c>
      <c r="AV141" s="21">
        <f>EXP(-LN(2)/25)*AV140+(1-EXP(-LN(2)/25))/(LN(2)/25)*Calculateur!AQ141*Calculateur!AS141*VLOOKUP('Données projet'!$B$10,Paramètres!$A$1:$I$89,3,0)*0.475*44/12</f>
        <v>14.650262241218691</v>
      </c>
      <c r="AW141" s="21">
        <f>EXP(-LN(2)/2)*AW140+(1-EXP(-LN(2)/2))/(LN(2)/2)*AQ141*AT141*VLOOKUP('Données projet'!$B$10,Paramètres!$A$1:$I$89,3,0)*0.475*44/12</f>
        <v>5.9421793937128679E-5</v>
      </c>
      <c r="AX141" s="21">
        <f t="shared" si="114"/>
        <v>96.11473287142104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180.31844548479722</v>
      </c>
      <c r="BJ141" s="59">
        <f t="shared" si="146"/>
        <v>273.83237400307223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17.775660788930683</v>
      </c>
      <c r="BQ141" s="21">
        <f>EXP(-LN(2)/25)*BQ140+(1-EXP(-LN(2)/25))/(LN(2)/25)*Calculateur!BL141*Calculateur!BN141*VLOOKUP('Données projet'!$B$11,Paramètres!$A$1:$I$89,3,0)*0.475*44/12</f>
        <v>16.633981703674174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34.40964249260486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-3.979039320256561E-13</v>
      </c>
      <c r="BZ141" s="13">
        <f>BY141*VLOOKUP('Données projet'!$B$12,Paramètres!$A$1:$I$89,3,0)*VLOOKUP('Données projet'!$B$12,Paramètres!$A$1:$I$89,5,0)</f>
        <v>-2.379465513513424E-13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214.34615950592251</v>
      </c>
      <c r="CE141" s="59">
        <f t="shared" si="148"/>
        <v>159.66077836853066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45.101939419899004</v>
      </c>
      <c r="CL141" s="21">
        <f>EXP(-LN(2)/25)*CL140+(1-EXP(-LN(2)/25))/(LN(2)/25)*Calculateur!CG141*Calculateur!CI141*VLOOKUP('Données projet'!$B$12,Paramètres!$A$1:$I$89,3,0)*0.475*44/12</f>
        <v>6.8520218698970563</v>
      </c>
      <c r="CM141" s="21">
        <f>EXP(-LN(2)/2)*CM140+(1-EXP(-LN(2)/2))/(LN(2)/2)*CG141*CJ141*VLOOKUP('Données projet'!$B$12,Paramètres!$A$1:$I$89,3,0)*0.475*44/12</f>
        <v>6.7355899246178045E-8</v>
      </c>
      <c r="CN141" s="22">
        <f t="shared" si="120"/>
        <v>51.953961357151961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65.052000000000248</v>
      </c>
      <c r="D142" s="11">
        <f t="shared" si="140"/>
        <v>18.439501591054739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644.49580175551216</v>
      </c>
      <c r="H142" s="67">
        <f t="shared" si="110"/>
        <v>438.74769860442075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-6.3550942286383367E-14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279.32192402750189</v>
      </c>
      <c r="T142" s="59">
        <f t="shared" si="142"/>
        <v>371.43572414443611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42.943486755945564</v>
      </c>
      <c r="AA142" s="21">
        <f>EXP(-LN(2)/25)*AA141+(1-EXP(-LN(2)/25))/(LN(2)/25)*Calculateur!V142*Calculateur!X142*VLOOKUP('Données projet'!$B$9,Paramètres!$A$1:$I$89,3,0)*0.475*44/12</f>
        <v>5.6107330093649264</v>
      </c>
      <c r="AB142" s="21">
        <f>EXP(-LN(2)/2)*AB141+(1-EXP(-LN(2)/2))/(LN(2)/2)*V142*Y142*VLOOKUP('Données projet'!$B$9,Paramètres!$A$1:$I$89,3,0)*0.475*44/12</f>
        <v>7.7673812493486533E-12</v>
      </c>
      <c r="AC142" s="22">
        <f t="shared" si="111"/>
        <v>48.554219765318258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-7.3896444519050419E-13</v>
      </c>
      <c r="AJ142" s="13">
        <f>AI142*VLOOKUP('Données projet'!$B$10,Paramètres!$A$1:$I$89,3,0)*VLOOKUP('Données projet'!$B$10,Paramètres!$A$1:$I$89,5,0)</f>
        <v>-3.4583536034915594E-13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192.20041613277965</v>
      </c>
      <c r="AO142" s="59">
        <f t="shared" si="144"/>
        <v>132.76245212522417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79.86694379299604</v>
      </c>
      <c r="AV142" s="21">
        <f>EXP(-LN(2)/25)*AV141+(1-EXP(-LN(2)/25))/(LN(2)/25)*Calculateur!AQ142*Calculateur!AS142*VLOOKUP('Données projet'!$B$10,Paramètres!$A$1:$I$89,3,0)*0.475*44/12</f>
        <v>14.249650049808759</v>
      </c>
      <c r="AW142" s="21">
        <f>EXP(-LN(2)/2)*AW141+(1-EXP(-LN(2)/2))/(LN(2)/2)*AQ142*AT142*VLOOKUP('Données projet'!$B$10,Paramètres!$A$1:$I$89,3,0)*0.475*44/12</f>
        <v>4.2017553443213365E-5</v>
      </c>
      <c r="AX142" s="21">
        <f t="shared" si="114"/>
        <v>94.116635860358244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180.31844548479722</v>
      </c>
      <c r="BJ142" s="59">
        <f t="shared" si="146"/>
        <v>273.83237400307223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17.427090922942266</v>
      </c>
      <c r="BQ142" s="21">
        <f>EXP(-LN(2)/25)*BQ141+(1-EXP(-LN(2)/25))/(LN(2)/25)*Calculateur!BL142*Calculateur!BN142*VLOOKUP('Données projet'!$B$11,Paramètres!$A$1:$I$89,3,0)*0.475*44/12</f>
        <v>16.179124599244123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33.606215522186389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-3.979039320256561E-13</v>
      </c>
      <c r="BZ142" s="13">
        <f>BY142*VLOOKUP('Données projet'!$B$12,Paramètres!$A$1:$I$89,3,0)*VLOOKUP('Données projet'!$B$12,Paramètres!$A$1:$I$89,5,0)</f>
        <v>-2.379465513513424E-13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214.34615950592251</v>
      </c>
      <c r="CE142" s="59">
        <f t="shared" si="148"/>
        <v>159.66077836853066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44.217517897341494</v>
      </c>
      <c r="CL142" s="21">
        <f>EXP(-LN(2)/25)*CL141+(1-EXP(-LN(2)/25))/(LN(2)/25)*Calculateur!CG142*Calculateur!CI142*VLOOKUP('Données projet'!$B$12,Paramètres!$A$1:$I$89,3,0)*0.475*44/12</f>
        <v>6.6646529715325515</v>
      </c>
      <c r="CM142" s="21">
        <f>EXP(-LN(2)/2)*CM141+(1-EXP(-LN(2)/2))/(LN(2)/2)*CG142*CJ142*VLOOKUP('Données projet'!$B$12,Paramètres!$A$1:$I$89,3,0)*0.475*44/12</f>
        <v>4.762781310989036E-8</v>
      </c>
      <c r="CN142" s="22">
        <f t="shared" si="120"/>
        <v>50.882170916501863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65.520000000000252</v>
      </c>
      <c r="D143" s="11">
        <f t="shared" si="140"/>
        <v>18.556669503136781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649.01288739263669</v>
      </c>
      <c r="H143" s="67">
        <f t="shared" si="110"/>
        <v>439.76686605129692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-6.3550942286383367E-14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279.32192402750189</v>
      </c>
      <c r="T143" s="59">
        <f t="shared" si="142"/>
        <v>371.43572414443611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42.101391173602053</v>
      </c>
      <c r="AA143" s="21">
        <f>EXP(-LN(2)/25)*AA142+(1-EXP(-LN(2)/25))/(LN(2)/25)*Calculateur!V143*Calculateur!X143*VLOOKUP('Données projet'!$B$9,Paramètres!$A$1:$I$89,3,0)*0.475*44/12</f>
        <v>5.4573072201682171</v>
      </c>
      <c r="AB143" s="21">
        <f>EXP(-LN(2)/2)*AB142+(1-EXP(-LN(2)/2))/(LN(2)/2)*V143*Y143*VLOOKUP('Données projet'!$B$9,Paramètres!$A$1:$I$89,3,0)*0.475*44/12</f>
        <v>5.4923679534756703E-12</v>
      </c>
      <c r="AC143" s="22">
        <f t="shared" si="111"/>
        <v>47.558698393775764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-7.3896444519050419E-13</v>
      </c>
      <c r="AJ143" s="13">
        <f>AI143*VLOOKUP('Données projet'!$B$10,Paramètres!$A$1:$I$89,3,0)*VLOOKUP('Données projet'!$B$10,Paramètres!$A$1:$I$89,5,0)</f>
        <v>-3.4583536034915594E-13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192.20041613277965</v>
      </c>
      <c r="AO143" s="59">
        <f t="shared" si="144"/>
        <v>132.76245212522417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78.300801739240995</v>
      </c>
      <c r="AV143" s="21">
        <f>EXP(-LN(2)/25)*AV142+(1-EXP(-LN(2)/25))/(LN(2)/25)*Calculateur!AQ143*Calculateur!AS143*VLOOKUP('Données projet'!$B$10,Paramètres!$A$1:$I$89,3,0)*0.475*44/12</f>
        <v>13.859992619840209</v>
      </c>
      <c r="AW143" s="21">
        <f>EXP(-LN(2)/2)*AW142+(1-EXP(-LN(2)/2))/(LN(2)/2)*AQ143*AT143*VLOOKUP('Données projet'!$B$10,Paramètres!$A$1:$I$89,3,0)*0.475*44/12</f>
        <v>2.971089696856434E-5</v>
      </c>
      <c r="AX143" s="21">
        <f t="shared" si="114"/>
        <v>92.160824069978176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180.31844548479722</v>
      </c>
      <c r="BJ143" s="59">
        <f t="shared" si="146"/>
        <v>273.83237400307223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17.085356299419256</v>
      </c>
      <c r="BQ143" s="21">
        <f>EXP(-LN(2)/25)*BQ142+(1-EXP(-LN(2)/25))/(LN(2)/25)*Calculateur!BL143*Calculateur!BN143*VLOOKUP('Données projet'!$B$11,Paramètres!$A$1:$I$89,3,0)*0.475*44/12</f>
        <v>15.736705586254608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32.822061885673861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-3.979039320256561E-13</v>
      </c>
      <c r="BZ143" s="13">
        <f>BY143*VLOOKUP('Données projet'!$B$12,Paramètres!$A$1:$I$89,3,0)*VLOOKUP('Données projet'!$B$12,Paramètres!$A$1:$I$89,5,0)</f>
        <v>-2.379465513513424E-13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214.34615950592251</v>
      </c>
      <c r="CE143" s="59">
        <f t="shared" si="148"/>
        <v>159.66077836853066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43.350439341397475</v>
      </c>
      <c r="CL143" s="21">
        <f>EXP(-LN(2)/25)*CL142+(1-EXP(-LN(2)/25))/(LN(2)/25)*Calculateur!CG143*Calculateur!CI143*VLOOKUP('Données projet'!$B$12,Paramètres!$A$1:$I$89,3,0)*0.475*44/12</f>
        <v>6.482407685547126</v>
      </c>
      <c r="CM143" s="21">
        <f>EXP(-LN(2)/2)*CM142+(1-EXP(-LN(2)/2))/(LN(2)/2)*CG143*CJ143*VLOOKUP('Données projet'!$B$12,Paramètres!$A$1:$I$89,3,0)*0.475*44/12</f>
        <v>3.3677949623089022E-8</v>
      </c>
      <c r="CN143" s="22">
        <f t="shared" si="120"/>
        <v>49.832847060622548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65.988000000000255</v>
      </c>
      <c r="D144" s="11">
        <f t="shared" si="140"/>
        <v>18.673740038079515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653.5292213465807</v>
      </c>
      <c r="H144" s="67">
        <f t="shared" si="110"/>
        <v>440.78586389965557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-6.3550942286383367E-14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279.32192402750189</v>
      </c>
      <c r="T144" s="59">
        <f t="shared" si="142"/>
        <v>371.43572414443611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41.275808572000713</v>
      </c>
      <c r="AA144" s="21">
        <f>EXP(-LN(2)/25)*AA143+(1-EXP(-LN(2)/25))/(LN(2)/25)*Calculateur!V144*Calculateur!X144*VLOOKUP('Données projet'!$B$9,Paramètres!$A$1:$I$89,3,0)*0.475*44/12</f>
        <v>5.3080768672454033</v>
      </c>
      <c r="AB144" s="21">
        <f>EXP(-LN(2)/2)*AB143+(1-EXP(-LN(2)/2))/(LN(2)/2)*V144*Y144*VLOOKUP('Données projet'!$B$9,Paramètres!$A$1:$I$89,3,0)*0.475*44/12</f>
        <v>3.8836906246743267E-12</v>
      </c>
      <c r="AC144" s="22">
        <f t="shared" si="111"/>
        <v>46.583885439250004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-7.3896444519050419E-13</v>
      </c>
      <c r="AJ144" s="13">
        <f>AI144*VLOOKUP('Données projet'!$B$10,Paramètres!$A$1:$I$89,3,0)*VLOOKUP('Données projet'!$B$10,Paramètres!$A$1:$I$89,5,0)</f>
        <v>-3.4583536034915594E-13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192.20041613277965</v>
      </c>
      <c r="AO144" s="59">
        <f t="shared" si="144"/>
        <v>132.76245212522417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76.765370775907755</v>
      </c>
      <c r="AV144" s="21">
        <f>EXP(-LN(2)/25)*AV143+(1-EXP(-LN(2)/25))/(LN(2)/25)*Calculateur!AQ144*Calculateur!AS144*VLOOKUP('Données projet'!$B$10,Paramètres!$A$1:$I$89,3,0)*0.475*44/12</f>
        <v>13.480990392785344</v>
      </c>
      <c r="AW144" s="21">
        <f>EXP(-LN(2)/2)*AW143+(1-EXP(-LN(2)/2))/(LN(2)/2)*AQ144*AT144*VLOOKUP('Données projet'!$B$10,Paramètres!$A$1:$I$89,3,0)*0.475*44/12</f>
        <v>2.1008776721606682E-5</v>
      </c>
      <c r="AX144" s="21">
        <f t="shared" si="114"/>
        <v>90.246382177469826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180.31844548479722</v>
      </c>
      <c r="BJ144" s="59">
        <f t="shared" si="146"/>
        <v>273.83237400307223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16.750322883425994</v>
      </c>
      <c r="BQ144" s="21">
        <f>EXP(-LN(2)/25)*BQ143+(1-EXP(-LN(2)/25))/(LN(2)/25)*Calculateur!BL144*Calculateur!BN144*VLOOKUP('Données projet'!$B$11,Paramètres!$A$1:$I$89,3,0)*0.475*44/12</f>
        <v>15.306384544441096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32.056707427867089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-3.979039320256561E-13</v>
      </c>
      <c r="BZ144" s="13">
        <f>BY144*VLOOKUP('Données projet'!$B$12,Paramètres!$A$1:$I$89,3,0)*VLOOKUP('Données projet'!$B$12,Paramètres!$A$1:$I$89,5,0)</f>
        <v>-2.379465513513424E-13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214.34615950592251</v>
      </c>
      <c r="CE144" s="59">
        <f t="shared" si="148"/>
        <v>159.66077836853066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42.50036366706982</v>
      </c>
      <c r="CL144" s="21">
        <f>EXP(-LN(2)/25)*CL143+(1-EXP(-LN(2)/25))/(LN(2)/25)*Calculateur!CG144*Calculateur!CI144*VLOOKUP('Données projet'!$B$12,Paramètres!$A$1:$I$89,3,0)*0.475*44/12</f>
        <v>6.3051459064908357</v>
      </c>
      <c r="CM144" s="21">
        <f>EXP(-LN(2)/2)*CM143+(1-EXP(-LN(2)/2))/(LN(2)/2)*CG144*CJ144*VLOOKUP('Données projet'!$B$12,Paramètres!$A$1:$I$89,3,0)*0.475*44/12</f>
        <v>2.381390655494518E-8</v>
      </c>
      <c r="CN144" s="22">
        <f t="shared" si="120"/>
        <v>48.805509597374559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66.456000000000259</v>
      </c>
      <c r="D145" s="11">
        <f t="shared" si="140"/>
        <v>18.790713966583677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658.04480956661291</v>
      </c>
      <c r="H145" s="67">
        <f t="shared" si="110"/>
        <v>441.80469349180032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-6.3550942286383367E-14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279.32192402750189</v>
      </c>
      <c r="T145" s="59">
        <f t="shared" si="142"/>
        <v>371.43572414443611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40.466415141661109</v>
      </c>
      <c r="AA145" s="21">
        <f>EXP(-LN(2)/25)*AA144+(1-EXP(-LN(2)/25))/(LN(2)/25)*Calculateur!V145*Calculateur!X145*VLOOKUP('Données projet'!$B$9,Paramètres!$A$1:$I$89,3,0)*0.475*44/12</f>
        <v>5.1629272261709467</v>
      </c>
      <c r="AB145" s="21">
        <f>EXP(-LN(2)/2)*AB144+(1-EXP(-LN(2)/2))/(LN(2)/2)*V145*Y145*VLOOKUP('Données projet'!$B$9,Paramètres!$A$1:$I$89,3,0)*0.475*44/12</f>
        <v>2.7461839767378352E-12</v>
      </c>
      <c r="AC145" s="22">
        <f t="shared" si="111"/>
        <v>45.629342367834795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-7.3896444519050419E-13</v>
      </c>
      <c r="AJ145" s="13">
        <f>AI145*VLOOKUP('Données projet'!$B$10,Paramètres!$A$1:$I$89,3,0)*VLOOKUP('Données projet'!$B$10,Paramètres!$A$1:$I$89,5,0)</f>
        <v>-3.4583536034915594E-13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192.20041613277965</v>
      </c>
      <c r="AO145" s="59">
        <f t="shared" si="144"/>
        <v>132.76245212522417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75.260048677245067</v>
      </c>
      <c r="AV145" s="21">
        <f>EXP(-LN(2)/25)*AV144+(1-EXP(-LN(2)/25))/(LN(2)/25)*Calculateur!AQ145*Calculateur!AS145*VLOOKUP('Données projet'!$B$10,Paramètres!$A$1:$I$89,3,0)*0.475*44/12</f>
        <v>13.112352001560156</v>
      </c>
      <c r="AW145" s="21">
        <f>EXP(-LN(2)/2)*AW144+(1-EXP(-LN(2)/2))/(LN(2)/2)*AQ145*AT145*VLOOKUP('Données projet'!$B$10,Paramètres!$A$1:$I$89,3,0)*0.475*44/12</f>
        <v>1.485544848428217E-5</v>
      </c>
      <c r="AX145" s="21">
        <f t="shared" si="114"/>
        <v>88.372415534253705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180.31844548479722</v>
      </c>
      <c r="BJ145" s="59">
        <f t="shared" si="146"/>
        <v>273.83237400307223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16.421859268370156</v>
      </c>
      <c r="BQ145" s="21">
        <f>EXP(-LN(2)/25)*BQ144+(1-EXP(-LN(2)/25))/(LN(2)/25)*Calculateur!BL145*Calculateur!BN145*VLOOKUP('Données projet'!$B$11,Paramètres!$A$1:$I$89,3,0)*0.475*44/12</f>
        <v>14.887830654145574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31.30968992251573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-3.979039320256561E-13</v>
      </c>
      <c r="BZ145" s="13">
        <f>BY145*VLOOKUP('Données projet'!$B$12,Paramètres!$A$1:$I$89,3,0)*VLOOKUP('Données projet'!$B$12,Paramètres!$A$1:$I$89,5,0)</f>
        <v>-2.379465513513424E-13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214.34615950592251</v>
      </c>
      <c r="CE145" s="59">
        <f t="shared" si="148"/>
        <v>159.66077836853066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41.666957458220764</v>
      </c>
      <c r="CL145" s="21">
        <f>EXP(-LN(2)/25)*CL144+(1-EXP(-LN(2)/25))/(LN(2)/25)*Calculateur!CG145*Calculateur!CI145*VLOOKUP('Données projet'!$B$12,Paramètres!$A$1:$I$89,3,0)*0.475*44/12</f>
        <v>6.1327313601046312</v>
      </c>
      <c r="CM145" s="21">
        <f>EXP(-LN(2)/2)*CM144+(1-EXP(-LN(2)/2))/(LN(2)/2)*CG145*CJ145*VLOOKUP('Données projet'!$B$12,Paramètres!$A$1:$I$89,3,0)*0.475*44/12</f>
        <v>1.6838974811544511E-8</v>
      </c>
      <c r="CN145" s="22">
        <f t="shared" si="120"/>
        <v>47.799688835164368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66.924000000000262</v>
      </c>
      <c r="D146" s="11">
        <f t="shared" si="140"/>
        <v>18.90759204786773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662.559657913367</v>
      </c>
      <c r="H146" s="67">
        <f t="shared" si="110"/>
        <v>442.82335615003672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-6.3550942286383367E-14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279.32192402750189</v>
      </c>
      <c r="T146" s="59">
        <f t="shared" si="142"/>
        <v>371.43572414443611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39.672893422809217</v>
      </c>
      <c r="AA146" s="21">
        <f>EXP(-LN(2)/25)*AA145+(1-EXP(-LN(2)/25))/(LN(2)/25)*Calculateur!V146*Calculateur!X146*VLOOKUP('Données projet'!$B$9,Paramètres!$A$1:$I$89,3,0)*0.475*44/12</f>
        <v>5.0217467096647592</v>
      </c>
      <c r="AB146" s="21">
        <f>EXP(-LN(2)/2)*AB145+(1-EXP(-LN(2)/2))/(LN(2)/2)*V146*Y146*VLOOKUP('Données projet'!$B$9,Paramètres!$A$1:$I$89,3,0)*0.475*44/12</f>
        <v>1.9418453123371633E-12</v>
      </c>
      <c r="AC146" s="22">
        <f t="shared" si="111"/>
        <v>44.694640132475918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-7.3896444519050419E-13</v>
      </c>
      <c r="AJ146" s="13">
        <f>AI146*VLOOKUP('Données projet'!$B$10,Paramètres!$A$1:$I$89,3,0)*VLOOKUP('Données projet'!$B$10,Paramètres!$A$1:$I$89,5,0)</f>
        <v>-3.4583536034915594E-13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192.20041613277965</v>
      </c>
      <c r="AO146" s="59">
        <f t="shared" si="144"/>
        <v>132.76245212522417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73.784245026781335</v>
      </c>
      <c r="AV146" s="21">
        <f>EXP(-LN(2)/25)*AV145+(1-EXP(-LN(2)/25))/(LN(2)/25)*Calculateur!AQ146*Calculateur!AS146*VLOOKUP('Données projet'!$B$10,Paramètres!$A$1:$I$89,3,0)*0.475*44/12</f>
        <v>12.753794046528871</v>
      </c>
      <c r="AW146" s="21">
        <f>EXP(-LN(2)/2)*AW145+(1-EXP(-LN(2)/2))/(LN(2)/2)*AQ146*AT146*VLOOKUP('Données projet'!$B$10,Paramètres!$A$1:$I$89,3,0)*0.475*44/12</f>
        <v>1.0504388360803341E-5</v>
      </c>
      <c r="AX146" s="21">
        <f t="shared" si="114"/>
        <v>86.538049577698558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180.31844548479722</v>
      </c>
      <c r="BJ146" s="59">
        <f t="shared" si="146"/>
        <v>273.83237400307223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16.09983662446254</v>
      </c>
      <c r="BQ146" s="21">
        <f>EXP(-LN(2)/25)*BQ145+(1-EXP(-LN(2)/25))/(LN(2)/25)*Calculateur!BL146*Calculateur!BN146*VLOOKUP('Données projet'!$B$11,Paramètres!$A$1:$I$89,3,0)*0.475*44/12</f>
        <v>14.480722141990976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30.580558766453514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-3.979039320256561E-13</v>
      </c>
      <c r="BZ146" s="13">
        <f>BY146*VLOOKUP('Données projet'!$B$12,Paramètres!$A$1:$I$89,3,0)*VLOOKUP('Données projet'!$B$12,Paramètres!$A$1:$I$89,5,0)</f>
        <v>-2.379465513513424E-13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214.34615950592251</v>
      </c>
      <c r="CE146" s="59">
        <f t="shared" si="148"/>
        <v>159.66077836853066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40.849893836799644</v>
      </c>
      <c r="CL146" s="21">
        <f>EXP(-LN(2)/25)*CL145+(1-EXP(-LN(2)/25))/(LN(2)/25)*Calculateur!CG146*Calculateur!CI146*VLOOKUP('Données projet'!$B$12,Paramètres!$A$1:$I$89,3,0)*0.475*44/12</f>
        <v>5.965031498556244</v>
      </c>
      <c r="CM146" s="21">
        <f>EXP(-LN(2)/2)*CM145+(1-EXP(-LN(2)/2))/(LN(2)/2)*CG146*CJ146*VLOOKUP('Données projet'!$B$12,Paramètres!$A$1:$I$89,3,0)*0.475*44/12</f>
        <v>1.190695327747259E-8</v>
      </c>
      <c r="CN146" s="22">
        <f t="shared" si="120"/>
        <v>46.814925347262843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67.392000000000266</v>
      </c>
      <c r="D147" s="11">
        <f t="shared" si="140"/>
        <v>19.024375029918055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667.07377216077305</v>
      </c>
      <c r="H147" s="67">
        <f t="shared" si="110"/>
        <v>443.84185317710774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-6.3550942286383367E-14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279.32192402750189</v>
      </c>
      <c r="T147" s="59">
        <f t="shared" si="142"/>
        <v>371.43572414443611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38.894932180863556</v>
      </c>
      <c r="AA147" s="21">
        <f>EXP(-LN(2)/25)*AA146+(1-EXP(-LN(2)/25))/(LN(2)/25)*Calculateur!V147*Calculateur!X147*VLOOKUP('Données projet'!$B$9,Paramètres!$A$1:$I$89,3,0)*0.475*44/12</f>
        <v>4.8844267818067939</v>
      </c>
      <c r="AB147" s="21">
        <f>EXP(-LN(2)/2)*AB146+(1-EXP(-LN(2)/2))/(LN(2)/2)*V147*Y147*VLOOKUP('Données projet'!$B$9,Paramètres!$A$1:$I$89,3,0)*0.475*44/12</f>
        <v>1.3730919883689176E-12</v>
      </c>
      <c r="AC147" s="22">
        <f t="shared" si="111"/>
        <v>43.779358962671722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-7.3896444519050419E-13</v>
      </c>
      <c r="AJ147" s="13">
        <f>AI147*VLOOKUP('Données projet'!$B$10,Paramètres!$A$1:$I$89,3,0)*VLOOKUP('Données projet'!$B$10,Paramètres!$A$1:$I$89,5,0)</f>
        <v>-3.4583536034915594E-13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192.20041613277965</v>
      </c>
      <c r="AO147" s="59">
        <f t="shared" si="144"/>
        <v>132.76245212522417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72.337380985751849</v>
      </c>
      <c r="AV147" s="21">
        <f>EXP(-LN(2)/25)*AV146+(1-EXP(-LN(2)/25))/(LN(2)/25)*Calculateur!AQ147*Calculateur!AS147*VLOOKUP('Données projet'!$B$10,Paramètres!$A$1:$I$89,3,0)*0.475*44/12</f>
        <v>12.40504087763366</v>
      </c>
      <c r="AW147" s="21">
        <f>EXP(-LN(2)/2)*AW146+(1-EXP(-LN(2)/2))/(LN(2)/2)*AQ147*AT147*VLOOKUP('Données projet'!$B$10,Paramètres!$A$1:$I$89,3,0)*0.475*44/12</f>
        <v>7.4277242421410849E-6</v>
      </c>
      <c r="AX147" s="21">
        <f t="shared" si="114"/>
        <v>84.742429291109758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180.31844548479722</v>
      </c>
      <c r="BJ147" s="59">
        <f t="shared" si="146"/>
        <v>273.83237400307223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15.784128648187533</v>
      </c>
      <c r="BQ147" s="21">
        <f>EXP(-LN(2)/25)*BQ146+(1-EXP(-LN(2)/25))/(LN(2)/25)*Calculateur!BL147*Calculateur!BN147*VLOOKUP('Données projet'!$B$11,Paramètres!$A$1:$I$89,3,0)*0.475*44/12</f>
        <v>14.08474603351015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29.868874681697683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-3.979039320256561E-13</v>
      </c>
      <c r="BZ147" s="13">
        <f>BY147*VLOOKUP('Données projet'!$B$12,Paramètres!$A$1:$I$89,3,0)*VLOOKUP('Données projet'!$B$12,Paramètres!$A$1:$I$89,5,0)</f>
        <v>-2.379465513513424E-13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214.34615950592251</v>
      </c>
      <c r="CE147" s="59">
        <f t="shared" si="148"/>
        <v>159.66077836853066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40.048852334634994</v>
      </c>
      <c r="CL147" s="21">
        <f>EXP(-LN(2)/25)*CL146+(1-EXP(-LN(2)/25))/(LN(2)/25)*Calculateur!CG147*Calculateur!CI147*VLOOKUP('Données projet'!$B$12,Paramètres!$A$1:$I$89,3,0)*0.475*44/12</f>
        <v>5.8019173985408505</v>
      </c>
      <c r="CM147" s="21">
        <f>EXP(-LN(2)/2)*CM146+(1-EXP(-LN(2)/2))/(LN(2)/2)*CG147*CJ147*VLOOKUP('Données projet'!$B$12,Paramètres!$A$1:$I$89,3,0)*0.475*44/12</f>
        <v>8.4194874057722556E-9</v>
      </c>
      <c r="CN147" s="22">
        <f t="shared" si="120"/>
        <v>45.850769741595336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67.860000000000269</v>
      </c>
      <c r="D148" s="11">
        <f t="shared" si="140"/>
        <v>19.141063649731827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671.58715799793197</v>
      </c>
      <c r="H148" s="67">
        <f t="shared" si="110"/>
        <v>444.86018585661668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-6.3550942286383367E-14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279.32192402750189</v>
      </c>
      <c r="T148" s="59">
        <f t="shared" si="142"/>
        <v>371.43572414443611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38.132226284362943</v>
      </c>
      <c r="AA148" s="21">
        <f>EXP(-LN(2)/25)*AA147+(1-EXP(-LN(2)/25))/(LN(2)/25)*Calculateur!V148*Calculateur!X148*VLOOKUP('Données projet'!$B$9,Paramètres!$A$1:$I$89,3,0)*0.475*44/12</f>
        <v>4.7508618745974465</v>
      </c>
      <c r="AB148" s="21">
        <f>EXP(-LN(2)/2)*AB147+(1-EXP(-LN(2)/2))/(LN(2)/2)*V148*Y148*VLOOKUP('Données projet'!$B$9,Paramètres!$A$1:$I$89,3,0)*0.475*44/12</f>
        <v>9.7092265616858166E-13</v>
      </c>
      <c r="AC148" s="22">
        <f t="shared" si="111"/>
        <v>42.883088158961364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-7.3896444519050419E-13</v>
      </c>
      <c r="AJ148" s="13">
        <f>AI148*VLOOKUP('Données projet'!$B$10,Paramètres!$A$1:$I$89,3,0)*VLOOKUP('Données projet'!$B$10,Paramètres!$A$1:$I$89,5,0)</f>
        <v>-3.4583536034915594E-13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192.20041613277965</v>
      </c>
      <c r="AO148" s="59">
        <f t="shared" si="144"/>
        <v>132.76245212522417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70.918889066067024</v>
      </c>
      <c r="AV148" s="21">
        <f>EXP(-LN(2)/25)*AV147+(1-EXP(-LN(2)/25))/(LN(2)/25)*Calculateur!AQ148*Calculateur!AS148*VLOOKUP('Données projet'!$B$10,Paramètres!$A$1:$I$89,3,0)*0.475*44/12</f>
        <v>12.06582438248202</v>
      </c>
      <c r="AW148" s="21">
        <f>EXP(-LN(2)/2)*AW147+(1-EXP(-LN(2)/2))/(LN(2)/2)*AQ148*AT148*VLOOKUP('Données projet'!$B$10,Paramètres!$A$1:$I$89,3,0)*0.475*44/12</f>
        <v>5.2521941804016706E-6</v>
      </c>
      <c r="AX148" s="21">
        <f t="shared" si="114"/>
        <v>82.98471870074323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180.31844548479722</v>
      </c>
      <c r="BJ148" s="59">
        <f t="shared" si="146"/>
        <v>273.83237400307223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15.474611512764428</v>
      </c>
      <c r="BQ148" s="21">
        <f>EXP(-LN(2)/25)*BQ147+(1-EXP(-LN(2)/25))/(LN(2)/25)*Calculateur!BL148*Calculateur!BN148*VLOOKUP('Données projet'!$B$11,Paramètres!$A$1:$I$89,3,0)*0.475*44/12</f>
        <v>13.699597912539213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29.174209425303641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-3.979039320256561E-13</v>
      </c>
      <c r="BZ148" s="13">
        <f>BY148*VLOOKUP('Données projet'!$B$12,Paramètres!$A$1:$I$89,3,0)*VLOOKUP('Données projet'!$B$12,Paramètres!$A$1:$I$89,5,0)</f>
        <v>-2.379465513513424E-13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214.34615950592251</v>
      </c>
      <c r="CE148" s="59">
        <f t="shared" si="148"/>
        <v>159.66077836853066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39.26351876774072</v>
      </c>
      <c r="CL148" s="21">
        <f>EXP(-LN(2)/25)*CL147+(1-EXP(-LN(2)/25))/(LN(2)/25)*Calculateur!CG148*Calculateur!CI148*VLOOKUP('Données projet'!$B$12,Paramètres!$A$1:$I$89,3,0)*0.475*44/12</f>
        <v>5.6432636621681755</v>
      </c>
      <c r="CM148" s="21">
        <f>EXP(-LN(2)/2)*CM147+(1-EXP(-LN(2)/2))/(LN(2)/2)*CG148*CJ148*VLOOKUP('Données projet'!$B$12,Paramètres!$A$1:$I$89,3,0)*0.475*44/12</f>
        <v>5.953476638736295E-9</v>
      </c>
      <c r="CN148" s="22">
        <f t="shared" si="120"/>
        <v>44.906782435862368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68.328000000000273</v>
      </c>
      <c r="D149" s="11">
        <f t="shared" si="140"/>
        <v>19.257658633553223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676.09982103093932</v>
      </c>
      <c r="H149" s="67">
        <f t="shared" si="110"/>
        <v>445.87835545343899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-6.3550942286383367E-14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279.32192402750189</v>
      </c>
      <c r="T149" s="59">
        <f t="shared" si="142"/>
        <v>371.43572414443611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37.384476585288049</v>
      </c>
      <c r="AA149" s="21">
        <f>EXP(-LN(2)/25)*AA148+(1-EXP(-LN(2)/25))/(LN(2)/25)*Calculateur!V149*Calculateur!X149*VLOOKUP('Données projet'!$B$9,Paramètres!$A$1:$I$89,3,0)*0.475*44/12</f>
        <v>4.6209493067996119</v>
      </c>
      <c r="AB149" s="21">
        <f>EXP(-LN(2)/2)*AB148+(1-EXP(-LN(2)/2))/(LN(2)/2)*V149*Y149*VLOOKUP('Données projet'!$B$9,Paramètres!$A$1:$I$89,3,0)*0.475*44/12</f>
        <v>6.8654599418445879E-13</v>
      </c>
      <c r="AC149" s="22">
        <f t="shared" si="111"/>
        <v>42.005425892088347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-7.3896444519050419E-13</v>
      </c>
      <c r="AJ149" s="13">
        <f>AI149*VLOOKUP('Données projet'!$B$10,Paramètres!$A$1:$I$89,3,0)*VLOOKUP('Données projet'!$B$10,Paramètres!$A$1:$I$89,5,0)</f>
        <v>-3.4583536034915594E-13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192.20041613277965</v>
      </c>
      <c r="AO149" s="59">
        <f t="shared" si="144"/>
        <v>132.76245212522417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69.528212907732581</v>
      </c>
      <c r="AV149" s="21">
        <f>EXP(-LN(2)/25)*AV148+(1-EXP(-LN(2)/25))/(LN(2)/25)*Calculateur!AQ149*Calculateur!AS149*VLOOKUP('Données projet'!$B$10,Paramètres!$A$1:$I$89,3,0)*0.475*44/12</f>
        <v>11.735883780228923</v>
      </c>
      <c r="AW149" s="21">
        <f>EXP(-LN(2)/2)*AW148+(1-EXP(-LN(2)/2))/(LN(2)/2)*AQ149*AT149*VLOOKUP('Données projet'!$B$10,Paramètres!$A$1:$I$89,3,0)*0.475*44/12</f>
        <v>3.7138621210705424E-6</v>
      </c>
      <c r="AX149" s="21">
        <f t="shared" si="114"/>
        <v>81.264100401823626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180.31844548479722</v>
      </c>
      <c r="BJ149" s="59">
        <f t="shared" si="146"/>
        <v>273.83237400307223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15.171163819580158</v>
      </c>
      <c r="BQ149" s="21">
        <f>EXP(-LN(2)/25)*BQ148+(1-EXP(-LN(2)/25))/(LN(2)/25)*Calculateur!BL149*Calculateur!BN149*VLOOKUP('Données projet'!$B$11,Paramètres!$A$1:$I$89,3,0)*0.475*44/12</f>
        <v>13.324981687190284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28.496145506770443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-3.979039320256561E-13</v>
      </c>
      <c r="BZ149" s="13">
        <f>BY149*VLOOKUP('Données projet'!$B$12,Paramètres!$A$1:$I$89,3,0)*VLOOKUP('Données projet'!$B$12,Paramètres!$A$1:$I$89,5,0)</f>
        <v>-2.379465513513424E-13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214.34615950592251</v>
      </c>
      <c r="CE149" s="59">
        <f t="shared" si="148"/>
        <v>159.66077836853066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38.493585113087065</v>
      </c>
      <c r="CL149" s="21">
        <f>EXP(-LN(2)/25)*CL148+(1-EXP(-LN(2)/25))/(LN(2)/25)*Calculateur!CG149*Calculateur!CI149*VLOOKUP('Données projet'!$B$12,Paramètres!$A$1:$I$89,3,0)*0.475*44/12</f>
        <v>5.4889483205598486</v>
      </c>
      <c r="CM149" s="21">
        <f>EXP(-LN(2)/2)*CM148+(1-EXP(-LN(2)/2))/(LN(2)/2)*CG149*CJ149*VLOOKUP('Données projet'!$B$12,Paramètres!$A$1:$I$89,3,0)*0.475*44/12</f>
        <v>4.2097437028861278E-9</v>
      </c>
      <c r="CN149" s="22">
        <f t="shared" si="120"/>
        <v>43.982533437856659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68.796000000000276</v>
      </c>
      <c r="D150" s="11">
        <f t="shared" si="140"/>
        <v>19.374160697102795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680.61176678465529</v>
      </c>
      <c r="H150" s="67">
        <f t="shared" si="110"/>
        <v>446.89636321412115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-6.3550942286383367E-14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279.32192402750189</v>
      </c>
      <c r="T150" s="59">
        <f t="shared" si="142"/>
        <v>371.43572414443611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36.651389801729728</v>
      </c>
      <c r="AA150" s="21">
        <f>EXP(-LN(2)/25)*AA149+(1-EXP(-LN(2)/25))/(LN(2)/25)*Calculateur!V150*Calculateur!X150*VLOOKUP('Données projet'!$B$9,Paramètres!$A$1:$I$89,3,0)*0.475*44/12</f>
        <v>4.4945892050000138</v>
      </c>
      <c r="AB150" s="21">
        <f>EXP(-LN(2)/2)*AB149+(1-EXP(-LN(2)/2))/(LN(2)/2)*V150*Y150*VLOOKUP('Données projet'!$B$9,Paramètres!$A$1:$I$89,3,0)*0.475*44/12</f>
        <v>4.8546132808429083E-13</v>
      </c>
      <c r="AC150" s="22">
        <f t="shared" si="111"/>
        <v>41.145979006730222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-7.3896444519050419E-13</v>
      </c>
      <c r="AJ150" s="13">
        <f>AI150*VLOOKUP('Données projet'!$B$10,Paramètres!$A$1:$I$89,3,0)*VLOOKUP('Données projet'!$B$10,Paramètres!$A$1:$I$89,5,0)</f>
        <v>-3.4583536034915594E-13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192.20041613277965</v>
      </c>
      <c r="AO150" s="59">
        <f t="shared" si="144"/>
        <v>132.76245212522417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68.164807060634374</v>
      </c>
      <c r="AV150" s="21">
        <f>EXP(-LN(2)/25)*AV149+(1-EXP(-LN(2)/25))/(LN(2)/25)*Calculateur!AQ150*Calculateur!AS150*VLOOKUP('Données projet'!$B$10,Paramètres!$A$1:$I$89,3,0)*0.475*44/12</f>
        <v>11.414965421095257</v>
      </c>
      <c r="AW150" s="21">
        <f>EXP(-LN(2)/2)*AW149+(1-EXP(-LN(2)/2))/(LN(2)/2)*AQ150*AT150*VLOOKUP('Données projet'!$B$10,Paramètres!$A$1:$I$89,3,0)*0.475*44/12</f>
        <v>2.6260970902008353E-6</v>
      </c>
      <c r="AX150" s="21">
        <f t="shared" si="114"/>
        <v>79.57977510782672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180.31844548479722</v>
      </c>
      <c r="BJ150" s="59">
        <f t="shared" si="146"/>
        <v>273.83237400307223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14.873666550574415</v>
      </c>
      <c r="BQ150" s="21">
        <f>EXP(-LN(2)/25)*BQ149+(1-EXP(-LN(2)/25))/(LN(2)/25)*Calculateur!BL150*Calculateur!BN150*VLOOKUP('Données projet'!$B$11,Paramètres!$A$1:$I$89,3,0)*0.475*44/12</f>
        <v>12.960609362223733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27.834275912798148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-3.979039320256561E-13</v>
      </c>
      <c r="BZ150" s="13">
        <f>BY150*VLOOKUP('Données projet'!$B$12,Paramètres!$A$1:$I$89,3,0)*VLOOKUP('Données projet'!$B$12,Paramètres!$A$1:$I$89,5,0)</f>
        <v>-2.379465513513424E-13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214.34615950592251</v>
      </c>
      <c r="CE150" s="59">
        <f t="shared" si="148"/>
        <v>159.66077836853066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37.738749387788012</v>
      </c>
      <c r="CL150" s="21">
        <f>EXP(-LN(2)/25)*CL149+(1-EXP(-LN(2)/25))/(LN(2)/25)*Calculateur!CG150*Calculateur!CI150*VLOOKUP('Données projet'!$B$12,Paramètres!$A$1:$I$89,3,0)*0.475*44/12</f>
        <v>5.3388527400828929</v>
      </c>
      <c r="CM150" s="21">
        <f>EXP(-LN(2)/2)*CM149+(1-EXP(-LN(2)/2))/(LN(2)/2)*CG150*CJ150*VLOOKUP('Données projet'!$B$12,Paramètres!$A$1:$I$89,3,0)*0.475*44/12</f>
        <v>2.9767383193681475E-9</v>
      </c>
      <c r="CN150" s="22">
        <f t="shared" si="120"/>
        <v>43.077602130847644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69.26400000000028</v>
      </c>
      <c r="D151" s="11">
        <f t="shared" si="140"/>
        <v>19.490570545800512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685.12300070442723</v>
      </c>
      <c r="H151" s="67">
        <f t="shared" si="110"/>
        <v>447.91421036726967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-6.3550942286383367E-14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279.32192402750189</v>
      </c>
      <c r="T151" s="59">
        <f t="shared" si="142"/>
        <v>371.43572414443611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35.932678402858201</v>
      </c>
      <c r="AA151" s="21">
        <f>EXP(-LN(2)/25)*AA150+(1-EXP(-LN(2)/25))/(LN(2)/25)*Calculateur!V151*Calculateur!X151*VLOOKUP('Données projet'!$B$9,Paramètres!$A$1:$I$89,3,0)*0.475*44/12</f>
        <v>4.3716844268291144</v>
      </c>
      <c r="AB151" s="21">
        <f>EXP(-LN(2)/2)*AB150+(1-EXP(-LN(2)/2))/(LN(2)/2)*V151*Y151*VLOOKUP('Données projet'!$B$9,Paramètres!$A$1:$I$89,3,0)*0.475*44/12</f>
        <v>3.432729970922294E-13</v>
      </c>
      <c r="AC151" s="22">
        <f t="shared" si="111"/>
        <v>40.304362829687655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-7.3896444519050419E-13</v>
      </c>
      <c r="AJ151" s="13">
        <f>AI151*VLOOKUP('Données projet'!$B$10,Paramètres!$A$1:$I$89,3,0)*VLOOKUP('Données projet'!$B$10,Paramètres!$A$1:$I$89,5,0)</f>
        <v>-3.4583536034915594E-13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192.20041613277965</v>
      </c>
      <c r="AO151" s="59">
        <f t="shared" si="144"/>
        <v>132.76245212522417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66.828136770602313</v>
      </c>
      <c r="AV151" s="21">
        <f>EXP(-LN(2)/25)*AV150+(1-EXP(-LN(2)/25))/(LN(2)/25)*Calculateur!AQ151*Calculateur!AS151*VLOOKUP('Données projet'!$B$10,Paramètres!$A$1:$I$89,3,0)*0.475*44/12</f>
        <v>11.102822591368465</v>
      </c>
      <c r="AW151" s="21">
        <f>EXP(-LN(2)/2)*AW150+(1-EXP(-LN(2)/2))/(LN(2)/2)*AQ151*AT151*VLOOKUP('Données projet'!$B$10,Paramètres!$A$1:$I$89,3,0)*0.475*44/12</f>
        <v>1.8569310605352712E-6</v>
      </c>
      <c r="AX151" s="21">
        <f t="shared" si="114"/>
        <v>77.930961218901842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180.31844548479722</v>
      </c>
      <c r="BJ151" s="59">
        <f t="shared" si="146"/>
        <v>273.83237400307223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14.582003021558457</v>
      </c>
      <c r="BQ151" s="21">
        <f>EXP(-LN(2)/25)*BQ150+(1-EXP(-LN(2)/25))/(LN(2)/25)*Calculateur!BL151*Calculateur!BN151*VLOOKUP('Données projet'!$B$11,Paramètres!$A$1:$I$89,3,0)*0.475*44/12</f>
        <v>12.606200817644901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27.188203839203357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-3.979039320256561E-13</v>
      </c>
      <c r="BZ151" s="13">
        <f>BY151*VLOOKUP('Données projet'!$B$12,Paramètres!$A$1:$I$89,3,0)*VLOOKUP('Données projet'!$B$12,Paramètres!$A$1:$I$89,5,0)</f>
        <v>-2.379465513513424E-13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214.34615950592251</v>
      </c>
      <c r="CE151" s="59">
        <f t="shared" si="148"/>
        <v>159.66077836853066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36.998715530657741</v>
      </c>
      <c r="CL151" s="21">
        <f>EXP(-LN(2)/25)*CL150+(1-EXP(-LN(2)/25))/(LN(2)/25)*Calculateur!CG151*Calculateur!CI151*VLOOKUP('Données projet'!$B$12,Paramètres!$A$1:$I$89,3,0)*0.475*44/12</f>
        <v>5.1928615311472628</v>
      </c>
      <c r="CM151" s="21">
        <f>EXP(-LN(2)/2)*CM150+(1-EXP(-LN(2)/2))/(LN(2)/2)*CG151*CJ151*VLOOKUP('Données projet'!$B$12,Paramètres!$A$1:$I$89,3,0)*0.475*44/12</f>
        <v>2.1048718514430639E-9</v>
      </c>
      <c r="CN151" s="22">
        <f t="shared" si="120"/>
        <v>42.191577063909875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69.732000000000284</v>
      </c>
      <c r="D152" s="11">
        <f t="shared" si="140"/>
        <v>19.606888874982584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689.63352815776261</v>
      </c>
      <c r="H152" s="67">
        <f t="shared" si="110"/>
        <v>448.93189812392848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-6.3550942286383367E-14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279.32192402750189</v>
      </c>
      <c r="T152" s="59">
        <f t="shared" si="142"/>
        <v>371.43572414443611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35.228060496147876</v>
      </c>
      <c r="AA152" s="21">
        <f>EXP(-LN(2)/25)*AA151+(1-EXP(-LN(2)/25))/(LN(2)/25)*Calculateur!V152*Calculateur!X152*VLOOKUP('Données projet'!$B$9,Paramètres!$A$1:$I$89,3,0)*0.475*44/12</f>
        <v>4.2521404862805801</v>
      </c>
      <c r="AB152" s="21">
        <f>EXP(-LN(2)/2)*AB151+(1-EXP(-LN(2)/2))/(LN(2)/2)*V152*Y152*VLOOKUP('Données projet'!$B$9,Paramètres!$A$1:$I$89,3,0)*0.475*44/12</f>
        <v>2.4273066404214542E-13</v>
      </c>
      <c r="AC152" s="22">
        <f t="shared" si="111"/>
        <v>39.480200982428698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-7.3896444519050419E-13</v>
      </c>
      <c r="AJ152" s="13">
        <f>AI152*VLOOKUP('Données projet'!$B$10,Paramètres!$A$1:$I$89,3,0)*VLOOKUP('Données projet'!$B$10,Paramètres!$A$1:$I$89,5,0)</f>
        <v>-3.4583536034915594E-13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192.20041613277965</v>
      </c>
      <c r="AO152" s="59">
        <f t="shared" si="144"/>
        <v>132.76245212522417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65.517677769669405</v>
      </c>
      <c r="AV152" s="21">
        <f>EXP(-LN(2)/25)*AV151+(1-EXP(-LN(2)/25))/(LN(2)/25)*Calculateur!AQ152*Calculateur!AS152*VLOOKUP('Données projet'!$B$10,Paramètres!$A$1:$I$89,3,0)*0.475*44/12</f>
        <v>10.79921532373543</v>
      </c>
      <c r="AW152" s="21">
        <f>EXP(-LN(2)/2)*AW151+(1-EXP(-LN(2)/2))/(LN(2)/2)*AQ152*AT152*VLOOKUP('Données projet'!$B$10,Paramètres!$A$1:$I$89,3,0)*0.475*44/12</f>
        <v>1.3130485451004176E-6</v>
      </c>
      <c r="AX152" s="21">
        <f t="shared" si="114"/>
        <v>76.316894406453372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180.31844548479722</v>
      </c>
      <c r="BJ152" s="59">
        <f t="shared" si="146"/>
        <v>273.83237400307223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14.296058836449316</v>
      </c>
      <c r="BQ152" s="21">
        <f>EXP(-LN(2)/25)*BQ151+(1-EXP(-LN(2)/25))/(LN(2)/25)*Calculateur!BL152*Calculateur!BN152*VLOOKUP('Données projet'!$B$11,Paramètres!$A$1:$I$89,3,0)*0.475*44/12</f>
        <v>12.261483593355111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26.557542429804428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-3.979039320256561E-13</v>
      </c>
      <c r="BZ152" s="13">
        <f>BY152*VLOOKUP('Données projet'!$B$12,Paramètres!$A$1:$I$89,3,0)*VLOOKUP('Données projet'!$B$12,Paramètres!$A$1:$I$89,5,0)</f>
        <v>-2.379465513513424E-13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214.34615950592251</v>
      </c>
      <c r="CE152" s="59">
        <f t="shared" si="148"/>
        <v>159.66077836853066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36.273193286089715</v>
      </c>
      <c r="CL152" s="21">
        <f>EXP(-LN(2)/25)*CL151+(1-EXP(-LN(2)/25))/(LN(2)/25)*Calculateur!CG152*Calculateur!CI152*VLOOKUP('Données projet'!$B$12,Paramètres!$A$1:$I$89,3,0)*0.475*44/12</f>
        <v>5.0508624594973215</v>
      </c>
      <c r="CM152" s="21">
        <f>EXP(-LN(2)/2)*CM151+(1-EXP(-LN(2)/2))/(LN(2)/2)*CG152*CJ152*VLOOKUP('Données projet'!$B$12,Paramètres!$A$1:$I$89,3,0)*0.475*44/12</f>
        <v>1.4883691596840738E-9</v>
      </c>
      <c r="CN152" s="22">
        <f t="shared" si="120"/>
        <v>41.324055747075406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70.200000000000287</v>
      </c>
      <c r="D153" s="11">
        <f t="shared" si="140"/>
        <v>19.723116370112255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694.14335443595644</v>
      </c>
      <c r="H153" s="67">
        <f t="shared" si="110"/>
        <v>449.94942767794601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-6.3550942286383367E-14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279.32192402750189</v>
      </c>
      <c r="T153" s="59">
        <f t="shared" si="142"/>
        <v>371.43572414443611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34.537259716813651</v>
      </c>
      <c r="AA153" s="21">
        <f>EXP(-LN(2)/25)*AA152+(1-EXP(-LN(2)/25))/(LN(2)/25)*Calculateur!V153*Calculateur!X153*VLOOKUP('Données projet'!$B$9,Paramètres!$A$1:$I$89,3,0)*0.475*44/12</f>
        <v>4.1358654810728881</v>
      </c>
      <c r="AB153" s="21">
        <f>EXP(-LN(2)/2)*AB152+(1-EXP(-LN(2)/2))/(LN(2)/2)*V153*Y153*VLOOKUP('Données projet'!$B$9,Paramètres!$A$1:$I$89,3,0)*0.475*44/12</f>
        <v>1.716364985461147E-13</v>
      </c>
      <c r="AC153" s="22">
        <f t="shared" si="111"/>
        <v>38.673125197886712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-7.3896444519050419E-13</v>
      </c>
      <c r="AJ153" s="13">
        <f>AI153*VLOOKUP('Données projet'!$B$10,Paramètres!$A$1:$I$89,3,0)*VLOOKUP('Données projet'!$B$10,Paramètres!$A$1:$I$89,5,0)</f>
        <v>-3.4583536034915594E-13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192.20041613277965</v>
      </c>
      <c r="AO153" s="59">
        <f t="shared" si="144"/>
        <v>132.76245212522417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64.232916070443721</v>
      </c>
      <c r="AV153" s="21">
        <f>EXP(-LN(2)/25)*AV152+(1-EXP(-LN(2)/25))/(LN(2)/25)*Calculateur!AQ153*Calculateur!AS153*VLOOKUP('Données projet'!$B$10,Paramètres!$A$1:$I$89,3,0)*0.475*44/12</f>
        <v>10.503910212801832</v>
      </c>
      <c r="AW153" s="21">
        <f>EXP(-LN(2)/2)*AW152+(1-EXP(-LN(2)/2))/(LN(2)/2)*AQ153*AT153*VLOOKUP('Données projet'!$B$10,Paramètres!$A$1:$I$89,3,0)*0.475*44/12</f>
        <v>9.2846553026763561E-7</v>
      </c>
      <c r="AX153" s="21">
        <f t="shared" si="114"/>
        <v>74.736827211711073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180.31844548479722</v>
      </c>
      <c r="BJ153" s="59">
        <f t="shared" si="146"/>
        <v>273.83237400307223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14.015721842401433</v>
      </c>
      <c r="BQ153" s="21">
        <f>EXP(-LN(2)/25)*BQ152+(1-EXP(-LN(2)/25))/(LN(2)/25)*Calculateur!BL153*Calculateur!BN153*VLOOKUP('Données projet'!$B$11,Paramètres!$A$1:$I$89,3,0)*0.475*44/12</f>
        <v>11.926192679691416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25.941914522092851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-3.979039320256561E-13</v>
      </c>
      <c r="BZ153" s="13">
        <f>BY153*VLOOKUP('Données projet'!$B$12,Paramètres!$A$1:$I$89,3,0)*VLOOKUP('Données projet'!$B$12,Paramètres!$A$1:$I$89,5,0)</f>
        <v>-2.379465513513424E-13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214.34615950592251</v>
      </c>
      <c r="CE153" s="59">
        <f t="shared" si="148"/>
        <v>159.66077836853066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35.561898090212793</v>
      </c>
      <c r="CL153" s="21">
        <f>EXP(-LN(2)/25)*CL152+(1-EXP(-LN(2)/25))/(LN(2)/25)*Calculateur!CG153*Calculateur!CI153*VLOOKUP('Données projet'!$B$12,Paramètres!$A$1:$I$89,3,0)*0.475*44/12</f>
        <v>4.912746359929054</v>
      </c>
      <c r="CM153" s="21">
        <f>EXP(-LN(2)/2)*CM152+(1-EXP(-LN(2)/2))/(LN(2)/2)*CG153*CJ153*VLOOKUP('Données projet'!$B$12,Paramètres!$A$1:$I$89,3,0)*0.475*44/12</f>
        <v>1.0524359257215319E-9</v>
      </c>
      <c r="CN153" s="22">
        <f t="shared" si="120"/>
        <v>40.47464445119428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70.668000000000291</v>
      </c>
      <c r="D154" s="11">
        <f t="shared" si="140"/>
        <v>19.839253706984934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698.65248475567535</v>
      </c>
      <c r="H154" s="67">
        <f t="shared" si="110"/>
        <v>450.96680020633255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-6.3550942286383367E-14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279.32192402750189</v>
      </c>
      <c r="T154" s="59">
        <f t="shared" si="142"/>
        <v>371.43572414443611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33.860005119415305</v>
      </c>
      <c r="AA154" s="21">
        <f>EXP(-LN(2)/25)*AA153+(1-EXP(-LN(2)/25))/(LN(2)/25)*Calculateur!V154*Calculateur!X154*VLOOKUP('Données projet'!$B$9,Paramètres!$A$1:$I$89,3,0)*0.475*44/12</f>
        <v>4.0227700219972373</v>
      </c>
      <c r="AB154" s="21">
        <f>EXP(-LN(2)/2)*AB153+(1-EXP(-LN(2)/2))/(LN(2)/2)*V154*Y154*VLOOKUP('Données projet'!$B$9,Paramètres!$A$1:$I$89,3,0)*0.475*44/12</f>
        <v>1.2136533202107271E-13</v>
      </c>
      <c r="AC154" s="22">
        <f t="shared" ref="AC154:AC203" si="163">SUM(Z154:AB154)</f>
        <v>37.882775141412665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-7.3896444519050419E-13</v>
      </c>
      <c r="AJ154" s="13">
        <f>AI154*VLOOKUP('Données projet'!$B$10,Paramètres!$A$1:$I$89,3,0)*VLOOKUP('Données projet'!$B$10,Paramètres!$A$1:$I$89,5,0)</f>
        <v>-3.4583536034915594E-13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192.20041613277965</v>
      </c>
      <c r="AO154" s="59">
        <f t="shared" si="144"/>
        <v>132.76245212522417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62.973347764512596</v>
      </c>
      <c r="AV154" s="21">
        <f>EXP(-LN(2)/25)*AV153+(1-EXP(-LN(2)/25))/(LN(2)/25)*Calculateur!AQ154*Calculateur!AS154*VLOOKUP('Données projet'!$B$10,Paramètres!$A$1:$I$89,3,0)*0.475*44/12</f>
        <v>10.216680235656135</v>
      </c>
      <c r="AW154" s="21">
        <f>EXP(-LN(2)/2)*AW153+(1-EXP(-LN(2)/2))/(LN(2)/2)*AQ154*AT154*VLOOKUP('Données projet'!$B$10,Paramètres!$A$1:$I$89,3,0)*0.475*44/12</f>
        <v>6.5652427255020882E-7</v>
      </c>
      <c r="AX154" s="21">
        <f t="shared" ref="AX154:AX203" si="166">SUM(AU154:AW154)</f>
        <v>73.190028656693002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180.31844548479722</v>
      </c>
      <c r="BJ154" s="59">
        <f t="shared" si="146"/>
        <v>273.83237400307223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13.740882085818146</v>
      </c>
      <c r="BQ154" s="21">
        <f>EXP(-LN(2)/25)*BQ153+(1-EXP(-LN(2)/25))/(LN(2)/25)*Calculateur!BL154*Calculateur!BN154*VLOOKUP('Données projet'!$B$11,Paramètres!$A$1:$I$89,3,0)*0.475*44/12</f>
        <v>11.600070313694038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25.340952399512183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-3.979039320256561E-13</v>
      </c>
      <c r="BZ154" s="13">
        <f>BY154*VLOOKUP('Données projet'!$B$12,Paramètres!$A$1:$I$89,3,0)*VLOOKUP('Données projet'!$B$12,Paramètres!$A$1:$I$89,5,0)</f>
        <v>-2.379465513513424E-13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214.34615950592251</v>
      </c>
      <c r="CE154" s="59">
        <f t="shared" si="148"/>
        <v>159.66077836853066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34.864550959279782</v>
      </c>
      <c r="CL154" s="21">
        <f>EXP(-LN(2)/25)*CL153+(1-EXP(-LN(2)/25))/(LN(2)/25)*Calculateur!CG154*Calculateur!CI154*VLOOKUP('Données projet'!$B$12,Paramètres!$A$1:$I$89,3,0)*0.475*44/12</f>
        <v>4.7784070523666911</v>
      </c>
      <c r="CM154" s="21">
        <f>EXP(-LN(2)/2)*CM153+(1-EXP(-LN(2)/2))/(LN(2)/2)*CG154*CJ154*VLOOKUP('Données projet'!$B$12,Paramètres!$A$1:$I$89,3,0)*0.475*44/12</f>
        <v>7.4418457984203688E-10</v>
      </c>
      <c r="CN154" s="22">
        <f t="shared" ref="CN154:CN203" si="172">SUM(CK154:CM154)</f>
        <v>39.642958012390658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71.136000000000294</v>
      </c>
      <c r="D155" s="11">
        <f t="shared" si="140"/>
        <v>19.955301551927551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703.16092426049556</v>
      </c>
      <c r="H155" s="67">
        <f t="shared" si="110"/>
        <v>451.98401686960767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-6.3550942286383367E-14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279.32192402750189</v>
      </c>
      <c r="T155" s="59">
        <f t="shared" si="142"/>
        <v>371.43572414443611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33.19603107158742</v>
      </c>
      <c r="AA155" s="21">
        <f>EXP(-LN(2)/25)*AA154+(1-EXP(-LN(2)/25))/(LN(2)/25)*Calculateur!V155*Calculateur!X155*VLOOKUP('Données projet'!$B$9,Paramètres!$A$1:$I$89,3,0)*0.475*44/12</f>
        <v>3.9127671641974415</v>
      </c>
      <c r="AB155" s="21">
        <f>EXP(-LN(2)/2)*AB154+(1-EXP(-LN(2)/2))/(LN(2)/2)*V155*Y155*VLOOKUP('Données projet'!$B$9,Paramètres!$A$1:$I$89,3,0)*0.475*44/12</f>
        <v>8.5818249273057349E-14</v>
      </c>
      <c r="AC155" s="22">
        <f t="shared" si="163"/>
        <v>37.108798235784946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-7.3896444519050419E-13</v>
      </c>
      <c r="AJ155" s="13">
        <f>AI155*VLOOKUP('Données projet'!$B$10,Paramètres!$A$1:$I$89,3,0)*VLOOKUP('Données projet'!$B$10,Paramètres!$A$1:$I$89,5,0)</f>
        <v>-3.4583536034915594E-13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192.20041613277965</v>
      </c>
      <c r="AO155" s="59">
        <f t="shared" si="144"/>
        <v>132.76245212522417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61.738478824799969</v>
      </c>
      <c r="AV155" s="21">
        <f>EXP(-LN(2)/25)*AV154+(1-EXP(-LN(2)/25))/(LN(2)/25)*Calculateur!AQ155*Calculateur!AS155*VLOOKUP('Données projet'!$B$10,Paramètres!$A$1:$I$89,3,0)*0.475*44/12</f>
        <v>9.9373045773402549</v>
      </c>
      <c r="AW155" s="21">
        <f>EXP(-LN(2)/2)*AW154+(1-EXP(-LN(2)/2))/(LN(2)/2)*AQ155*AT155*VLOOKUP('Données projet'!$B$10,Paramètres!$A$1:$I$89,3,0)*0.475*44/12</f>
        <v>4.6423276513381781E-7</v>
      </c>
      <c r="AX155" s="21">
        <f t="shared" si="166"/>
        <v>71.675783866372996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180.31844548479722</v>
      </c>
      <c r="BJ155" s="59">
        <f t="shared" si="146"/>
        <v>273.83237400307223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13.471431769225759</v>
      </c>
      <c r="BQ155" s="21">
        <f>EXP(-LN(2)/25)*BQ154+(1-EXP(-LN(2)/25))/(LN(2)/25)*Calculateur!BL155*Calculateur!BN155*VLOOKUP('Données projet'!$B$11,Paramètres!$A$1:$I$89,3,0)*0.475*44/12</f>
        <v>11.28286578094489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24.754297550170648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-3.979039320256561E-13</v>
      </c>
      <c r="BZ155" s="13">
        <f>BY155*VLOOKUP('Données projet'!$B$12,Paramètres!$A$1:$I$89,3,0)*VLOOKUP('Données projet'!$B$12,Paramètres!$A$1:$I$89,5,0)</f>
        <v>-2.379465513513424E-13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214.34615950592251</v>
      </c>
      <c r="CE155" s="59">
        <f t="shared" si="148"/>
        <v>159.66077836853066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34.180878380244621</v>
      </c>
      <c r="CL155" s="21">
        <f>EXP(-LN(2)/25)*CL154+(1-EXP(-LN(2)/25))/(LN(2)/25)*Calculateur!CG155*Calculateur!CI155*VLOOKUP('Données projet'!$B$12,Paramètres!$A$1:$I$89,3,0)*0.475*44/12</f>
        <v>4.6477412602342181</v>
      </c>
      <c r="CM155" s="21">
        <f>EXP(-LN(2)/2)*CM154+(1-EXP(-LN(2)/2))/(LN(2)/2)*CG155*CJ155*VLOOKUP('Données projet'!$B$12,Paramètres!$A$1:$I$89,3,0)*0.475*44/12</f>
        <v>5.2621796286076597E-10</v>
      </c>
      <c r="CN155" s="22">
        <f t="shared" si="172"/>
        <v>38.828619641005062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71.604000000000298</v>
      </c>
      <c r="D156" s="11">
        <f t="shared" si="140"/>
        <v>20.071260561992666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707.66867802240176</v>
      </c>
      <c r="H156" s="67">
        <f t="shared" si="110"/>
        <v>453.00107881213773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-6.3550942286383367E-14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279.32192402750189</v>
      </c>
      <c r="T156" s="59">
        <f t="shared" si="142"/>
        <v>371.43572414443611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32.545077149853263</v>
      </c>
      <c r="AA156" s="21">
        <f>EXP(-LN(2)/25)*AA155+(1-EXP(-LN(2)/25))/(LN(2)/25)*Calculateur!V156*Calculateur!X156*VLOOKUP('Données projet'!$B$9,Paramètres!$A$1:$I$89,3,0)*0.475*44/12</f>
        <v>3.8057723403289803</v>
      </c>
      <c r="AB156" s="21">
        <f>EXP(-LN(2)/2)*AB155+(1-EXP(-LN(2)/2))/(LN(2)/2)*V156*Y156*VLOOKUP('Données projet'!$B$9,Paramètres!$A$1:$I$89,3,0)*0.475*44/12</f>
        <v>6.0682666010536354E-14</v>
      </c>
      <c r="AC156" s="22">
        <f t="shared" si="163"/>
        <v>36.350849490182306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-7.3896444519050419E-13</v>
      </c>
      <c r="AJ156" s="13">
        <f>AI156*VLOOKUP('Données projet'!$B$10,Paramètres!$A$1:$I$89,3,0)*VLOOKUP('Données projet'!$B$10,Paramètres!$A$1:$I$89,5,0)</f>
        <v>-3.4583536034915594E-13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192.20041613277965</v>
      </c>
      <c r="AO156" s="59">
        <f t="shared" si="144"/>
        <v>132.76245212522417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60.527824911799428</v>
      </c>
      <c r="AV156" s="21">
        <f>EXP(-LN(2)/25)*AV155+(1-EXP(-LN(2)/25))/(LN(2)/25)*Calculateur!AQ156*Calculateur!AS156*VLOOKUP('Données projet'!$B$10,Paramètres!$A$1:$I$89,3,0)*0.475*44/12</f>
        <v>9.6655684610927501</v>
      </c>
      <c r="AW156" s="21">
        <f>EXP(-LN(2)/2)*AW155+(1-EXP(-LN(2)/2))/(LN(2)/2)*AQ156*AT156*VLOOKUP('Données projet'!$B$10,Paramètres!$A$1:$I$89,3,0)*0.475*44/12</f>
        <v>3.2826213627510441E-7</v>
      </c>
      <c r="AX156" s="21">
        <f t="shared" si="166"/>
        <v>70.193393701154307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180.31844548479722</v>
      </c>
      <c r="BJ156" s="59">
        <f t="shared" si="146"/>
        <v>273.83237400307223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13.207265208993284</v>
      </c>
      <c r="BQ156" s="21">
        <f>EXP(-LN(2)/25)*BQ155+(1-EXP(-LN(2)/25))/(LN(2)/25)*Calculateur!BL156*Calculateur!BN156*VLOOKUP('Données projet'!$B$11,Paramètres!$A$1:$I$89,3,0)*0.475*44/12</f>
        <v>10.974335222824829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24.181600431818111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-3.979039320256561E-13</v>
      </c>
      <c r="BZ156" s="13">
        <f>BY156*VLOOKUP('Données projet'!$B$12,Paramètres!$A$1:$I$89,3,0)*VLOOKUP('Données projet'!$B$12,Paramètres!$A$1:$I$89,5,0)</f>
        <v>-2.379465513513424E-13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214.34615950592251</v>
      </c>
      <c r="CE156" s="59">
        <f t="shared" si="148"/>
        <v>159.66077836853066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33.510612203485238</v>
      </c>
      <c r="CL156" s="21">
        <f>EXP(-LN(2)/25)*CL155+(1-EXP(-LN(2)/25))/(LN(2)/25)*Calculateur!CG156*Calculateur!CI156*VLOOKUP('Données projet'!$B$12,Paramètres!$A$1:$I$89,3,0)*0.475*44/12</f>
        <v>4.520648531059023</v>
      </c>
      <c r="CM156" s="21">
        <f>EXP(-LN(2)/2)*CM155+(1-EXP(-LN(2)/2))/(LN(2)/2)*CG156*CJ156*VLOOKUP('Données projet'!$B$12,Paramètres!$A$1:$I$89,3,0)*0.475*44/12</f>
        <v>3.7209228992101844E-10</v>
      </c>
      <c r="CN156" s="22">
        <f t="shared" si="172"/>
        <v>38.031260734916351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72.072000000000301</v>
      </c>
      <c r="D157" s="11">
        <f t="shared" si="140"/>
        <v>20.18713138514735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712.17575104324499</v>
      </c>
      <c r="H157" s="67">
        <f t="shared" si="110"/>
        <v>454.01798716246549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-6.3550942286383367E-14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279.32192402750189</v>
      </c>
      <c r="T157" s="59">
        <f t="shared" si="142"/>
        <v>371.43572414443611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31.906888037481625</v>
      </c>
      <c r="AA157" s="21">
        <f>EXP(-LN(2)/25)*AA156+(1-EXP(-LN(2)/25))/(LN(2)/25)*Calculateur!V157*Calculateur!X157*VLOOKUP('Données projet'!$B$9,Paramètres!$A$1:$I$89,3,0)*0.475*44/12</f>
        <v>3.7017032955458151</v>
      </c>
      <c r="AB157" s="21">
        <f>EXP(-LN(2)/2)*AB156+(1-EXP(-LN(2)/2))/(LN(2)/2)*V157*Y157*VLOOKUP('Données projet'!$B$9,Paramètres!$A$1:$I$89,3,0)*0.475*44/12</f>
        <v>4.2909124636528675E-14</v>
      </c>
      <c r="AC157" s="22">
        <f t="shared" si="163"/>
        <v>35.608591333027483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-7.3896444519050419E-13</v>
      </c>
      <c r="AJ157" s="13">
        <f>AI157*VLOOKUP('Données projet'!$B$10,Paramètres!$A$1:$I$89,3,0)*VLOOKUP('Données projet'!$B$10,Paramètres!$A$1:$I$89,5,0)</f>
        <v>-3.4583536034915594E-13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192.20041613277965</v>
      </c>
      <c r="AO157" s="59">
        <f t="shared" si="144"/>
        <v>132.76245212522417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59.340911183606856</v>
      </c>
      <c r="AV157" s="21">
        <f>EXP(-LN(2)/25)*AV156+(1-EXP(-LN(2)/25))/(LN(2)/25)*Calculateur!AQ157*Calculateur!AS157*VLOOKUP('Données projet'!$B$10,Paramètres!$A$1:$I$89,3,0)*0.475*44/12</f>
        <v>9.4012629832340142</v>
      </c>
      <c r="AW157" s="21">
        <f>EXP(-LN(2)/2)*AW156+(1-EXP(-LN(2)/2))/(LN(2)/2)*AQ157*AT157*VLOOKUP('Données projet'!$B$10,Paramètres!$A$1:$I$89,3,0)*0.475*44/12</f>
        <v>2.321163825669089E-7</v>
      </c>
      <c r="AX157" s="21">
        <f t="shared" si="166"/>
        <v>68.742174398957246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180.31844548479722</v>
      </c>
      <c r="BJ157" s="59">
        <f t="shared" si="146"/>
        <v>273.83237400307223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12.948278793881276</v>
      </c>
      <c r="BQ157" s="21">
        <f>EXP(-LN(2)/25)*BQ156+(1-EXP(-LN(2)/25))/(LN(2)/25)*Calculateur!BL157*Calculateur!BN157*VLOOKUP('Données projet'!$B$11,Paramètres!$A$1:$I$89,3,0)*0.475*44/12</f>
        <v>10.674241449041476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23.622520242922754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-3.979039320256561E-13</v>
      </c>
      <c r="BZ157" s="13">
        <f>BY157*VLOOKUP('Données projet'!$B$12,Paramètres!$A$1:$I$89,3,0)*VLOOKUP('Données projet'!$B$12,Paramètres!$A$1:$I$89,5,0)</f>
        <v>-2.379465513513424E-13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214.34615950592251</v>
      </c>
      <c r="CE157" s="59">
        <f t="shared" si="148"/>
        <v>159.66077836853066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32.853489537630111</v>
      </c>
      <c r="CL157" s="21">
        <f>EXP(-LN(2)/25)*CL156+(1-EXP(-LN(2)/25))/(LN(2)/25)*Calculateur!CG157*Calculateur!CI157*VLOOKUP('Données projet'!$B$12,Paramètres!$A$1:$I$89,3,0)*0.475*44/12</f>
        <v>4.39703115924664</v>
      </c>
      <c r="CM157" s="21">
        <f>EXP(-LN(2)/2)*CM156+(1-EXP(-LN(2)/2))/(LN(2)/2)*CG157*CJ157*VLOOKUP('Données projet'!$B$12,Paramètres!$A$1:$I$89,3,0)*0.475*44/12</f>
        <v>2.6310898143038299E-10</v>
      </c>
      <c r="CN157" s="22">
        <f t="shared" si="172"/>
        <v>37.250520697139855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72.540000000000305</v>
      </c>
      <c r="D158" s="11">
        <f t="shared" si="140"/>
        <v>20.302914660456867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716.68214825616053</v>
      </c>
      <c r="H158" s="67">
        <f t="shared" si="110"/>
        <v>455.03474303362952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-6.3550942286383367E-14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279.32192402750189</v>
      </c>
      <c r="T158" s="59">
        <f t="shared" si="142"/>
        <v>371.43572414443611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31.281213424346671</v>
      </c>
      <c r="AA158" s="21">
        <f>EXP(-LN(2)/25)*AA157+(1-EXP(-LN(2)/25))/(LN(2)/25)*Calculateur!V158*Calculateur!X158*VLOOKUP('Données projet'!$B$9,Paramètres!$A$1:$I$89,3,0)*0.475*44/12</f>
        <v>3.600480024264999</v>
      </c>
      <c r="AB158" s="21">
        <f>EXP(-LN(2)/2)*AB157+(1-EXP(-LN(2)/2))/(LN(2)/2)*V158*Y158*VLOOKUP('Données projet'!$B$9,Paramètres!$A$1:$I$89,3,0)*0.475*44/12</f>
        <v>3.0341333005268177E-14</v>
      </c>
      <c r="AC158" s="22">
        <f t="shared" si="163"/>
        <v>34.881693448611699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-7.3896444519050419E-13</v>
      </c>
      <c r="AJ158" s="13">
        <f>AI158*VLOOKUP('Données projet'!$B$10,Paramètres!$A$1:$I$89,3,0)*VLOOKUP('Données projet'!$B$10,Paramètres!$A$1:$I$89,5,0)</f>
        <v>-3.4583536034915594E-13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192.20041613277965</v>
      </c>
      <c r="AO158" s="59">
        <f t="shared" si="144"/>
        <v>132.76245212522417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58.177272109678249</v>
      </c>
      <c r="AV158" s="21">
        <f>EXP(-LN(2)/25)*AV157+(1-EXP(-LN(2)/25))/(LN(2)/25)*Calculateur!AQ158*Calculateur!AS158*VLOOKUP('Données projet'!$B$10,Paramètres!$A$1:$I$89,3,0)*0.475*44/12</f>
        <v>9.1441849525665475</v>
      </c>
      <c r="AW158" s="21">
        <f>EXP(-LN(2)/2)*AW157+(1-EXP(-LN(2)/2))/(LN(2)/2)*AQ158*AT158*VLOOKUP('Données projet'!$B$10,Paramètres!$A$1:$I$89,3,0)*0.475*44/12</f>
        <v>1.6413106813755221E-7</v>
      </c>
      <c r="AX158" s="21">
        <f t="shared" si="166"/>
        <v>67.32145722637587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180.31844548479722</v>
      </c>
      <c r="BJ158" s="59">
        <f t="shared" si="146"/>
        <v>273.83237400307223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12.694370944403499</v>
      </c>
      <c r="BQ158" s="21">
        <f>EXP(-LN(2)/25)*BQ157+(1-EXP(-LN(2)/25))/(LN(2)/25)*Calculateur!BL158*Calculateur!BN158*VLOOKUP('Données projet'!$B$11,Paramètres!$A$1:$I$89,3,0)*0.475*44/12</f>
        <v>10.382353755283475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23.076724699686974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-3.979039320256561E-13</v>
      </c>
      <c r="BZ158" s="13">
        <f>BY158*VLOOKUP('Données projet'!$B$12,Paramètres!$A$1:$I$89,3,0)*VLOOKUP('Données projet'!$B$12,Paramètres!$A$1:$I$89,5,0)</f>
        <v>-2.379465513513424E-13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214.34615950592251</v>
      </c>
      <c r="CE158" s="59">
        <f t="shared" si="148"/>
        <v>159.66077836853066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32.209252646447148</v>
      </c>
      <c r="CL158" s="21">
        <f>EXP(-LN(2)/25)*CL157+(1-EXP(-LN(2)/25))/(LN(2)/25)*Calculateur!CG158*Calculateur!CI158*VLOOKUP('Données projet'!$B$12,Paramètres!$A$1:$I$89,3,0)*0.475*44/12</f>
        <v>4.2767941109672218</v>
      </c>
      <c r="CM158" s="21">
        <f>EXP(-LN(2)/2)*CM157+(1-EXP(-LN(2)/2))/(LN(2)/2)*CG158*CJ158*VLOOKUP('Données projet'!$B$12,Paramètres!$A$1:$I$89,3,0)*0.475*44/12</f>
        <v>1.8604614496050922E-10</v>
      </c>
      <c r="CN158" s="22">
        <f t="shared" si="172"/>
        <v>36.48604675760042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73.008000000000308</v>
      </c>
      <c r="D159" s="11">
        <f t="shared" si="140"/>
        <v>20.418611018263718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721.1878745269504</v>
      </c>
      <c r="H159" s="67">
        <f t="shared" si="110"/>
        <v>456.05134752347647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-6.3550942286383367E-14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279.32192402750189</v>
      </c>
      <c r="T159" s="59">
        <f t="shared" si="142"/>
        <v>371.43572414443611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30.667807908751463</v>
      </c>
      <c r="AA159" s="21">
        <f>EXP(-LN(2)/25)*AA158+(1-EXP(-LN(2)/25))/(LN(2)/25)*Calculateur!V159*Calculateur!X159*VLOOKUP('Données projet'!$B$9,Paramètres!$A$1:$I$89,3,0)*0.475*44/12</f>
        <v>3.502024708660457</v>
      </c>
      <c r="AB159" s="21">
        <f>EXP(-LN(2)/2)*AB158+(1-EXP(-LN(2)/2))/(LN(2)/2)*V159*Y159*VLOOKUP('Données projet'!$B$9,Paramètres!$A$1:$I$89,3,0)*0.475*44/12</f>
        <v>2.1454562318264337E-14</v>
      </c>
      <c r="AC159" s="22">
        <f t="shared" si="163"/>
        <v>34.169832617411942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-7.3896444519050419E-13</v>
      </c>
      <c r="AJ159" s="13">
        <f>AI159*VLOOKUP('Données projet'!$B$10,Paramètres!$A$1:$I$89,3,0)*VLOOKUP('Données projet'!$B$10,Paramètres!$A$1:$I$89,5,0)</f>
        <v>-3.4583536034915594E-13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192.20041613277965</v>
      </c>
      <c r="AO159" s="59">
        <f t="shared" si="144"/>
        <v>132.76245212522417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57.036451288239626</v>
      </c>
      <c r="AV159" s="21">
        <f>EXP(-LN(2)/25)*AV158+(1-EXP(-LN(2)/25))/(LN(2)/25)*Calculateur!AQ159*Calculateur!AS159*VLOOKUP('Données projet'!$B$10,Paramètres!$A$1:$I$89,3,0)*0.475*44/12</f>
        <v>8.8941367341668283</v>
      </c>
      <c r="AW159" s="21">
        <f>EXP(-LN(2)/2)*AW158+(1-EXP(-LN(2)/2))/(LN(2)/2)*AQ159*AT159*VLOOKUP('Données projet'!$B$10,Paramètres!$A$1:$I$89,3,0)*0.475*44/12</f>
        <v>1.1605819128345445E-7</v>
      </c>
      <c r="AX159" s="21">
        <f t="shared" si="166"/>
        <v>65.930588138464643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180.31844548479722</v>
      </c>
      <c r="BJ159" s="59">
        <f t="shared" si="146"/>
        <v>273.83237400307223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12.445442072985484</v>
      </c>
      <c r="BQ159" s="21">
        <f>EXP(-LN(2)/25)*BQ158+(1-EXP(-LN(2)/25))/(LN(2)/25)*Calculateur!BL159*Calculateur!BN159*VLOOKUP('Données projet'!$B$11,Paramètres!$A$1:$I$89,3,0)*0.475*44/12</f>
        <v>10.098447745860994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22.54388981884648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-3.979039320256561E-13</v>
      </c>
      <c r="BZ159" s="13">
        <f>BY159*VLOOKUP('Données projet'!$B$12,Paramètres!$A$1:$I$89,3,0)*VLOOKUP('Données projet'!$B$12,Paramètres!$A$1:$I$89,5,0)</f>
        <v>-2.379465513513424E-13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214.34615950592251</v>
      </c>
      <c r="CE159" s="59">
        <f t="shared" si="148"/>
        <v>159.66077836853066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31.577648847754581</v>
      </c>
      <c r="CL159" s="21">
        <f>EXP(-LN(2)/25)*CL158+(1-EXP(-LN(2)/25))/(LN(2)/25)*Calculateur!CG159*Calculateur!CI159*VLOOKUP('Données projet'!$B$12,Paramètres!$A$1:$I$89,3,0)*0.475*44/12</f>
        <v>4.1598449510959954</v>
      </c>
      <c r="CM159" s="21">
        <f>EXP(-LN(2)/2)*CM158+(1-EXP(-LN(2)/2))/(LN(2)/2)*CG159*CJ159*VLOOKUP('Données projet'!$B$12,Paramètres!$A$1:$I$89,3,0)*0.475*44/12</f>
        <v>1.3155449071519149E-10</v>
      </c>
      <c r="CN159" s="22">
        <f t="shared" si="172"/>
        <v>35.737493798982136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73.476000000000312</v>
      </c>
      <c r="D160" s="11">
        <f t="shared" si="140"/>
        <v>20.534221080361753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725.69293465542648</v>
      </c>
      <c r="H160" s="67">
        <f t="shared" si="110"/>
        <v>457.06780171496393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-6.3550942286383367E-14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279.32192402750189</v>
      </c>
      <c r="T160" s="59">
        <f t="shared" si="142"/>
        <v>371.43572414443611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30.066430901176656</v>
      </c>
      <c r="AA160" s="21">
        <f>EXP(-LN(2)/25)*AA159+(1-EXP(-LN(2)/25))/(LN(2)/25)*Calculateur!V160*Calculateur!X160*VLOOKUP('Données projet'!$B$9,Paramètres!$A$1:$I$89,3,0)*0.475*44/12</f>
        <v>3.4062616588386612</v>
      </c>
      <c r="AB160" s="21">
        <f>EXP(-LN(2)/2)*AB159+(1-EXP(-LN(2)/2))/(LN(2)/2)*V160*Y160*VLOOKUP('Données projet'!$B$9,Paramètres!$A$1:$I$89,3,0)*0.475*44/12</f>
        <v>1.5170666502634088E-14</v>
      </c>
      <c r="AC160" s="22">
        <f t="shared" si="163"/>
        <v>33.472692560015332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-7.3896444519050419E-13</v>
      </c>
      <c r="AJ160" s="13">
        <f>AI160*VLOOKUP('Données projet'!$B$10,Paramètres!$A$1:$I$89,3,0)*VLOOKUP('Données projet'!$B$10,Paramètres!$A$1:$I$89,5,0)</f>
        <v>-3.4583536034915594E-13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192.20041613277965</v>
      </c>
      <c r="AO160" s="59">
        <f t="shared" si="144"/>
        <v>132.76245212522417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55.918001267277425</v>
      </c>
      <c r="AV160" s="21">
        <f>EXP(-LN(2)/25)*AV159+(1-EXP(-LN(2)/25))/(LN(2)/25)*Calculateur!AQ160*Calculateur!AS160*VLOOKUP('Données projet'!$B$10,Paramètres!$A$1:$I$89,3,0)*0.475*44/12</f>
        <v>8.6509260974487141</v>
      </c>
      <c r="AW160" s="21">
        <f>EXP(-LN(2)/2)*AW159+(1-EXP(-LN(2)/2))/(LN(2)/2)*AQ160*AT160*VLOOKUP('Données projet'!$B$10,Paramètres!$A$1:$I$89,3,0)*0.475*44/12</f>
        <v>8.2065534068776103E-8</v>
      </c>
      <c r="AX160" s="21">
        <f t="shared" si="166"/>
        <v>64.568927446791676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180.31844548479722</v>
      </c>
      <c r="BJ160" s="59">
        <f t="shared" si="146"/>
        <v>273.83237400307223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12.201394544904357</v>
      </c>
      <c r="BQ160" s="21">
        <f>EXP(-LN(2)/25)*BQ159+(1-EXP(-LN(2)/25))/(LN(2)/25)*Calculateur!BL160*Calculateur!BN160*VLOOKUP('Données projet'!$B$11,Paramètres!$A$1:$I$89,3,0)*0.475*44/12</f>
        <v>9.8223051611961392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22.023699706100494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-3.979039320256561E-13</v>
      </c>
      <c r="BZ160" s="13">
        <f>BY160*VLOOKUP('Données projet'!$B$12,Paramètres!$A$1:$I$89,3,0)*VLOOKUP('Données projet'!$B$12,Paramètres!$A$1:$I$89,5,0)</f>
        <v>-2.379465513513424E-13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214.34615950592251</v>
      </c>
      <c r="CE160" s="59">
        <f t="shared" si="148"/>
        <v>159.66077836853066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30.958430414314098</v>
      </c>
      <c r="CL160" s="21">
        <f>EXP(-LN(2)/25)*CL159+(1-EXP(-LN(2)/25))/(LN(2)/25)*Calculateur!CG160*Calculateur!CI160*VLOOKUP('Données projet'!$B$12,Paramètres!$A$1:$I$89,3,0)*0.475*44/12</f>
        <v>4.0460937721515373</v>
      </c>
      <c r="CM160" s="21">
        <f>EXP(-LN(2)/2)*CM159+(1-EXP(-LN(2)/2))/(LN(2)/2)*CG160*CJ160*VLOOKUP('Données projet'!$B$12,Paramètres!$A$1:$I$89,3,0)*0.475*44/12</f>
        <v>9.3023072480254609E-11</v>
      </c>
      <c r="CN160" s="22">
        <f t="shared" si="172"/>
        <v>35.004524186558662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73.944000000000315</v>
      </c>
      <c r="D161" s="11">
        <f t="shared" si="140"/>
        <v>20.649745460165789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730.19733337672085</v>
      </c>
      <c r="H161" s="67">
        <f t="shared" si="110"/>
        <v>458.08410667645592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-6.3550942286383367E-14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279.32192402750189</v>
      </c>
      <c r="T161" s="59">
        <f t="shared" si="142"/>
        <v>371.43572414443611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29.476846529916635</v>
      </c>
      <c r="AA161" s="21">
        <f>EXP(-LN(2)/25)*AA160+(1-EXP(-LN(2)/25))/(LN(2)/25)*Calculateur!V161*Calculateur!X161*VLOOKUP('Données projet'!$B$9,Paramètres!$A$1:$I$89,3,0)*0.475*44/12</f>
        <v>3.3131172546502023</v>
      </c>
      <c r="AB161" s="21">
        <f>EXP(-LN(2)/2)*AB160+(1-EXP(-LN(2)/2))/(LN(2)/2)*V161*Y161*VLOOKUP('Données projet'!$B$9,Paramètres!$A$1:$I$89,3,0)*0.475*44/12</f>
        <v>1.0727281159132169E-14</v>
      </c>
      <c r="AC161" s="22">
        <f t="shared" si="163"/>
        <v>32.789963784566851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-7.3896444519050419E-13</v>
      </c>
      <c r="AJ161" s="13">
        <f>AI161*VLOOKUP('Données projet'!$B$10,Paramètres!$A$1:$I$89,3,0)*VLOOKUP('Données projet'!$B$10,Paramètres!$A$1:$I$89,5,0)</f>
        <v>-3.4583536034915594E-13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192.20041613277965</v>
      </c>
      <c r="AO161" s="59">
        <f t="shared" si="144"/>
        <v>132.76245212522417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54.821483369039143</v>
      </c>
      <c r="AV161" s="21">
        <f>EXP(-LN(2)/25)*AV160+(1-EXP(-LN(2)/25))/(LN(2)/25)*Calculateur!AQ161*Calculateur!AS161*VLOOKUP('Données projet'!$B$10,Paramètres!$A$1:$I$89,3,0)*0.475*44/12</f>
        <v>8.4143660683815469</v>
      </c>
      <c r="AW161" s="21">
        <f>EXP(-LN(2)/2)*AW160+(1-EXP(-LN(2)/2))/(LN(2)/2)*AQ161*AT161*VLOOKUP('Données projet'!$B$10,Paramètres!$A$1:$I$89,3,0)*0.475*44/12</f>
        <v>5.8029095641727226E-8</v>
      </c>
      <c r="AX161" s="21">
        <f t="shared" si="166"/>
        <v>63.235849495449784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180.31844548479722</v>
      </c>
      <c r="BJ161" s="59">
        <f t="shared" si="146"/>
        <v>273.83237400307223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11.962132639994607</v>
      </c>
      <c r="BQ161" s="21">
        <f>EXP(-LN(2)/25)*BQ160+(1-EXP(-LN(2)/25))/(LN(2)/25)*Calculateur!BL161*Calculateur!BN161*VLOOKUP('Données projet'!$B$11,Paramètres!$A$1:$I$89,3,0)*0.475*44/12</f>
        <v>9.5537137100306513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21.515846350025257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-3.979039320256561E-13</v>
      </c>
      <c r="BZ161" s="13">
        <f>BY161*VLOOKUP('Données projet'!$B$12,Paramètres!$A$1:$I$89,3,0)*VLOOKUP('Données projet'!$B$12,Paramètres!$A$1:$I$89,5,0)</f>
        <v>-2.379465513513424E-13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214.34615950592251</v>
      </c>
      <c r="CE161" s="59">
        <f t="shared" si="148"/>
        <v>159.66077836853066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30.351354476667431</v>
      </c>
      <c r="CL161" s="21">
        <f>EXP(-LN(2)/25)*CL160+(1-EXP(-LN(2)/25))/(LN(2)/25)*Calculateur!CG161*Calculateur!CI161*VLOOKUP('Données projet'!$B$12,Paramètres!$A$1:$I$89,3,0)*0.475*44/12</f>
        <v>3.9354531251772293</v>
      </c>
      <c r="CM161" s="21">
        <f>EXP(-LN(2)/2)*CM160+(1-EXP(-LN(2)/2))/(LN(2)/2)*CG161*CJ161*VLOOKUP('Données projet'!$B$12,Paramètres!$A$1:$I$89,3,0)*0.475*44/12</f>
        <v>6.5777245357595747E-11</v>
      </c>
      <c r="CN161" s="22">
        <f t="shared" si="172"/>
        <v>34.286807601910432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74.412000000000319</v>
      </c>
      <c r="D162" s="11">
        <f t="shared" si="140"/>
        <v>20.765184762876906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734.70107536256103</v>
      </c>
      <c r="H162" s="67">
        <f t="shared" si="110"/>
        <v>459.10026346201118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-6.3550942286383367E-14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279.32192402750189</v>
      </c>
      <c r="T162" s="59">
        <f t="shared" si="142"/>
        <v>371.43572414443611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28.898823548566064</v>
      </c>
      <c r="AA162" s="21">
        <f>EXP(-LN(2)/25)*AA161+(1-EXP(-LN(2)/25))/(LN(2)/25)*Calculateur!V162*Calculateur!X162*VLOOKUP('Données projet'!$B$9,Paramètres!$A$1:$I$89,3,0)*0.475*44/12</f>
        <v>3.2225198890925282</v>
      </c>
      <c r="AB162" s="21">
        <f>EXP(-LN(2)/2)*AB161+(1-EXP(-LN(2)/2))/(LN(2)/2)*V162*Y162*VLOOKUP('Données projet'!$B$9,Paramètres!$A$1:$I$89,3,0)*0.475*44/12</f>
        <v>7.5853332513170442E-15</v>
      </c>
      <c r="AC162" s="22">
        <f t="shared" si="163"/>
        <v>32.121343437658602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-7.3896444519050419E-13</v>
      </c>
      <c r="AJ162" s="13">
        <f>AI162*VLOOKUP('Données projet'!$B$10,Paramètres!$A$1:$I$89,3,0)*VLOOKUP('Données projet'!$B$10,Paramètres!$A$1:$I$89,5,0)</f>
        <v>-3.4583536034915594E-13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192.20041613277965</v>
      </c>
      <c r="AO162" s="59">
        <f t="shared" si="144"/>
        <v>132.76245212522417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53.746467517975432</v>
      </c>
      <c r="AV162" s="21">
        <f>EXP(-LN(2)/25)*AV161+(1-EXP(-LN(2)/25))/(LN(2)/25)*Calculateur!AQ162*Calculateur!AS162*VLOOKUP('Données projet'!$B$10,Paramètres!$A$1:$I$89,3,0)*0.475*44/12</f>
        <v>8.1842747857493734</v>
      </c>
      <c r="AW162" s="21">
        <f>EXP(-LN(2)/2)*AW161+(1-EXP(-LN(2)/2))/(LN(2)/2)*AQ162*AT162*VLOOKUP('Données projet'!$B$10,Paramètres!$A$1:$I$89,3,0)*0.475*44/12</f>
        <v>4.1032767034388051E-8</v>
      </c>
      <c r="AX162" s="21">
        <f t="shared" si="166"/>
        <v>61.930742344757576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180.31844548479722</v>
      </c>
      <c r="BJ162" s="59">
        <f t="shared" si="146"/>
        <v>273.83237400307223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11.727562515104784</v>
      </c>
      <c r="BQ162" s="21">
        <f>EXP(-LN(2)/25)*BQ161+(1-EXP(-LN(2)/25))/(LN(2)/25)*Calculateur!BL162*Calculateur!BN162*VLOOKUP('Données projet'!$B$11,Paramètres!$A$1:$I$89,3,0)*0.475*44/12</f>
        <v>9.292466906221895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21.020029421326679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-3.979039320256561E-13</v>
      </c>
      <c r="BZ162" s="13">
        <f>BY162*VLOOKUP('Données projet'!$B$12,Paramètres!$A$1:$I$89,3,0)*VLOOKUP('Données projet'!$B$12,Paramètres!$A$1:$I$89,5,0)</f>
        <v>-2.379465513513424E-13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214.34615950592251</v>
      </c>
      <c r="CE162" s="59">
        <f t="shared" si="148"/>
        <v>159.66077836853066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29.756182927878257</v>
      </c>
      <c r="CL162" s="21">
        <f>EXP(-LN(2)/25)*CL161+(1-EXP(-LN(2)/25))/(LN(2)/25)*Calculateur!CG162*Calculateur!CI162*VLOOKUP('Données projet'!$B$12,Paramètres!$A$1:$I$89,3,0)*0.475*44/12</f>
        <v>3.8278379525127728</v>
      </c>
      <c r="CM162" s="21">
        <f>EXP(-LN(2)/2)*CM161+(1-EXP(-LN(2)/2))/(LN(2)/2)*CG162*CJ162*VLOOKUP('Données projet'!$B$12,Paramètres!$A$1:$I$89,3,0)*0.475*44/12</f>
        <v>4.6511536240127305E-11</v>
      </c>
      <c r="CN162" s="22">
        <f t="shared" si="172"/>
        <v>33.584020880437542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74.880000000000322</v>
      </c>
      <c r="D163" s="11">
        <f t="shared" si="140"/>
        <v>20.880539585643316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739.20416522251242</v>
      </c>
      <c r="H163" s="67">
        <f t="shared" si="110"/>
        <v>460.11627311166262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-6.3550942286383367E-14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279.32192402750189</v>
      </c>
      <c r="T163" s="59">
        <f t="shared" si="142"/>
        <v>371.43572414443611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28.332135245320572</v>
      </c>
      <c r="AA163" s="21">
        <f>EXP(-LN(2)/25)*AA162+(1-EXP(-LN(2)/25))/(LN(2)/25)*Calculateur!V163*Calculateur!X163*VLOOKUP('Données projet'!$B$9,Paramètres!$A$1:$I$89,3,0)*0.475*44/12</f>
        <v>3.1343999132603373</v>
      </c>
      <c r="AB163" s="21">
        <f>EXP(-LN(2)/2)*AB162+(1-EXP(-LN(2)/2))/(LN(2)/2)*V163*Y163*VLOOKUP('Données projet'!$B$9,Paramètres!$A$1:$I$89,3,0)*0.475*44/12</f>
        <v>5.3636405795660843E-15</v>
      </c>
      <c r="AC163" s="22">
        <f t="shared" si="163"/>
        <v>31.466535158580918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-7.3896444519050419E-13</v>
      </c>
      <c r="AJ163" s="13">
        <f>AI163*VLOOKUP('Données projet'!$B$10,Paramètres!$A$1:$I$89,3,0)*VLOOKUP('Données projet'!$B$10,Paramètres!$A$1:$I$89,5,0)</f>
        <v>-3.4583536034915594E-13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192.20041613277965</v>
      </c>
      <c r="AO163" s="59">
        <f t="shared" si="144"/>
        <v>132.76245212522417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52.692532072056153</v>
      </c>
      <c r="AV163" s="21">
        <f>EXP(-LN(2)/25)*AV162+(1-EXP(-LN(2)/25))/(LN(2)/25)*Calculateur!AQ163*Calculateur!AS163*VLOOKUP('Données projet'!$B$10,Paramètres!$A$1:$I$89,3,0)*0.475*44/12</f>
        <v>7.9604753613407508</v>
      </c>
      <c r="AW163" s="21">
        <f>EXP(-LN(2)/2)*AW162+(1-EXP(-LN(2)/2))/(LN(2)/2)*AQ163*AT163*VLOOKUP('Données projet'!$B$10,Paramètres!$A$1:$I$89,3,0)*0.475*44/12</f>
        <v>2.9014547820863613E-8</v>
      </c>
      <c r="AX163" s="21">
        <f t="shared" si="166"/>
        <v>60.653007462411452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180.31844548479722</v>
      </c>
      <c r="BJ163" s="59">
        <f t="shared" si="146"/>
        <v>273.83237400307223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11.497592167290403</v>
      </c>
      <c r="BQ163" s="21">
        <f>EXP(-LN(2)/25)*BQ162+(1-EXP(-LN(2)/25))/(LN(2)/25)*Calculateur!BL163*Calculateur!BN163*VLOOKUP('Données projet'!$B$11,Paramètres!$A$1:$I$89,3,0)*0.475*44/12</f>
        <v>9.0383639100016602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20.535956077292063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-3.979039320256561E-13</v>
      </c>
      <c r="BZ163" s="13">
        <f>BY163*VLOOKUP('Données projet'!$B$12,Paramètres!$A$1:$I$89,3,0)*VLOOKUP('Données projet'!$B$12,Paramètres!$A$1:$I$89,5,0)</f>
        <v>-2.379465513513424E-13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214.34615950592251</v>
      </c>
      <c r="CE163" s="59">
        <f t="shared" si="148"/>
        <v>159.66077836853066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29.172682330142038</v>
      </c>
      <c r="CL163" s="21">
        <f>EXP(-LN(2)/25)*CL162+(1-EXP(-LN(2)/25))/(LN(2)/25)*Calculateur!CG163*Calculateur!CI163*VLOOKUP('Données projet'!$B$12,Paramètres!$A$1:$I$89,3,0)*0.475*44/12</f>
        <v>3.7231655224040616</v>
      </c>
      <c r="CM163" s="21">
        <f>EXP(-LN(2)/2)*CM162+(1-EXP(-LN(2)/2))/(LN(2)/2)*CG163*CJ163*VLOOKUP('Données projet'!$B$12,Paramètres!$A$1:$I$89,3,0)*0.475*44/12</f>
        <v>3.2888622678797873E-11</v>
      </c>
      <c r="CN163" s="22">
        <f t="shared" si="172"/>
        <v>32.895847852578989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75.348000000000326</v>
      </c>
      <c r="D164" s="11">
        <f t="shared" si="140"/>
        <v>20.995810517717125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743.70660750518743</v>
      </c>
      <c r="H164" s="67">
        <f t="shared" si="110"/>
        <v>461.13213665169121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-6.3550942286383367E-14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279.32192402750189</v>
      </c>
      <c r="T164" s="59">
        <f t="shared" si="142"/>
        <v>371.43572414443611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27.776559354055987</v>
      </c>
      <c r="AA164" s="21">
        <f>EXP(-LN(2)/25)*AA163+(1-EXP(-LN(2)/25))/(LN(2)/25)*Calculateur!V164*Calculateur!X164*VLOOKUP('Données projet'!$B$9,Paramètres!$A$1:$I$89,3,0)*0.475*44/12</f>
        <v>3.0486895828013059</v>
      </c>
      <c r="AB164" s="21">
        <f>EXP(-LN(2)/2)*AB163+(1-EXP(-LN(2)/2))/(LN(2)/2)*V164*Y164*VLOOKUP('Données projet'!$B$9,Paramètres!$A$1:$I$89,3,0)*0.475*44/12</f>
        <v>3.7926666256585221E-15</v>
      </c>
      <c r="AC164" s="22">
        <f t="shared" si="163"/>
        <v>30.825248936857296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-7.3896444519050419E-13</v>
      </c>
      <c r="AJ164" s="13">
        <f>AI164*VLOOKUP('Données projet'!$B$10,Paramètres!$A$1:$I$89,3,0)*VLOOKUP('Données projet'!$B$10,Paramètres!$A$1:$I$89,5,0)</f>
        <v>-3.4583536034915594E-13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192.20041613277965</v>
      </c>
      <c r="AO164" s="59">
        <f t="shared" si="144"/>
        <v>132.76245212522417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51.659263657394206</v>
      </c>
      <c r="AV164" s="21">
        <f>EXP(-LN(2)/25)*AV163+(1-EXP(-LN(2)/25))/(LN(2)/25)*Calculateur!AQ164*Calculateur!AS164*VLOOKUP('Données projet'!$B$10,Paramètres!$A$1:$I$89,3,0)*0.475*44/12</f>
        <v>7.7427957439616826</v>
      </c>
      <c r="AW164" s="21">
        <f>EXP(-LN(2)/2)*AW163+(1-EXP(-LN(2)/2))/(LN(2)/2)*AQ164*AT164*VLOOKUP('Données projet'!$B$10,Paramètres!$A$1:$I$89,3,0)*0.475*44/12</f>
        <v>2.0516383517194026E-8</v>
      </c>
      <c r="AX164" s="21">
        <f t="shared" si="166"/>
        <v>59.402059421872266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180.31844548479722</v>
      </c>
      <c r="BJ164" s="59">
        <f t="shared" si="146"/>
        <v>273.83237400307223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11.2721313977286</v>
      </c>
      <c r="BQ164" s="21">
        <f>EXP(-LN(2)/25)*BQ163+(1-EXP(-LN(2)/25))/(LN(2)/25)*Calculateur!BL164*Calculateur!BN164*VLOOKUP('Données projet'!$B$11,Paramètres!$A$1:$I$89,3,0)*0.475*44/12</f>
        <v>8.7912093735757644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20.063340771304365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-3.979039320256561E-13</v>
      </c>
      <c r="BZ164" s="13">
        <f>BY164*VLOOKUP('Données projet'!$B$12,Paramètres!$A$1:$I$89,3,0)*VLOOKUP('Données projet'!$B$12,Paramètres!$A$1:$I$89,5,0)</f>
        <v>-2.379465513513424E-13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214.34615950592251</v>
      </c>
      <c r="CE164" s="59">
        <f t="shared" si="148"/>
        <v>159.66077836853066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28.600623823227203</v>
      </c>
      <c r="CL164" s="21">
        <f>EXP(-LN(2)/25)*CL163+(1-EXP(-LN(2)/25))/(LN(2)/25)*Calculateur!CG164*Calculateur!CI164*VLOOKUP('Données projet'!$B$12,Paramètres!$A$1:$I$89,3,0)*0.475*44/12</f>
        <v>3.6213553654011572</v>
      </c>
      <c r="CM164" s="21">
        <f>EXP(-LN(2)/2)*CM163+(1-EXP(-LN(2)/2))/(LN(2)/2)*CG164*CJ164*VLOOKUP('Données projet'!$B$12,Paramètres!$A$1:$I$89,3,0)*0.475*44/12</f>
        <v>2.3255768120063652E-11</v>
      </c>
      <c r="CN164" s="22">
        <f t="shared" si="172"/>
        <v>32.221979188651616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75.816000000000329</v>
      </c>
      <c r="D165" s="11">
        <f t="shared" si="140"/>
        <v>21.11099814060724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748.20840669942697</v>
      </c>
      <c r="H165" s="67">
        <f t="shared" si="110"/>
        <v>462.1478550948915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-6.3550942286383367E-14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279.32192402750189</v>
      </c>
      <c r="T165" s="59">
        <f t="shared" si="142"/>
        <v>371.43572414443611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27.23187796715127</v>
      </c>
      <c r="AA165" s="21">
        <f>EXP(-LN(2)/25)*AA164+(1-EXP(-LN(2)/25))/(LN(2)/25)*Calculateur!V165*Calculateur!X165*VLOOKUP('Données projet'!$B$9,Paramètres!$A$1:$I$89,3,0)*0.475*44/12</f>
        <v>2.965323005835987</v>
      </c>
      <c r="AB165" s="21">
        <f>EXP(-LN(2)/2)*AB164+(1-EXP(-LN(2)/2))/(LN(2)/2)*V165*Y165*VLOOKUP('Données projet'!$B$9,Paramètres!$A$1:$I$89,3,0)*0.475*44/12</f>
        <v>2.6818202897830422E-15</v>
      </c>
      <c r="AC165" s="22">
        <f t="shared" si="163"/>
        <v>30.197200972987261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-7.3896444519050419E-13</v>
      </c>
      <c r="AJ165" s="13">
        <f>AI165*VLOOKUP('Données projet'!$B$10,Paramètres!$A$1:$I$89,3,0)*VLOOKUP('Données projet'!$B$10,Paramètres!$A$1:$I$89,5,0)</f>
        <v>-3.4583536034915594E-13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192.20041613277965</v>
      </c>
      <c r="AO165" s="59">
        <f t="shared" si="144"/>
        <v>132.76245212522417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50.646257006112279</v>
      </c>
      <c r="AV165" s="21">
        <f>EXP(-LN(2)/25)*AV164+(1-EXP(-LN(2)/25))/(LN(2)/25)*Calculateur!AQ165*Calculateur!AS165*VLOOKUP('Données projet'!$B$10,Paramètres!$A$1:$I$89,3,0)*0.475*44/12</f>
        <v>7.5310685871671188</v>
      </c>
      <c r="AW165" s="21">
        <f>EXP(-LN(2)/2)*AW164+(1-EXP(-LN(2)/2))/(LN(2)/2)*AQ165*AT165*VLOOKUP('Données projet'!$B$10,Paramètres!$A$1:$I$89,3,0)*0.475*44/12</f>
        <v>1.4507273910431806E-8</v>
      </c>
      <c r="AX165" s="21">
        <f t="shared" si="166"/>
        <v>58.177325607786671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180.31844548479722</v>
      </c>
      <c r="BJ165" s="59">
        <f t="shared" si="146"/>
        <v>273.83237400307223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11.051091776340414</v>
      </c>
      <c r="BQ165" s="21">
        <f>EXP(-LN(2)/25)*BQ164+(1-EXP(-LN(2)/25))/(LN(2)/25)*Calculateur!BL165*Calculateur!BN165*VLOOKUP('Données projet'!$B$11,Paramètres!$A$1:$I$89,3,0)*0.475*44/12</f>
        <v>8.550813290945726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19.60190506728614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-3.979039320256561E-13</v>
      </c>
      <c r="BZ165" s="13">
        <f>BY165*VLOOKUP('Données projet'!$B$12,Paramètres!$A$1:$I$89,3,0)*VLOOKUP('Données projet'!$B$12,Paramètres!$A$1:$I$89,5,0)</f>
        <v>-2.379465513513424E-13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214.34615950592251</v>
      </c>
      <c r="CE165" s="59">
        <f t="shared" si="148"/>
        <v>159.66077836853066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28.039783034711732</v>
      </c>
      <c r="CL165" s="21">
        <f>EXP(-LN(2)/25)*CL164+(1-EXP(-LN(2)/25))/(LN(2)/25)*Calculateur!CG165*Calculateur!CI165*VLOOKUP('Données projet'!$B$12,Paramètres!$A$1:$I$89,3,0)*0.475*44/12</f>
        <v>3.5223292124954608</v>
      </c>
      <c r="CM165" s="21">
        <f>EXP(-LN(2)/2)*CM164+(1-EXP(-LN(2)/2))/(LN(2)/2)*CG165*CJ165*VLOOKUP('Données projet'!$B$12,Paramètres!$A$1:$I$89,3,0)*0.475*44/12</f>
        <v>1.6444311339398937E-11</v>
      </c>
      <c r="CN165" s="22">
        <f t="shared" si="172"/>
        <v>31.562112247223638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76.284000000000333</v>
      </c>
      <c r="D166" s="11">
        <f t="shared" si="140"/>
        <v>21.226103028228163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752.70956723544816</v>
      </c>
      <c r="H166" s="67">
        <f t="shared" si="110"/>
        <v>463.16342944083124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-6.3550942286383367E-14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279.32192402750189</v>
      </c>
      <c r="T166" s="59">
        <f t="shared" si="142"/>
        <v>371.43572414443611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26.697877450020911</v>
      </c>
      <c r="AA166" s="21">
        <f>EXP(-LN(2)/25)*AA165+(1-EXP(-LN(2)/25))/(LN(2)/25)*Calculateur!V166*Calculateur!X166*VLOOKUP('Données projet'!$B$9,Paramètres!$A$1:$I$89,3,0)*0.475*44/12</f>
        <v>2.8842360923018422</v>
      </c>
      <c r="AB166" s="21">
        <f>EXP(-LN(2)/2)*AB165+(1-EXP(-LN(2)/2))/(LN(2)/2)*V166*Y166*VLOOKUP('Données projet'!$B$9,Paramètres!$A$1:$I$89,3,0)*0.475*44/12</f>
        <v>1.8963333128292611E-15</v>
      </c>
      <c r="AC166" s="22">
        <f t="shared" si="163"/>
        <v>29.582113542322755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-7.3896444519050419E-13</v>
      </c>
      <c r="AJ166" s="13">
        <f>AI166*VLOOKUP('Données projet'!$B$10,Paramètres!$A$1:$I$89,3,0)*VLOOKUP('Données projet'!$B$10,Paramètres!$A$1:$I$89,5,0)</f>
        <v>-3.4583536034915594E-13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192.20041613277965</v>
      </c>
      <c r="AO166" s="59">
        <f t="shared" si="144"/>
        <v>132.76245212522417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49.653114797388945</v>
      </c>
      <c r="AV166" s="21">
        <f>EXP(-LN(2)/25)*AV165+(1-EXP(-LN(2)/25))/(LN(2)/25)*Calculateur!AQ166*Calculateur!AS166*VLOOKUP('Données projet'!$B$10,Paramètres!$A$1:$I$89,3,0)*0.475*44/12</f>
        <v>7.325131120609349</v>
      </c>
      <c r="AW166" s="21">
        <f>EXP(-LN(2)/2)*AW165+(1-EXP(-LN(2)/2))/(LN(2)/2)*AQ166*AT166*VLOOKUP('Données projet'!$B$10,Paramètres!$A$1:$I$89,3,0)*0.475*44/12</f>
        <v>1.0258191758597013E-8</v>
      </c>
      <c r="AX166" s="21">
        <f t="shared" si="166"/>
        <v>56.978245928256484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180.31844548479722</v>
      </c>
      <c r="BJ166" s="59">
        <f t="shared" si="146"/>
        <v>273.83237400307223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10.834386607106792</v>
      </c>
      <c r="BQ166" s="21">
        <f>EXP(-LN(2)/25)*BQ165+(1-EXP(-LN(2)/25))/(LN(2)/25)*Calculateur!BL166*Calculateur!BN166*VLOOKUP('Données projet'!$B$11,Paramètres!$A$1:$I$89,3,0)*0.475*44/12</f>
        <v>8.3169908518370868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19.151377458943877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-3.979039320256561E-13</v>
      </c>
      <c r="BZ166" s="13">
        <f>BY166*VLOOKUP('Données projet'!$B$12,Paramètres!$A$1:$I$89,3,0)*VLOOKUP('Données projet'!$B$12,Paramètres!$A$1:$I$89,5,0)</f>
        <v>-2.379465513513424E-13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214.34615950592251</v>
      </c>
      <c r="CE166" s="59">
        <f t="shared" si="148"/>
        <v>159.66077836853066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27.489939991979949</v>
      </c>
      <c r="CL166" s="21">
        <f>EXP(-LN(2)/25)*CL165+(1-EXP(-LN(2)/25))/(LN(2)/25)*Calculateur!CG166*Calculateur!CI166*VLOOKUP('Données projet'!$B$12,Paramètres!$A$1:$I$89,3,0)*0.475*44/12</f>
        <v>3.4260109349485295</v>
      </c>
      <c r="CM166" s="21">
        <f>EXP(-LN(2)/2)*CM165+(1-EXP(-LN(2)/2))/(LN(2)/2)*CG166*CJ166*VLOOKUP('Données projet'!$B$12,Paramètres!$A$1:$I$89,3,0)*0.475*44/12</f>
        <v>1.1627884060031826E-11</v>
      </c>
      <c r="CN166" s="22">
        <f t="shared" si="172"/>
        <v>30.915950926940106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76.752000000000336</v>
      </c>
      <c r="D167" s="11">
        <f t="shared" si="140"/>
        <v>21.341125747045204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757.21009348596579</v>
      </c>
      <c r="H167" s="67">
        <f t="shared" si="110"/>
        <v>464.17886067610431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-6.3550942286383367E-14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279.32192402750189</v>
      </c>
      <c r="T167" s="59">
        <f t="shared" si="142"/>
        <v>371.43572414443611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26.174348357323325</v>
      </c>
      <c r="AA167" s="21">
        <f>EXP(-LN(2)/25)*AA166+(1-EXP(-LN(2)/25))/(LN(2)/25)*Calculateur!V167*Calculateur!X167*VLOOKUP('Données projet'!$B$9,Paramètres!$A$1:$I$89,3,0)*0.475*44/12</f>
        <v>2.8053665046824641</v>
      </c>
      <c r="AB167" s="21">
        <f>EXP(-LN(2)/2)*AB166+(1-EXP(-LN(2)/2))/(LN(2)/2)*V167*Y167*VLOOKUP('Données projet'!$B$9,Paramètres!$A$1:$I$89,3,0)*0.475*44/12</f>
        <v>1.3409101448915211E-15</v>
      </c>
      <c r="AC167" s="22">
        <f t="shared" si="163"/>
        <v>28.979714862005789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-7.3896444519050419E-13</v>
      </c>
      <c r="AJ167" s="13">
        <f>AI167*VLOOKUP('Données projet'!$B$10,Paramètres!$A$1:$I$89,3,0)*VLOOKUP('Données projet'!$B$10,Paramètres!$A$1:$I$89,5,0)</f>
        <v>-3.4583536034915594E-13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192.20041613277965</v>
      </c>
      <c r="AO167" s="59">
        <f t="shared" si="144"/>
        <v>132.76245212522417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48.679447501621738</v>
      </c>
      <c r="AV167" s="21">
        <f>EXP(-LN(2)/25)*AV166+(1-EXP(-LN(2)/25))/(LN(2)/25)*Calculateur!AQ167*Calculateur!AS167*VLOOKUP('Données projet'!$B$10,Paramètres!$A$1:$I$89,3,0)*0.475*44/12</f>
        <v>7.124825024904383</v>
      </c>
      <c r="AW167" s="21">
        <f>EXP(-LN(2)/2)*AW166+(1-EXP(-LN(2)/2))/(LN(2)/2)*AQ167*AT167*VLOOKUP('Données projet'!$B$10,Paramètres!$A$1:$I$89,3,0)*0.475*44/12</f>
        <v>7.2536369552159032E-9</v>
      </c>
      <c r="AX167" s="21">
        <f t="shared" si="166"/>
        <v>55.804272533779759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180.31844548479722</v>
      </c>
      <c r="BJ167" s="59">
        <f t="shared" si="146"/>
        <v>273.83237400307223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10.621930894064739</v>
      </c>
      <c r="BQ167" s="21">
        <f>EXP(-LN(2)/25)*BQ166+(1-EXP(-LN(2)/25))/(LN(2)/25)*Calculateur!BL167*Calculateur!BN167*VLOOKUP('Données projet'!$B$11,Paramètres!$A$1:$I$89,3,0)*0.475*44/12</f>
        <v>8.0895622996220613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18.711493193686799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-3.979039320256561E-13</v>
      </c>
      <c r="BZ167" s="13">
        <f>BY167*VLOOKUP('Données projet'!$B$12,Paramètres!$A$1:$I$89,3,0)*VLOOKUP('Données projet'!$B$12,Paramètres!$A$1:$I$89,5,0)</f>
        <v>-2.379465513513424E-13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214.34615950592251</v>
      </c>
      <c r="CE167" s="59">
        <f t="shared" si="148"/>
        <v>159.66077836853066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26.950879035944993</v>
      </c>
      <c r="CL167" s="21">
        <f>EXP(-LN(2)/25)*CL166+(1-EXP(-LN(2)/25))/(LN(2)/25)*Calculateur!CG167*Calculateur!CI167*VLOOKUP('Données projet'!$B$12,Paramètres!$A$1:$I$89,3,0)*0.475*44/12</f>
        <v>3.3323264857662771</v>
      </c>
      <c r="CM167" s="21">
        <f>EXP(-LN(2)/2)*CM166+(1-EXP(-LN(2)/2))/(LN(2)/2)*CG167*CJ167*VLOOKUP('Données projet'!$B$12,Paramètres!$A$1:$I$89,3,0)*0.475*44/12</f>
        <v>8.2221556696994683E-12</v>
      </c>
      <c r="CN167" s="22">
        <f t="shared" si="172"/>
        <v>30.283205521719491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77.22000000000034</v>
      </c>
      <c r="D168" s="11">
        <f t="shared" si="140"/>
        <v>21.456066856215958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761.70998976728379</v>
      </c>
      <c r="H168" s="67">
        <f t="shared" si="110"/>
        <v>465.19414977457666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-6.3550942286383367E-14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279.32192402750189</v>
      </c>
      <c r="T168" s="59">
        <f t="shared" si="142"/>
        <v>371.43572414443611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25.661085350812321</v>
      </c>
      <c r="AA168" s="21">
        <f>EXP(-LN(2)/25)*AA167+(1-EXP(-LN(2)/25))/(LN(2)/25)*Calculateur!V168*Calculateur!X168*VLOOKUP('Données projet'!$B$9,Paramètres!$A$1:$I$89,3,0)*0.475*44/12</f>
        <v>2.7286536100841094</v>
      </c>
      <c r="AB168" s="21">
        <f>EXP(-LN(2)/2)*AB167+(1-EXP(-LN(2)/2))/(LN(2)/2)*V168*Y168*VLOOKUP('Données projet'!$B$9,Paramètres!$A$1:$I$89,3,0)*0.475*44/12</f>
        <v>9.4816665641463053E-16</v>
      </c>
      <c r="AC168" s="22">
        <f t="shared" si="163"/>
        <v>28.38973896089643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-7.3896444519050419E-13</v>
      </c>
      <c r="AJ168" s="13">
        <f>AI168*VLOOKUP('Données projet'!$B$10,Paramètres!$A$1:$I$89,3,0)*VLOOKUP('Données projet'!$B$10,Paramètres!$A$1:$I$89,5,0)</f>
        <v>-3.4583536034915594E-13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192.20041613277965</v>
      </c>
      <c r="AO168" s="59">
        <f t="shared" si="144"/>
        <v>132.76245212522417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47.724873227646114</v>
      </c>
      <c r="AV168" s="21">
        <f>EXP(-LN(2)/25)*AV167+(1-EXP(-LN(2)/25))/(LN(2)/25)*Calculateur!AQ168*Calculateur!AS168*VLOOKUP('Données projet'!$B$10,Paramètres!$A$1:$I$89,3,0)*0.475*44/12</f>
        <v>6.9299963099201083</v>
      </c>
      <c r="AW168" s="21">
        <f>EXP(-LN(2)/2)*AW167+(1-EXP(-LN(2)/2))/(LN(2)/2)*AQ168*AT168*VLOOKUP('Données projet'!$B$10,Paramètres!$A$1:$I$89,3,0)*0.475*44/12</f>
        <v>5.1290958792985064E-9</v>
      </c>
      <c r="AX168" s="21">
        <f t="shared" si="166"/>
        <v>54.654869542695316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180.31844548479722</v>
      </c>
      <c r="BJ168" s="59">
        <f t="shared" si="146"/>
        <v>273.83237400307223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10.413641307970254</v>
      </c>
      <c r="BQ168" s="21">
        <f>EXP(-LN(2)/25)*BQ167+(1-EXP(-LN(2)/25))/(LN(2)/25)*Calculateur!BL168*Calculateur!BN168*VLOOKUP('Données projet'!$B$11,Paramètres!$A$1:$I$89,3,0)*0.475*44/12</f>
        <v>7.8683527931273041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18.28199410109756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-3.979039320256561E-13</v>
      </c>
      <c r="BZ168" s="13">
        <f>BY168*VLOOKUP('Données projet'!$B$12,Paramètres!$A$1:$I$89,3,0)*VLOOKUP('Données projet'!$B$12,Paramètres!$A$1:$I$89,5,0)</f>
        <v>-2.379465513513424E-13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214.34615950592251</v>
      </c>
      <c r="CE168" s="59">
        <f t="shared" si="148"/>
        <v>159.66077836853066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26.422388736463166</v>
      </c>
      <c r="CL168" s="21">
        <f>EXP(-LN(2)/25)*CL167+(1-EXP(-LN(2)/25))/(LN(2)/25)*Calculateur!CG168*Calculateur!CI168*VLOOKUP('Données projet'!$B$12,Paramètres!$A$1:$I$89,3,0)*0.475*44/12</f>
        <v>3.2412038427735643</v>
      </c>
      <c r="CM168" s="21">
        <f>EXP(-LN(2)/2)*CM167+(1-EXP(-LN(2)/2))/(LN(2)/2)*CG168*CJ168*VLOOKUP('Données projet'!$B$12,Paramètres!$A$1:$I$89,3,0)*0.475*44/12</f>
        <v>5.8139420300159131E-12</v>
      </c>
      <c r="CN168" s="22">
        <f t="shared" si="172"/>
        <v>29.663592579242543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77.688000000000343</v>
      </c>
      <c r="D169" s="11">
        <f t="shared" si="140"/>
        <v>21.570926907728293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766.20926034036154</v>
      </c>
      <c r="H169" s="67">
        <f t="shared" si="110"/>
        <v>466.20929769762733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-6.3550942286383367E-14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279.32192402750189</v>
      </c>
      <c r="T169" s="59">
        <f t="shared" si="142"/>
        <v>371.43572414443611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25.157887118799476</v>
      </c>
      <c r="AA169" s="21">
        <f>EXP(-LN(2)/25)*AA168+(1-EXP(-LN(2)/25))/(LN(2)/25)*Calculateur!V169*Calculateur!X169*VLOOKUP('Données projet'!$B$9,Paramètres!$A$1:$I$89,3,0)*0.475*44/12</f>
        <v>2.6540384336227025</v>
      </c>
      <c r="AB169" s="21">
        <f>EXP(-LN(2)/2)*AB168+(1-EXP(-LN(2)/2))/(LN(2)/2)*V169*Y169*VLOOKUP('Données projet'!$B$9,Paramètres!$A$1:$I$89,3,0)*0.475*44/12</f>
        <v>6.7045507244576054E-16</v>
      </c>
      <c r="AC169" s="22">
        <f t="shared" si="163"/>
        <v>27.811925552422178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-7.3896444519050419E-13</v>
      </c>
      <c r="AJ169" s="13">
        <f>AI169*VLOOKUP('Données projet'!$B$10,Paramètres!$A$1:$I$89,3,0)*VLOOKUP('Données projet'!$B$10,Paramètres!$A$1:$I$89,5,0)</f>
        <v>-3.4583536034915594E-13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192.20041613277965</v>
      </c>
      <c r="AO169" s="59">
        <f t="shared" si="144"/>
        <v>132.76245212522417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46.789017572950335</v>
      </c>
      <c r="AV169" s="21">
        <f>EXP(-LN(2)/25)*AV168+(1-EXP(-LN(2)/25))/(LN(2)/25)*Calculateur!AQ169*Calculateur!AS169*VLOOKUP('Données projet'!$B$10,Paramètres!$A$1:$I$89,3,0)*0.475*44/12</f>
        <v>6.7404951963926756</v>
      </c>
      <c r="AW169" s="21">
        <f>EXP(-LN(2)/2)*AW168+(1-EXP(-LN(2)/2))/(LN(2)/2)*AQ169*AT169*VLOOKUP('Données projet'!$B$10,Paramètres!$A$1:$I$89,3,0)*0.475*44/12</f>
        <v>3.6268184776079516E-9</v>
      </c>
      <c r="AX169" s="21">
        <f t="shared" si="166"/>
        <v>53.529512772969831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180.31844548479722</v>
      </c>
      <c r="BJ169" s="59">
        <f t="shared" si="146"/>
        <v>273.83237400307223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10.209436153614977</v>
      </c>
      <c r="BQ169" s="21">
        <f>EXP(-LN(2)/25)*BQ168+(1-EXP(-LN(2)/25))/(LN(2)/25)*Calculateur!BL169*Calculateur!BN169*VLOOKUP('Données projet'!$B$11,Paramètres!$A$1:$I$89,3,0)*0.475*44/12</f>
        <v>7.6531922722205481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17.862628425835524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-3.979039320256561E-13</v>
      </c>
      <c r="BZ169" s="13">
        <f>BY169*VLOOKUP('Données projet'!$B$12,Paramètres!$A$1:$I$89,3,0)*VLOOKUP('Données projet'!$B$12,Paramètres!$A$1:$I$89,5,0)</f>
        <v>-2.379465513513424E-13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214.34615950592251</v>
      </c>
      <c r="CE169" s="59">
        <f t="shared" si="148"/>
        <v>159.66077836853066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25.904261809406922</v>
      </c>
      <c r="CL169" s="21">
        <f>EXP(-LN(2)/25)*CL168+(1-EXP(-LN(2)/25))/(LN(2)/25)*Calculateur!CG169*Calculateur!CI169*VLOOKUP('Données projet'!$B$12,Paramètres!$A$1:$I$89,3,0)*0.475*44/12</f>
        <v>3.1525729532454192</v>
      </c>
      <c r="CM169" s="21">
        <f>EXP(-LN(2)/2)*CM168+(1-EXP(-LN(2)/2))/(LN(2)/2)*CG169*CJ169*VLOOKUP('Données projet'!$B$12,Paramètres!$A$1:$I$89,3,0)*0.475*44/12</f>
        <v>4.1110778348497342E-12</v>
      </c>
      <c r="CN169" s="22">
        <f t="shared" si="172"/>
        <v>29.05683476265645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78.156000000000347</v>
      </c>
      <c r="D170" s="11">
        <f t="shared" si="140"/>
        <v>21.685706446534894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770.70790941185112</v>
      </c>
      <c r="H170" s="67">
        <f t="shared" si="110"/>
        <v>467.22430539438216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-6.3550942286383367E-14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279.32192402750189</v>
      </c>
      <c r="T170" s="59">
        <f t="shared" si="142"/>
        <v>371.43572414443611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24.664556297195787</v>
      </c>
      <c r="AA170" s="21">
        <f>EXP(-LN(2)/25)*AA169+(1-EXP(-LN(2)/25))/(LN(2)/25)*Calculateur!V170*Calculateur!X170*VLOOKUP('Données projet'!$B$9,Paramètres!$A$1:$I$89,3,0)*0.475*44/12</f>
        <v>2.5814636130854742</v>
      </c>
      <c r="AB170" s="21">
        <f>EXP(-LN(2)/2)*AB169+(1-EXP(-LN(2)/2))/(LN(2)/2)*V170*Y170*VLOOKUP('Données projet'!$B$9,Paramètres!$A$1:$I$89,3,0)*0.475*44/12</f>
        <v>4.7408332820731527E-16</v>
      </c>
      <c r="AC170" s="22">
        <f t="shared" si="163"/>
        <v>27.246019910281262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-7.3896444519050419E-13</v>
      </c>
      <c r="AJ170" s="13">
        <f>AI170*VLOOKUP('Données projet'!$B$10,Paramètres!$A$1:$I$89,3,0)*VLOOKUP('Données projet'!$B$10,Paramètres!$A$1:$I$89,5,0)</f>
        <v>-3.4583536034915594E-13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192.20041613277965</v>
      </c>
      <c r="AO170" s="59">
        <f t="shared" si="144"/>
        <v>132.76245212522417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45.871513476827559</v>
      </c>
      <c r="AV170" s="21">
        <f>EXP(-LN(2)/25)*AV169+(1-EXP(-LN(2)/25))/(LN(2)/25)*Calculateur!AQ170*Calculateur!AS170*VLOOKUP('Données projet'!$B$10,Paramètres!$A$1:$I$89,3,0)*0.475*44/12</f>
        <v>6.5561760007800807</v>
      </c>
      <c r="AW170" s="21">
        <f>EXP(-LN(2)/2)*AW169+(1-EXP(-LN(2)/2))/(LN(2)/2)*AQ170*AT170*VLOOKUP('Données projet'!$B$10,Paramètres!$A$1:$I$89,3,0)*0.475*44/12</f>
        <v>2.5645479396492532E-9</v>
      </c>
      <c r="AX170" s="21">
        <f t="shared" si="166"/>
        <v>52.427689480172191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180.31844548479722</v>
      </c>
      <c r="BJ170" s="59">
        <f t="shared" si="146"/>
        <v>273.83237400307223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10.009235337783762</v>
      </c>
      <c r="BQ170" s="21">
        <f>EXP(-LN(2)/25)*BQ169+(1-EXP(-LN(2)/25))/(LN(2)/25)*Calculateur!BL170*Calculateur!BN170*VLOOKUP('Données projet'!$B$11,Paramètres!$A$1:$I$89,3,0)*0.475*44/12</f>
        <v>7.4439153270727871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17.453150664856551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-3.979039320256561E-13</v>
      </c>
      <c r="BZ170" s="13">
        <f>BY170*VLOOKUP('Données projet'!$B$12,Paramètres!$A$1:$I$89,3,0)*VLOOKUP('Données projet'!$B$12,Paramètres!$A$1:$I$89,5,0)</f>
        <v>-2.379465513513424E-13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214.34615950592251</v>
      </c>
      <c r="CE170" s="59">
        <f t="shared" si="148"/>
        <v>159.66077836853066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25.39629503536403</v>
      </c>
      <c r="CL170" s="21">
        <f>EXP(-LN(2)/25)*CL169+(1-EXP(-LN(2)/25))/(LN(2)/25)*Calculateur!CG170*Calculateur!CI170*VLOOKUP('Données projet'!$B$12,Paramètres!$A$1:$I$89,3,0)*0.475*44/12</f>
        <v>3.0663656800523169</v>
      </c>
      <c r="CM170" s="21">
        <f>EXP(-LN(2)/2)*CM169+(1-EXP(-LN(2)/2))/(LN(2)/2)*CG170*CJ170*VLOOKUP('Données projet'!$B$12,Paramètres!$A$1:$I$89,3,0)*0.475*44/12</f>
        <v>2.9069710150079565E-12</v>
      </c>
      <c r="CN170" s="22">
        <f t="shared" si="172"/>
        <v>28.462660715419254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78.62400000000035</v>
      </c>
      <c r="D171" s="11">
        <f t="shared" si="140"/>
        <v>21.800406010684551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775.20594113511152</v>
      </c>
      <c r="H171" s="67">
        <f t="shared" si="110"/>
        <v>468.23917380194285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-6.3550942286383367E-14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279.32192402750189</v>
      </c>
      <c r="T171" s="59">
        <f t="shared" si="142"/>
        <v>371.43572414443611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24.180899392101658</v>
      </c>
      <c r="AA171" s="21">
        <f>EXP(-LN(2)/25)*AA170+(1-EXP(-LN(2)/25))/(LN(2)/25)*Calculateur!V171*Calculateur!X171*VLOOKUP('Données projet'!$B$9,Paramètres!$A$1:$I$89,3,0)*0.475*44/12</f>
        <v>2.5108733548323805</v>
      </c>
      <c r="AB171" s="21">
        <f>EXP(-LN(2)/2)*AB170+(1-EXP(-LN(2)/2))/(LN(2)/2)*V171*Y171*VLOOKUP('Données projet'!$B$9,Paramètres!$A$1:$I$89,3,0)*0.475*44/12</f>
        <v>3.3522753622288027E-16</v>
      </c>
      <c r="AC171" s="22">
        <f t="shared" si="163"/>
        <v>26.691772746934038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-7.3896444519050419E-13</v>
      </c>
      <c r="AJ171" s="13">
        <f>AI171*VLOOKUP('Données projet'!$B$10,Paramètres!$A$1:$I$89,3,0)*VLOOKUP('Données projet'!$B$10,Paramètres!$A$1:$I$89,5,0)</f>
        <v>-3.4583536034915594E-13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192.20041613277965</v>
      </c>
      <c r="AO171" s="59">
        <f t="shared" si="144"/>
        <v>132.76245212522417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44.972001076407508</v>
      </c>
      <c r="AV171" s="21">
        <f>EXP(-LN(2)/25)*AV170+(1-EXP(-LN(2)/25))/(LN(2)/25)*Calculateur!AQ171*Calculateur!AS171*VLOOKUP('Données projet'!$B$10,Paramètres!$A$1:$I$89,3,0)*0.475*44/12</f>
        <v>6.376897023264438</v>
      </c>
      <c r="AW171" s="21">
        <f>EXP(-LN(2)/2)*AW170+(1-EXP(-LN(2)/2))/(LN(2)/2)*AQ171*AT171*VLOOKUP('Données projet'!$B$10,Paramètres!$A$1:$I$89,3,0)*0.475*44/12</f>
        <v>1.8134092388039758E-9</v>
      </c>
      <c r="AX171" s="21">
        <f t="shared" si="166"/>
        <v>51.348898101485361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180.31844548479722</v>
      </c>
      <c r="BJ171" s="59">
        <f t="shared" si="146"/>
        <v>273.83237400307223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9.8129603378405577</v>
      </c>
      <c r="BQ171" s="21">
        <f>EXP(-LN(2)/25)*BQ170+(1-EXP(-LN(2)/25))/(LN(2)/25)*Calculateur!BL171*Calculateur!BN171*VLOOKUP('Données projet'!$B$11,Paramètres!$A$1:$I$89,3,0)*0.475*44/12</f>
        <v>7.2403610709954878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17.053321408836045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-3.979039320256561E-13</v>
      </c>
      <c r="BZ171" s="13">
        <f>BY171*VLOOKUP('Données projet'!$B$12,Paramètres!$A$1:$I$89,3,0)*VLOOKUP('Données projet'!$B$12,Paramètres!$A$1:$I$89,5,0)</f>
        <v>-2.379465513513424E-13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214.34615950592251</v>
      </c>
      <c r="CE171" s="59">
        <f t="shared" si="148"/>
        <v>159.66077836853066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24.89828917993098</v>
      </c>
      <c r="CL171" s="21">
        <f>EXP(-LN(2)/25)*CL170+(1-EXP(-LN(2)/25))/(LN(2)/25)*Calculateur!CG171*Calculateur!CI171*VLOOKUP('Données projet'!$B$12,Paramètres!$A$1:$I$89,3,0)*0.475*44/12</f>
        <v>2.9825157492781234</v>
      </c>
      <c r="CM171" s="21">
        <f>EXP(-LN(2)/2)*CM170+(1-EXP(-LN(2)/2))/(LN(2)/2)*CG171*CJ171*VLOOKUP('Données projet'!$B$12,Paramètres!$A$1:$I$89,3,0)*0.475*44/12</f>
        <v>2.0555389174248671E-12</v>
      </c>
      <c r="CN171" s="22">
        <f t="shared" si="172"/>
        <v>27.880804929211163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79.092000000000354</v>
      </c>
      <c r="D172" s="11">
        <f t="shared" si="140"/>
        <v>21.915026131450077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779.70335961119633</v>
      </c>
      <c r="H172" s="67">
        <f t="shared" si="110"/>
        <v>469.25390384560944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-6.3550942286383367E-14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279.32192402750189</v>
      </c>
      <c r="T172" s="59">
        <f t="shared" si="142"/>
        <v>371.43572414443611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23.706726703914843</v>
      </c>
      <c r="AA172" s="21">
        <f>EXP(-LN(2)/25)*AA171+(1-EXP(-LN(2)/25))/(LN(2)/25)*Calculateur!V172*Calculateur!X172*VLOOKUP('Données projet'!$B$9,Paramètres!$A$1:$I$89,3,0)*0.475*44/12</f>
        <v>2.4422133909033978</v>
      </c>
      <c r="AB172" s="21">
        <f>EXP(-LN(2)/2)*AB171+(1-EXP(-LN(2)/2))/(LN(2)/2)*V172*Y172*VLOOKUP('Données projet'!$B$9,Paramètres!$A$1:$I$89,3,0)*0.475*44/12</f>
        <v>2.3704166410365763E-16</v>
      </c>
      <c r="AC172" s="22">
        <f t="shared" si="163"/>
        <v>26.14894009481824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-7.3896444519050419E-13</v>
      </c>
      <c r="AJ172" s="13">
        <f>AI172*VLOOKUP('Données projet'!$B$10,Paramètres!$A$1:$I$89,3,0)*VLOOKUP('Données projet'!$B$10,Paramètres!$A$1:$I$89,5,0)</f>
        <v>-3.4583536034915594E-13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192.20041613277965</v>
      </c>
      <c r="AO172" s="59">
        <f t="shared" si="144"/>
        <v>132.76245212522417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44.090127565511303</v>
      </c>
      <c r="AV172" s="21">
        <f>EXP(-LN(2)/25)*AV171+(1-EXP(-LN(2)/25))/(LN(2)/25)*Calculateur!AQ172*Calculateur!AS172*VLOOKUP('Données projet'!$B$10,Paramètres!$A$1:$I$89,3,0)*0.475*44/12</f>
        <v>6.2025204388168325</v>
      </c>
      <c r="AW172" s="21">
        <f>EXP(-LN(2)/2)*AW171+(1-EXP(-LN(2)/2))/(LN(2)/2)*AQ172*AT172*VLOOKUP('Données projet'!$B$10,Paramètres!$A$1:$I$89,3,0)*0.475*44/12</f>
        <v>1.2822739698246266E-9</v>
      </c>
      <c r="AX172" s="21">
        <f t="shared" si="166"/>
        <v>50.29264800561041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180.31844548479722</v>
      </c>
      <c r="BJ172" s="59">
        <f t="shared" si="146"/>
        <v>273.83237400307223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9.6205341709303092</v>
      </c>
      <c r="BQ172" s="21">
        <f>EXP(-LN(2)/25)*BQ171+(1-EXP(-LN(2)/25))/(LN(2)/25)*Calculateur!BL172*Calculateur!BN172*VLOOKUP('Données projet'!$B$11,Paramètres!$A$1:$I$89,3,0)*0.475*44/12</f>
        <v>7.0423730167550751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16.662907187685384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-3.979039320256561E-13</v>
      </c>
      <c r="BZ172" s="13">
        <f>BY172*VLOOKUP('Données projet'!$B$12,Paramètres!$A$1:$I$89,3,0)*VLOOKUP('Données projet'!$B$12,Paramètres!$A$1:$I$89,5,0)</f>
        <v>-2.379465513513424E-13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214.34615950592251</v>
      </c>
      <c r="CE172" s="59">
        <f t="shared" si="148"/>
        <v>159.66077836853066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24.410048915569394</v>
      </c>
      <c r="CL172" s="21">
        <f>EXP(-LN(2)/25)*CL171+(1-EXP(-LN(2)/25))/(LN(2)/25)*Calculateur!CG172*Calculateur!CI172*VLOOKUP('Données projet'!$B$12,Paramètres!$A$1:$I$89,3,0)*0.475*44/12</f>
        <v>2.9009586992704266</v>
      </c>
      <c r="CM172" s="21">
        <f>EXP(-LN(2)/2)*CM171+(1-EXP(-LN(2)/2))/(LN(2)/2)*CG172*CJ172*VLOOKUP('Données projet'!$B$12,Paramètres!$A$1:$I$89,3,0)*0.475*44/12</f>
        <v>1.4534855075039783E-12</v>
      </c>
      <c r="CN172" s="22">
        <f t="shared" si="172"/>
        <v>27.311007614841273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79.560000000000358</v>
      </c>
      <c r="D173" s="11">
        <f t="shared" si="140"/>
        <v>22.0295673334534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784.20016888981854</v>
      </c>
      <c r="H173" s="67">
        <f t="shared" si="110"/>
        <v>470.26849643909861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-6.3550942286383367E-14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279.32192402750189</v>
      </c>
      <c r="T173" s="59">
        <f t="shared" si="142"/>
        <v>371.43572414443611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23.241852252926588</v>
      </c>
      <c r="AA173" s="21">
        <f>EXP(-LN(2)/25)*AA172+(1-EXP(-LN(2)/25))/(LN(2)/25)*Calculateur!V173*Calculateur!X173*VLOOKUP('Données projet'!$B$9,Paramètres!$A$1:$I$89,3,0)*0.475*44/12</f>
        <v>2.3754309372987241</v>
      </c>
      <c r="AB173" s="21">
        <f>EXP(-LN(2)/2)*AB172+(1-EXP(-LN(2)/2))/(LN(2)/2)*V173*Y173*VLOOKUP('Données projet'!$B$9,Paramètres!$A$1:$I$89,3,0)*0.475*44/12</f>
        <v>1.6761376811144013E-16</v>
      </c>
      <c r="AC173" s="22">
        <f t="shared" si="163"/>
        <v>25.617283190225312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-7.3896444519050419E-13</v>
      </c>
      <c r="AJ173" s="13">
        <f>AI173*VLOOKUP('Données projet'!$B$10,Paramètres!$A$1:$I$89,3,0)*VLOOKUP('Données projet'!$B$10,Paramètres!$A$1:$I$89,5,0)</f>
        <v>-3.4583536034915594E-13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192.20041613277965</v>
      </c>
      <c r="AO173" s="59">
        <f t="shared" si="144"/>
        <v>132.76245212522417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43.225547056274046</v>
      </c>
      <c r="AV173" s="21">
        <f>EXP(-LN(2)/25)*AV172+(1-EXP(-LN(2)/25))/(LN(2)/25)*Calculateur!AQ173*Calculateur!AS173*VLOOKUP('Données projet'!$B$10,Paramètres!$A$1:$I$89,3,0)*0.475*44/12</f>
        <v>6.032912191241012</v>
      </c>
      <c r="AW173" s="21">
        <f>EXP(-LN(2)/2)*AW172+(1-EXP(-LN(2)/2))/(LN(2)/2)*AQ173*AT173*VLOOKUP('Données projet'!$B$10,Paramètres!$A$1:$I$89,3,0)*0.475*44/12</f>
        <v>9.067046194019879E-10</v>
      </c>
      <c r="AX173" s="21">
        <f t="shared" si="166"/>
        <v>49.258459248421758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180.31844548479722</v>
      </c>
      <c r="BJ173" s="59">
        <f t="shared" si="146"/>
        <v>273.83237400307223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9.4318813637847985</v>
      </c>
      <c r="BQ173" s="21">
        <f>EXP(-LN(2)/25)*BQ172+(1-EXP(-LN(2)/25))/(LN(2)/25)*Calculateur!BL173*Calculateur!BN173*VLOOKUP('Données projet'!$B$11,Paramètres!$A$1:$I$89,3,0)*0.475*44/12</f>
        <v>6.8497989562696064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16.281680320054406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-3.979039320256561E-13</v>
      </c>
      <c r="BZ173" s="13">
        <f>BY173*VLOOKUP('Données projet'!$B$12,Paramètres!$A$1:$I$89,3,0)*VLOOKUP('Données projet'!$B$12,Paramètres!$A$1:$I$89,5,0)</f>
        <v>-2.379465513513424E-13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214.34615950592251</v>
      </c>
      <c r="CE173" s="59">
        <f t="shared" si="148"/>
        <v>159.66077836853066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23.931382744994785</v>
      </c>
      <c r="CL173" s="21">
        <f>EXP(-LN(2)/25)*CL172+(1-EXP(-LN(2)/25))/(LN(2)/25)*Calculateur!CG173*Calculateur!CI173*VLOOKUP('Données projet'!$B$12,Paramètres!$A$1:$I$89,3,0)*0.475*44/12</f>
        <v>2.8216318310840891</v>
      </c>
      <c r="CM173" s="21">
        <f>EXP(-LN(2)/2)*CM172+(1-EXP(-LN(2)/2))/(LN(2)/2)*CG173*CJ173*VLOOKUP('Données projet'!$B$12,Paramètres!$A$1:$I$89,3,0)*0.475*44/12</f>
        <v>1.0277694587124335E-12</v>
      </c>
      <c r="CN173" s="22">
        <f t="shared" si="172"/>
        <v>26.753014576079902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80.028000000000361</v>
      </c>
      <c r="D174" s="11">
        <f t="shared" si="140"/>
        <v>22.144030134787236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788.69637297029021</v>
      </c>
      <c r="H174" s="67">
        <f t="shared" si="110"/>
        <v>471.28295248475501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-6.3550942286383367E-14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279.32192402750189</v>
      </c>
      <c r="T174" s="59">
        <f t="shared" si="142"/>
        <v>371.43572414443611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22.786093706376796</v>
      </c>
      <c r="AA174" s="21">
        <f>EXP(-LN(2)/25)*AA173+(1-EXP(-LN(2)/25))/(LN(2)/25)*Calculateur!V174*Calculateur!X174*VLOOKUP('Données projet'!$B$9,Paramètres!$A$1:$I$89,3,0)*0.475*44/12</f>
        <v>2.3104746533998068</v>
      </c>
      <c r="AB174" s="21">
        <f>EXP(-LN(2)/2)*AB173+(1-EXP(-LN(2)/2))/(LN(2)/2)*V174*Y174*VLOOKUP('Données projet'!$B$9,Paramètres!$A$1:$I$89,3,0)*0.475*44/12</f>
        <v>1.1852083205182882E-16</v>
      </c>
      <c r="AC174" s="22">
        <f t="shared" si="163"/>
        <v>25.096568359776604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-7.3896444519050419E-13</v>
      </c>
      <c r="AJ174" s="13">
        <f>AI174*VLOOKUP('Données projet'!$B$10,Paramètres!$A$1:$I$89,3,0)*VLOOKUP('Données projet'!$B$10,Paramètres!$A$1:$I$89,5,0)</f>
        <v>-3.4583536034915594E-13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192.20041613277965</v>
      </c>
      <c r="AO174" s="59">
        <f t="shared" si="144"/>
        <v>132.76245212522417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42.377920443480889</v>
      </c>
      <c r="AV174" s="21">
        <f>EXP(-LN(2)/25)*AV173+(1-EXP(-LN(2)/25))/(LN(2)/25)*Calculateur!AQ174*Calculateur!AS174*VLOOKUP('Données projet'!$B$10,Paramètres!$A$1:$I$89,3,0)*0.475*44/12</f>
        <v>5.8679418901144631</v>
      </c>
      <c r="AW174" s="21">
        <f>EXP(-LN(2)/2)*AW173+(1-EXP(-LN(2)/2))/(LN(2)/2)*AQ174*AT174*VLOOKUP('Données projet'!$B$10,Paramètres!$A$1:$I$89,3,0)*0.475*44/12</f>
        <v>6.411369849123133E-10</v>
      </c>
      <c r="AX174" s="21">
        <f t="shared" si="166"/>
        <v>48.245862334236492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180.31844548479722</v>
      </c>
      <c r="BJ174" s="59">
        <f t="shared" si="146"/>
        <v>273.83237400307223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9.2469279231205608</v>
      </c>
      <c r="BQ174" s="21">
        <f>EXP(-LN(2)/25)*BQ173+(1-EXP(-LN(2)/25))/(LN(2)/25)*Calculateur!BL174*Calculateur!BN174*VLOOKUP('Données projet'!$B$11,Paramètres!$A$1:$I$89,3,0)*0.475*44/12</f>
        <v>6.6624908435951422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15.909418766715703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-3.979039320256561E-13</v>
      </c>
      <c r="BZ174" s="13">
        <f>BY174*VLOOKUP('Données projet'!$B$12,Paramètres!$A$1:$I$89,3,0)*VLOOKUP('Données projet'!$B$12,Paramètres!$A$1:$I$89,5,0)</f>
        <v>-2.379465513513424E-13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214.34615950592251</v>
      </c>
      <c r="CE174" s="59">
        <f t="shared" si="148"/>
        <v>159.66077836853066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23.462102926067608</v>
      </c>
      <c r="CL174" s="21">
        <f>EXP(-LN(2)/25)*CL173+(1-EXP(-LN(2)/25))/(LN(2)/25)*Calculateur!CG174*Calculateur!CI174*VLOOKUP('Données projet'!$B$12,Paramètres!$A$1:$I$89,3,0)*0.475*44/12</f>
        <v>2.7444741602799256</v>
      </c>
      <c r="CM174" s="21">
        <f>EXP(-LN(2)/2)*CM173+(1-EXP(-LN(2)/2))/(LN(2)/2)*CG174*CJ174*VLOOKUP('Données projet'!$B$12,Paramètres!$A$1:$I$89,3,0)*0.475*44/12</f>
        <v>7.2674275375198914E-13</v>
      </c>
      <c r="CN174" s="22">
        <f t="shared" si="172"/>
        <v>26.206577086348261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80.496000000000365</v>
      </c>
      <c r="D175" s="11">
        <f t="shared" si="140"/>
        <v>22.258415047134207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793.19197580244236</v>
      </c>
      <c r="H175" s="67">
        <f t="shared" si="110"/>
        <v>472.29727287375937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-6.3550942286383367E-14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279.32192402750189</v>
      </c>
      <c r="T175" s="59">
        <f t="shared" si="142"/>
        <v>371.43572414443611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22.339272306939581</v>
      </c>
      <c r="AA175" s="21">
        <f>EXP(-LN(2)/25)*AA174+(1-EXP(-LN(2)/25))/(LN(2)/25)*Calculateur!V175*Calculateur!X175*VLOOKUP('Données projet'!$B$9,Paramètres!$A$1:$I$89,3,0)*0.475*44/12</f>
        <v>2.2472946025000078</v>
      </c>
      <c r="AB175" s="21">
        <f>EXP(-LN(2)/2)*AB174+(1-EXP(-LN(2)/2))/(LN(2)/2)*V175*Y175*VLOOKUP('Données projet'!$B$9,Paramètres!$A$1:$I$89,3,0)*0.475*44/12</f>
        <v>8.3806884055720067E-17</v>
      </c>
      <c r="AC175" s="22">
        <f t="shared" si="163"/>
        <v>24.58656690943959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-7.3896444519050419E-13</v>
      </c>
      <c r="AJ175" s="13">
        <f>AI175*VLOOKUP('Données projet'!$B$10,Paramètres!$A$1:$I$89,3,0)*VLOOKUP('Données projet'!$B$10,Paramètres!$A$1:$I$89,5,0)</f>
        <v>-3.4583536034915594E-13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192.20041613277965</v>
      </c>
      <c r="AO175" s="59">
        <f t="shared" si="144"/>
        <v>132.76245212522417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41.546915271563421</v>
      </c>
      <c r="AV175" s="21">
        <f>EXP(-LN(2)/25)*AV174+(1-EXP(-LN(2)/25))/(LN(2)/25)*Calculateur!AQ175*Calculateur!AS175*VLOOKUP('Données projet'!$B$10,Paramètres!$A$1:$I$89,3,0)*0.475*44/12</f>
        <v>5.7074827105476302</v>
      </c>
      <c r="AW175" s="21">
        <f>EXP(-LN(2)/2)*AW174+(1-EXP(-LN(2)/2))/(LN(2)/2)*AQ175*AT175*VLOOKUP('Données projet'!$B$10,Paramètres!$A$1:$I$89,3,0)*0.475*44/12</f>
        <v>4.5335230970099395E-10</v>
      </c>
      <c r="AX175" s="21">
        <f t="shared" si="166"/>
        <v>47.254397982564406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180.31844548479722</v>
      </c>
      <c r="BJ175" s="59">
        <f t="shared" si="146"/>
        <v>273.83237400307223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9.0656013066172889</v>
      </c>
      <c r="BQ175" s="21">
        <f>EXP(-LN(2)/25)*BQ174+(1-EXP(-LN(2)/25))/(LN(2)/25)*Calculateur!BL175*Calculateur!BN175*VLOOKUP('Données projet'!$B$11,Paramètres!$A$1:$I$89,3,0)*0.475*44/12</f>
        <v>6.4803046811118667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15.545905987729157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-3.979039320256561E-13</v>
      </c>
      <c r="BZ175" s="13">
        <f>BY175*VLOOKUP('Données projet'!$B$12,Paramètres!$A$1:$I$89,3,0)*VLOOKUP('Données projet'!$B$12,Paramètres!$A$1:$I$89,5,0)</f>
        <v>-2.379465513513424E-13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214.34615950592251</v>
      </c>
      <c r="CE175" s="59">
        <f t="shared" si="148"/>
        <v>159.66077836853066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23.002025398157166</v>
      </c>
      <c r="CL175" s="21">
        <f>EXP(-LN(2)/25)*CL174+(1-EXP(-LN(2)/25))/(LN(2)/25)*Calculateur!CG175*Calculateur!CI175*VLOOKUP('Données projet'!$B$12,Paramètres!$A$1:$I$89,3,0)*0.475*44/12</f>
        <v>2.6694263700414473</v>
      </c>
      <c r="CM175" s="21">
        <f>EXP(-LN(2)/2)*CM174+(1-EXP(-LN(2)/2))/(LN(2)/2)*CG175*CJ175*VLOOKUP('Données projet'!$B$12,Paramètres!$A$1:$I$89,3,0)*0.475*44/12</f>
        <v>5.1388472935621677E-13</v>
      </c>
      <c r="CN175" s="22">
        <f t="shared" si="172"/>
        <v>25.671451768199127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80.964000000000368</v>
      </c>
      <c r="D176" s="11">
        <f t="shared" si="140"/>
        <v>22.372722575882829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797.68698128751942</v>
      </c>
      <c r="H176" s="67">
        <f t="shared" si="110"/>
        <v>473.31145848632991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-6.3550942286383367E-14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279.32192402750189</v>
      </c>
      <c r="T176" s="59">
        <f t="shared" si="142"/>
        <v>371.43572414443611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21.901212802611184</v>
      </c>
      <c r="AA176" s="21">
        <f>EXP(-LN(2)/25)*AA175+(1-EXP(-LN(2)/25))/(LN(2)/25)*Calculateur!V176*Calculateur!X176*VLOOKUP('Données projet'!$B$9,Paramètres!$A$1:$I$89,3,0)*0.475*44/12</f>
        <v>2.1858422134145581</v>
      </c>
      <c r="AB176" s="21">
        <f>EXP(-LN(2)/2)*AB175+(1-EXP(-LN(2)/2))/(LN(2)/2)*V176*Y176*VLOOKUP('Données projet'!$B$9,Paramètres!$A$1:$I$89,3,0)*0.475*44/12</f>
        <v>5.9260416025914408E-17</v>
      </c>
      <c r="AC176" s="22">
        <f t="shared" si="163"/>
        <v>24.087055016025744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-7.3896444519050419E-13</v>
      </c>
      <c r="AJ176" s="13">
        <f>AI176*VLOOKUP('Données projet'!$B$10,Paramètres!$A$1:$I$89,3,0)*VLOOKUP('Données projet'!$B$10,Paramètres!$A$1:$I$89,5,0)</f>
        <v>-3.4583536034915594E-13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192.20041613277965</v>
      </c>
      <c r="AO176" s="59">
        <f t="shared" si="144"/>
        <v>132.76245212522417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40.732205604204154</v>
      </c>
      <c r="AV176" s="21">
        <f>EXP(-LN(2)/25)*AV175+(1-EXP(-LN(2)/25))/(LN(2)/25)*Calculateur!AQ176*Calculateur!AS176*VLOOKUP('Données projet'!$B$10,Paramètres!$A$1:$I$89,3,0)*0.475*44/12</f>
        <v>5.5514112956842343</v>
      </c>
      <c r="AW176" s="21">
        <f>EXP(-LN(2)/2)*AW175+(1-EXP(-LN(2)/2))/(LN(2)/2)*AQ176*AT176*VLOOKUP('Données projet'!$B$10,Paramètres!$A$1:$I$89,3,0)*0.475*44/12</f>
        <v>3.2056849245615665E-10</v>
      </c>
      <c r="AX176" s="21">
        <f t="shared" si="166"/>
        <v>46.283616900208955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180.31844548479722</v>
      </c>
      <c r="BJ176" s="59">
        <f t="shared" si="146"/>
        <v>273.83237400307223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8.8878303944653307</v>
      </c>
      <c r="BQ176" s="21">
        <f>EXP(-LN(2)/25)*BQ175+(1-EXP(-LN(2)/25))/(LN(2)/25)*Calculateur!BL176*Calculateur!BN176*VLOOKUP('Données projet'!$B$11,Paramètres!$A$1:$I$89,3,0)*0.475*44/12</f>
        <v>6.3031004088224503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15.190930803287781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-3.979039320256561E-13</v>
      </c>
      <c r="BZ176" s="13">
        <f>BY176*VLOOKUP('Données projet'!$B$12,Paramètres!$A$1:$I$89,3,0)*VLOOKUP('Données projet'!$B$12,Paramètres!$A$1:$I$89,5,0)</f>
        <v>-2.379465513513424E-13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214.34615950592251</v>
      </c>
      <c r="CE176" s="59">
        <f t="shared" si="148"/>
        <v>159.66077836853066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22.550969709949463</v>
      </c>
      <c r="CL176" s="21">
        <f>EXP(-LN(2)/25)*CL175+(1-EXP(-LN(2)/25))/(LN(2)/25)*Calculateur!CG176*Calculateur!CI176*VLOOKUP('Données projet'!$B$12,Paramètres!$A$1:$I$89,3,0)*0.475*44/12</f>
        <v>2.5964307655736323</v>
      </c>
      <c r="CM176" s="21">
        <f>EXP(-LN(2)/2)*CM175+(1-EXP(-LN(2)/2))/(LN(2)/2)*CG176*CJ176*VLOOKUP('Données projet'!$B$12,Paramètres!$A$1:$I$89,3,0)*0.475*44/12</f>
        <v>3.6337137687599457E-13</v>
      </c>
      <c r="CN176" s="22">
        <f t="shared" si="172"/>
        <v>25.147400475523458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81.432000000000372</v>
      </c>
      <c r="D177" s="11">
        <f t="shared" si="140"/>
        <v>22.486953220240959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802.18139327905601</v>
      </c>
      <c r="H177" s="67">
        <f t="shared" si="110"/>
        <v>474.32551019192033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-6.3550942286383367E-14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279.32192402750189</v>
      </c>
      <c r="T177" s="59">
        <f t="shared" si="142"/>
        <v>371.43572414443611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21.471743377972754</v>
      </c>
      <c r="AA177" s="21">
        <f>EXP(-LN(2)/25)*AA176+(1-EXP(-LN(2)/25))/(LN(2)/25)*Calculateur!V177*Calculateur!X177*VLOOKUP('Données projet'!$B$9,Paramètres!$A$1:$I$89,3,0)*0.475*44/12</f>
        <v>2.1260702431402909</v>
      </c>
      <c r="AB177" s="21">
        <f>EXP(-LN(2)/2)*AB176+(1-EXP(-LN(2)/2))/(LN(2)/2)*V177*Y177*VLOOKUP('Données projet'!$B$9,Paramètres!$A$1:$I$89,3,0)*0.475*44/12</f>
        <v>4.1903442027860034E-17</v>
      </c>
      <c r="AC177" s="22">
        <f t="shared" si="163"/>
        <v>23.597813621113044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-7.3896444519050419E-13</v>
      </c>
      <c r="AJ177" s="13">
        <f>AI177*VLOOKUP('Données projet'!$B$10,Paramètres!$A$1:$I$89,3,0)*VLOOKUP('Données projet'!$B$10,Paramètres!$A$1:$I$89,5,0)</f>
        <v>-3.4583536034915594E-13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192.20041613277965</v>
      </c>
      <c r="AO177" s="59">
        <f t="shared" si="144"/>
        <v>132.76245212522417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39.93347189649797</v>
      </c>
      <c r="AV177" s="21">
        <f>EXP(-LN(2)/25)*AV176+(1-EXP(-LN(2)/25))/(LN(2)/25)*Calculateur!AQ177*Calculateur!AS177*VLOOKUP('Données projet'!$B$10,Paramètres!$A$1:$I$89,3,0)*0.475*44/12</f>
        <v>5.3996076618677167</v>
      </c>
      <c r="AW177" s="21">
        <f>EXP(-LN(2)/2)*AW176+(1-EXP(-LN(2)/2))/(LN(2)/2)*AQ177*AT177*VLOOKUP('Données projet'!$B$10,Paramètres!$A$1:$I$89,3,0)*0.475*44/12</f>
        <v>2.2667615485049698E-10</v>
      </c>
      <c r="AX177" s="21">
        <f t="shared" si="166"/>
        <v>45.333079558592367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180.31844548479722</v>
      </c>
      <c r="BJ177" s="59">
        <f t="shared" si="146"/>
        <v>273.83237400307223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8.7135454614711225</v>
      </c>
      <c r="BQ177" s="21">
        <f>EXP(-LN(2)/25)*BQ176+(1-EXP(-LN(2)/25))/(LN(2)/25)*Calculateur!BL177*Calculateur!BN177*VLOOKUP('Données projet'!$B$11,Paramètres!$A$1:$I$89,3,0)*0.475*44/12</f>
        <v>6.1307417966775555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14.844287258148679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-3.979039320256561E-13</v>
      </c>
      <c r="BZ177" s="13">
        <f>BY177*VLOOKUP('Données projet'!$B$12,Paramètres!$A$1:$I$89,3,0)*VLOOKUP('Données projet'!$B$12,Paramètres!$A$1:$I$89,5,0)</f>
        <v>-2.379465513513424E-13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214.34615950592251</v>
      </c>
      <c r="CE177" s="59">
        <f t="shared" si="148"/>
        <v>159.66077836853066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22.108758948670712</v>
      </c>
      <c r="CL177" s="21">
        <f>EXP(-LN(2)/25)*CL176+(1-EXP(-LN(2)/25))/(LN(2)/25)*Calculateur!CG177*Calculateur!CI177*VLOOKUP('Données projet'!$B$12,Paramètres!$A$1:$I$89,3,0)*0.475*44/12</f>
        <v>2.5254312297486616</v>
      </c>
      <c r="CM177" s="21">
        <f>EXP(-LN(2)/2)*CM176+(1-EXP(-LN(2)/2))/(LN(2)/2)*CG177*CJ177*VLOOKUP('Données projet'!$B$12,Paramètres!$A$1:$I$89,3,0)*0.475*44/12</f>
        <v>2.5694236467810839E-13</v>
      </c>
      <c r="CN177" s="22">
        <f t="shared" si="172"/>
        <v>24.63419017841963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81.900000000000375</v>
      </c>
      <c r="D178" s="11">
        <f t="shared" si="140"/>
        <v>22.601107473346421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806.67521558372971</v>
      </c>
      <c r="H178" s="67">
        <f t="shared" si="110"/>
        <v>475.33942884941229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-6.3550942286383367E-14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279.32192402750189</v>
      </c>
      <c r="T178" s="59">
        <f t="shared" si="142"/>
        <v>371.43572414443611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21.050695586800998</v>
      </c>
      <c r="AA178" s="21">
        <f>EXP(-LN(2)/25)*AA177+(1-EXP(-LN(2)/25))/(LN(2)/25)*Calculateur!V178*Calculateur!X178*VLOOKUP('Données projet'!$B$9,Paramètres!$A$1:$I$89,3,0)*0.475*44/12</f>
        <v>2.0679327405364449</v>
      </c>
      <c r="AB178" s="21">
        <f>EXP(-LN(2)/2)*AB177+(1-EXP(-LN(2)/2))/(LN(2)/2)*V178*Y178*VLOOKUP('Données projet'!$B$9,Paramètres!$A$1:$I$89,3,0)*0.475*44/12</f>
        <v>2.9630208012957204E-17</v>
      </c>
      <c r="AC178" s="22">
        <f t="shared" si="163"/>
        <v>23.118628327337444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-7.3896444519050419E-13</v>
      </c>
      <c r="AJ178" s="13">
        <f>AI178*VLOOKUP('Données projet'!$B$10,Paramètres!$A$1:$I$89,3,0)*VLOOKUP('Données projet'!$B$10,Paramètres!$A$1:$I$89,5,0)</f>
        <v>-3.4583536034915594E-13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192.20041613277965</v>
      </c>
      <c r="AO178" s="59">
        <f t="shared" si="144"/>
        <v>132.76245212522417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39.150400869620448</v>
      </c>
      <c r="AV178" s="21">
        <f>EXP(-LN(2)/25)*AV177+(1-EXP(-LN(2)/25))/(LN(2)/25)*Calculateur!AQ178*Calculateur!AS178*VLOOKUP('Données projet'!$B$10,Paramètres!$A$1:$I$89,3,0)*0.475*44/12</f>
        <v>5.251955106400918</v>
      </c>
      <c r="AW178" s="21">
        <f>EXP(-LN(2)/2)*AW177+(1-EXP(-LN(2)/2))/(LN(2)/2)*AQ178*AT178*VLOOKUP('Données projet'!$B$10,Paramètres!$A$1:$I$89,3,0)*0.475*44/12</f>
        <v>1.6028424622807833E-10</v>
      </c>
      <c r="AX178" s="21">
        <f t="shared" si="166"/>
        <v>44.402355976181653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180.31844548479722</v>
      </c>
      <c r="BJ178" s="59">
        <f t="shared" si="146"/>
        <v>273.83237400307223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8.5426781497096194</v>
      </c>
      <c r="BQ178" s="21">
        <f>EXP(-LN(2)/25)*BQ177+(1-EXP(-LN(2)/25))/(LN(2)/25)*Calculateur!BL178*Calculateur!BN178*VLOOKUP('Données projet'!$B$11,Paramètres!$A$1:$I$89,3,0)*0.475*44/12</f>
        <v>5.9630963398457082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14.505774489555328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-3.979039320256561E-13</v>
      </c>
      <c r="BZ178" s="13">
        <f>BY178*VLOOKUP('Données projet'!$B$12,Paramètres!$A$1:$I$89,3,0)*VLOOKUP('Données projet'!$B$12,Paramètres!$A$1:$I$89,5,0)</f>
        <v>-2.379465513513424E-13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214.34615950592251</v>
      </c>
      <c r="CE178" s="59">
        <f t="shared" si="148"/>
        <v>159.66077836853066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21.675219670698702</v>
      </c>
      <c r="CL178" s="21">
        <f>EXP(-LN(2)/25)*CL177+(1-EXP(-LN(2)/25))/(LN(2)/25)*Calculateur!CG178*Calculateur!CI178*VLOOKUP('Données projet'!$B$12,Paramètres!$A$1:$I$89,3,0)*0.475*44/12</f>
        <v>2.4563731799645279</v>
      </c>
      <c r="CM178" s="21">
        <f>EXP(-LN(2)/2)*CM177+(1-EXP(-LN(2)/2))/(LN(2)/2)*CG178*CJ178*VLOOKUP('Données projet'!$B$12,Paramètres!$A$1:$I$89,3,0)*0.475*44/12</f>
        <v>1.8168568843799728E-13</v>
      </c>
      <c r="CN178" s="22">
        <f t="shared" si="172"/>
        <v>24.131592850663413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82.368000000000379</v>
      </c>
      <c r="D179" s="11">
        <f t="shared" si="140"/>
        <v>22.715185822375016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811.16845196219617</v>
      </c>
      <c r="H179" s="67">
        <f t="shared" si="110"/>
        <v>476.3532153073038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-6.3550942286383367E-14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279.32192402750189</v>
      </c>
      <c r="T179" s="59">
        <f t="shared" si="142"/>
        <v>371.43572414443611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20.637904286000328</v>
      </c>
      <c r="AA179" s="21">
        <f>EXP(-LN(2)/25)*AA178+(1-EXP(-LN(2)/25))/(LN(2)/25)*Calculateur!V179*Calculateur!X179*VLOOKUP('Données projet'!$B$9,Paramètres!$A$1:$I$89,3,0)*0.475*44/12</f>
        <v>2.0113850109986195</v>
      </c>
      <c r="AB179" s="21">
        <f>EXP(-LN(2)/2)*AB178+(1-EXP(-LN(2)/2))/(LN(2)/2)*V179*Y179*VLOOKUP('Données projet'!$B$9,Paramètres!$A$1:$I$89,3,0)*0.475*44/12</f>
        <v>2.0951721013930017E-17</v>
      </c>
      <c r="AC179" s="22">
        <f t="shared" si="163"/>
        <v>22.649289296998948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-7.3896444519050419E-13</v>
      </c>
      <c r="AJ179" s="13">
        <f>AI179*VLOOKUP('Données projet'!$B$10,Paramètres!$A$1:$I$89,3,0)*VLOOKUP('Données projet'!$B$10,Paramètres!$A$1:$I$89,5,0)</f>
        <v>-3.4583536034915594E-13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192.20041613277965</v>
      </c>
      <c r="AO179" s="59">
        <f t="shared" si="144"/>
        <v>132.76245212522417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38.382685387953828</v>
      </c>
      <c r="AV179" s="21">
        <f>EXP(-LN(2)/25)*AV178+(1-EXP(-LN(2)/25))/(LN(2)/25)*Calculateur!AQ179*Calculateur!AS179*VLOOKUP('Données projet'!$B$10,Paramètres!$A$1:$I$89,3,0)*0.475*44/12</f>
        <v>5.1083401178280692</v>
      </c>
      <c r="AW179" s="21">
        <f>EXP(-LN(2)/2)*AW178+(1-EXP(-LN(2)/2))/(LN(2)/2)*AQ179*AT179*VLOOKUP('Données projet'!$B$10,Paramètres!$A$1:$I$89,3,0)*0.475*44/12</f>
        <v>1.1333807742524849E-10</v>
      </c>
      <c r="AX179" s="21">
        <f t="shared" si="166"/>
        <v>43.491025505895237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180.31844548479722</v>
      </c>
      <c r="BJ179" s="59">
        <f t="shared" si="146"/>
        <v>273.83237400307223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8.3751614417129883</v>
      </c>
      <c r="BQ179" s="21">
        <f>EXP(-LN(2)/25)*BQ178+(1-EXP(-LN(2)/25))/(LN(2)/25)*Calculateur!BL179*Calculateur!BN179*VLOOKUP('Données projet'!$B$11,Paramètres!$A$1:$I$89,3,0)*0.475*44/12</f>
        <v>5.8000351568470192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14.175196598560007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-3.979039320256561E-13</v>
      </c>
      <c r="BZ179" s="13">
        <f>BY179*VLOOKUP('Données projet'!$B$12,Paramètres!$A$1:$I$89,3,0)*VLOOKUP('Données projet'!$B$12,Paramètres!$A$1:$I$89,5,0)</f>
        <v>-2.379465513513424E-13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214.34615950592251</v>
      </c>
      <c r="CE179" s="59">
        <f t="shared" si="148"/>
        <v>159.66077836853066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21.250181833534874</v>
      </c>
      <c r="CL179" s="21">
        <f>EXP(-LN(2)/25)*CL178+(1-EXP(-LN(2)/25))/(LN(2)/25)*Calculateur!CG179*Calculateur!CI179*VLOOKUP('Données projet'!$B$12,Paramètres!$A$1:$I$89,3,0)*0.475*44/12</f>
        <v>2.3892035261833464</v>
      </c>
      <c r="CM179" s="21">
        <f>EXP(-LN(2)/2)*CM178+(1-EXP(-LN(2)/2))/(LN(2)/2)*CG179*CJ179*VLOOKUP('Données projet'!$B$12,Paramètres!$A$1:$I$89,3,0)*0.475*44/12</f>
        <v>1.2847118233905419E-13</v>
      </c>
      <c r="CN179" s="22">
        <f t="shared" si="172"/>
        <v>23.63938535971835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82.836000000000382</v>
      </c>
      <c r="D180" s="11">
        <f t="shared" si="140"/>
        <v>22.829188748646111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815.66110612990281</v>
      </c>
      <c r="H180" s="67">
        <f t="shared" si="110"/>
        <v>477.36687040389262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-6.3550942286383367E-14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279.32192402750189</v>
      </c>
      <c r="T180" s="59">
        <f t="shared" si="142"/>
        <v>371.43572414443611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20.233207570830526</v>
      </c>
      <c r="AA180" s="21">
        <f>EXP(-LN(2)/25)*AA179+(1-EXP(-LN(2)/25))/(LN(2)/25)*Calculateur!V180*Calculateur!X180*VLOOKUP('Données projet'!$B$9,Paramètres!$A$1:$I$89,3,0)*0.475*44/12</f>
        <v>1.9563835820987217</v>
      </c>
      <c r="AB180" s="21">
        <f>EXP(-LN(2)/2)*AB179+(1-EXP(-LN(2)/2))/(LN(2)/2)*V180*Y180*VLOOKUP('Données projet'!$B$9,Paramètres!$A$1:$I$89,3,0)*0.475*44/12</f>
        <v>1.4815104006478602E-17</v>
      </c>
      <c r="AC180" s="22">
        <f t="shared" si="163"/>
        <v>22.189591152929246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-7.3896444519050419E-13</v>
      </c>
      <c r="AJ180" s="13">
        <f>AI180*VLOOKUP('Données projet'!$B$10,Paramètres!$A$1:$I$89,3,0)*VLOOKUP('Données projet'!$B$10,Paramètres!$A$1:$I$89,5,0)</f>
        <v>-3.4583536034915594E-13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192.20041613277965</v>
      </c>
      <c r="AO180" s="59">
        <f t="shared" si="144"/>
        <v>132.76245212522417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37.630024338622484</v>
      </c>
      <c r="AV180" s="21">
        <f>EXP(-LN(2)/25)*AV179+(1-EXP(-LN(2)/25))/(LN(2)/25)*Calculateur!AQ180*Calculateur!AS180*VLOOKUP('Données projet'!$B$10,Paramètres!$A$1:$I$89,3,0)*0.475*44/12</f>
        <v>4.9686522886701292</v>
      </c>
      <c r="AW180" s="21">
        <f>EXP(-LN(2)/2)*AW179+(1-EXP(-LN(2)/2))/(LN(2)/2)*AQ180*AT180*VLOOKUP('Données projet'!$B$10,Paramètres!$A$1:$I$89,3,0)*0.475*44/12</f>
        <v>8.0142123114039163E-11</v>
      </c>
      <c r="AX180" s="21">
        <f t="shared" si="166"/>
        <v>42.598676627372754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180.31844548479722</v>
      </c>
      <c r="BJ180" s="59">
        <f t="shared" si="146"/>
        <v>273.83237400307223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8.210929634185069</v>
      </c>
      <c r="BQ180" s="21">
        <f>EXP(-LN(2)/25)*BQ179+(1-EXP(-LN(2)/25))/(LN(2)/25)*Calculateur!BL180*Calculateur!BN180*VLOOKUP('Données projet'!$B$11,Paramètres!$A$1:$I$89,3,0)*0.475*44/12</f>
        <v>5.6414328904724451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13.852362524657515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-3.979039320256561E-13</v>
      </c>
      <c r="BZ180" s="13">
        <f>BY180*VLOOKUP('Données projet'!$B$12,Paramètres!$A$1:$I$89,3,0)*VLOOKUP('Données projet'!$B$12,Paramètres!$A$1:$I$89,5,0)</f>
        <v>-2.379465513513424E-13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214.34615950592251</v>
      </c>
      <c r="CE180" s="59">
        <f t="shared" si="148"/>
        <v>159.66077836853066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20.83347872911035</v>
      </c>
      <c r="CL180" s="21">
        <f>EXP(-LN(2)/25)*CL179+(1-EXP(-LN(2)/25))/(LN(2)/25)*Calculateur!CG180*Calculateur!CI180*VLOOKUP('Données projet'!$B$12,Paramètres!$A$1:$I$89,3,0)*0.475*44/12</f>
        <v>2.3238706301171099</v>
      </c>
      <c r="CM180" s="21">
        <f>EXP(-LN(2)/2)*CM179+(1-EXP(-LN(2)/2))/(LN(2)/2)*CG180*CJ180*VLOOKUP('Données projet'!$B$12,Paramètres!$A$1:$I$89,3,0)*0.475*44/12</f>
        <v>9.0842844218998642E-14</v>
      </c>
      <c r="CN180" s="22">
        <f t="shared" si="172"/>
        <v>23.157349359227553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83.304000000000386</v>
      </c>
      <c r="D181" s="11">
        <f t="shared" si="140"/>
        <v>22.943116727725723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820.15318175788582</v>
      </c>
      <c r="H181" s="67">
        <f t="shared" si="110"/>
        <v>478.38039496745625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-6.3550942286383367E-14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279.32192402750189</v>
      </c>
      <c r="T181" s="59">
        <f t="shared" si="142"/>
        <v>371.43572414443611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19.83644671140458</v>
      </c>
      <c r="AA181" s="21">
        <f>EXP(-LN(2)/25)*AA180+(1-EXP(-LN(2)/25))/(LN(2)/25)*Calculateur!V181*Calculateur!X181*VLOOKUP('Données projet'!$B$9,Paramètres!$A$1:$I$89,3,0)*0.475*44/12</f>
        <v>1.9028861701644908</v>
      </c>
      <c r="AB181" s="21">
        <f>EXP(-LN(2)/2)*AB180+(1-EXP(-LN(2)/2))/(LN(2)/2)*V181*Y181*VLOOKUP('Données projet'!$B$9,Paramètres!$A$1:$I$89,3,0)*0.475*44/12</f>
        <v>1.0475860506965008E-17</v>
      </c>
      <c r="AC181" s="22">
        <f t="shared" si="163"/>
        <v>21.739332881569069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-7.3896444519050419E-13</v>
      </c>
      <c r="AJ181" s="13">
        <f>AI181*VLOOKUP('Données projet'!$B$10,Paramètres!$A$1:$I$89,3,0)*VLOOKUP('Données projet'!$B$10,Paramètres!$A$1:$I$89,5,0)</f>
        <v>-3.4583536034915594E-13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192.20041613277965</v>
      </c>
      <c r="AO181" s="59">
        <f t="shared" si="144"/>
        <v>132.76245212522417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36.892122513390618</v>
      </c>
      <c r="AV181" s="21">
        <f>EXP(-LN(2)/25)*AV180+(1-EXP(-LN(2)/25))/(LN(2)/25)*Calculateur!AQ181*Calculateur!AS181*VLOOKUP('Données projet'!$B$10,Paramètres!$A$1:$I$89,3,0)*0.475*44/12</f>
        <v>4.8327842305463768</v>
      </c>
      <c r="AW181" s="21">
        <f>EXP(-LN(2)/2)*AW180+(1-EXP(-LN(2)/2))/(LN(2)/2)*AQ181*AT181*VLOOKUP('Données projet'!$B$10,Paramètres!$A$1:$I$89,3,0)*0.475*44/12</f>
        <v>5.6669038712624244E-11</v>
      </c>
      <c r="AX181" s="21">
        <f t="shared" si="166"/>
        <v>41.724906743993664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180.31844548479722</v>
      </c>
      <c r="BJ181" s="59">
        <f t="shared" si="146"/>
        <v>273.83237400307223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8.0499183122312612</v>
      </c>
      <c r="BQ181" s="21">
        <f>EXP(-LN(2)/25)*BQ180+(1-EXP(-LN(2)/25))/(LN(2)/25)*Calculateur!BL181*Calculateur!BN181*VLOOKUP('Données projet'!$B$11,Paramètres!$A$1:$I$89,3,0)*0.475*44/12</f>
        <v>5.4871676114124144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13.537085923643676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-3.979039320256561E-13</v>
      </c>
      <c r="BZ181" s="13">
        <f>BY181*VLOOKUP('Données projet'!$B$12,Paramètres!$A$1:$I$89,3,0)*VLOOKUP('Données projet'!$B$12,Paramètres!$A$1:$I$89,5,0)</f>
        <v>-2.379465513513424E-13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214.34615950592251</v>
      </c>
      <c r="CE181" s="59">
        <f t="shared" si="148"/>
        <v>159.66077836853066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20.424946918399794</v>
      </c>
      <c r="CL181" s="21">
        <f>EXP(-LN(2)/25)*CL180+(1-EXP(-LN(2)/25))/(LN(2)/25)*Calculateur!CG181*Calculateur!CI181*VLOOKUP('Données projet'!$B$12,Paramètres!$A$1:$I$89,3,0)*0.475*44/12</f>
        <v>2.2603242655295124</v>
      </c>
      <c r="CM181" s="21">
        <f>EXP(-LN(2)/2)*CM180+(1-EXP(-LN(2)/2))/(LN(2)/2)*CG181*CJ181*VLOOKUP('Données projet'!$B$12,Paramètres!$A$1:$I$89,3,0)*0.475*44/12</f>
        <v>6.4235591169527096E-14</v>
      </c>
      <c r="CN181" s="22">
        <f t="shared" si="172"/>
        <v>22.68527118392937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83.772000000000389</v>
      </c>
      <c r="D182" s="11">
        <f t="shared" si="140"/>
        <v>23.056970229527188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824.64468247354625</v>
      </c>
      <c r="H182" s="67">
        <f t="shared" si="110"/>
        <v>479.39378981642722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-6.3550942286383367E-14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279.32192402750189</v>
      </c>
      <c r="T182" s="59">
        <f t="shared" si="142"/>
        <v>371.43572414443611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19.44746609043175</v>
      </c>
      <c r="AA182" s="21">
        <f>EXP(-LN(2)/25)*AA181+(1-EXP(-LN(2)/25))/(LN(2)/25)*Calculateur!V182*Calculateur!X182*VLOOKUP('Données projet'!$B$9,Paramètres!$A$1:$I$89,3,0)*0.475*44/12</f>
        <v>1.8508516477729082</v>
      </c>
      <c r="AB182" s="21">
        <f>EXP(-LN(2)/2)*AB181+(1-EXP(-LN(2)/2))/(LN(2)/2)*V182*Y182*VLOOKUP('Données projet'!$B$9,Paramètres!$A$1:$I$89,3,0)*0.475*44/12</f>
        <v>7.407552003239301E-18</v>
      </c>
      <c r="AC182" s="22">
        <f t="shared" si="163"/>
        <v>21.298317738204659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-7.3896444519050419E-13</v>
      </c>
      <c r="AJ182" s="13">
        <f>AI182*VLOOKUP('Données projet'!$B$10,Paramètres!$A$1:$I$89,3,0)*VLOOKUP('Données projet'!$B$10,Paramètres!$A$1:$I$89,5,0)</f>
        <v>-3.4583536034915594E-13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192.20041613277965</v>
      </c>
      <c r="AO182" s="59">
        <f t="shared" si="144"/>
        <v>132.76245212522417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36.168690492875875</v>
      </c>
      <c r="AV182" s="21">
        <f>EXP(-LN(2)/25)*AV181+(1-EXP(-LN(2)/25))/(LN(2)/25)*Calculateur!AQ182*Calculateur!AS182*VLOOKUP('Données projet'!$B$10,Paramètres!$A$1:$I$89,3,0)*0.475*44/12</f>
        <v>4.7006314916170089</v>
      </c>
      <c r="AW182" s="21">
        <f>EXP(-LN(2)/2)*AW181+(1-EXP(-LN(2)/2))/(LN(2)/2)*AQ182*AT182*VLOOKUP('Données projet'!$B$10,Paramètres!$A$1:$I$89,3,0)*0.475*44/12</f>
        <v>4.0071061557019581E-11</v>
      </c>
      <c r="AX182" s="21">
        <f t="shared" si="166"/>
        <v>40.869321984532959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180.31844548479722</v>
      </c>
      <c r="BJ182" s="59">
        <f t="shared" si="146"/>
        <v>273.83237400307223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7.8920643240937576</v>
      </c>
      <c r="BQ182" s="21">
        <f>EXP(-LN(2)/25)*BQ181+(1-EXP(-LN(2)/25))/(LN(2)/25)*Calculateur!BL182*Calculateur!BN182*VLOOKUP('Données projet'!$B$11,Paramètres!$A$1:$I$89,3,0)*0.475*44/12</f>
        <v>5.3371207245207382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13.229185048614497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-3.979039320256561E-13</v>
      </c>
      <c r="BZ182" s="13">
        <f>BY182*VLOOKUP('Données projet'!$B$12,Paramètres!$A$1:$I$89,3,0)*VLOOKUP('Données projet'!$B$12,Paramètres!$A$1:$I$89,5,0)</f>
        <v>-2.379465513513424E-13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214.34615950592251</v>
      </c>
      <c r="CE182" s="59">
        <f t="shared" si="148"/>
        <v>159.66077836853066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20.024426167317468</v>
      </c>
      <c r="CL182" s="21">
        <f>EXP(-LN(2)/25)*CL181+(1-EXP(-LN(2)/25))/(LN(2)/25)*Calculateur!CG182*Calculateur!CI182*VLOOKUP('Données projet'!$B$12,Paramètres!$A$1:$I$89,3,0)*0.475*44/12</f>
        <v>2.1985155796233209</v>
      </c>
      <c r="CM182" s="21">
        <f>EXP(-LN(2)/2)*CM181+(1-EXP(-LN(2)/2))/(LN(2)/2)*CG182*CJ182*VLOOKUP('Données projet'!$B$12,Paramètres!$A$1:$I$89,3,0)*0.475*44/12</f>
        <v>4.5421422109499321E-14</v>
      </c>
      <c r="CN182" s="22">
        <f t="shared" si="172"/>
        <v>22.222941746940837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84.240000000000393</v>
      </c>
      <c r="D183" s="11">
        <f t="shared" si="140"/>
        <v>23.170749718409571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829.13561186141033</v>
      </c>
      <c r="H183" s="67">
        <f t="shared" si="110"/>
        <v>480.40705575956395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-6.3550942286383367E-14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279.32192402750189</v>
      </c>
      <c r="T183" s="59">
        <f t="shared" si="142"/>
        <v>371.43572414443611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19.066113142181443</v>
      </c>
      <c r="AA183" s="21">
        <f>EXP(-LN(2)/25)*AA182+(1-EXP(-LN(2)/25))/(LN(2)/25)*Calculateur!V183*Calculateur!X183*VLOOKUP('Données projet'!$B$9,Paramètres!$A$1:$I$89,3,0)*0.475*44/12</f>
        <v>1.8002400121325002</v>
      </c>
      <c r="AB183" s="21">
        <f>EXP(-LN(2)/2)*AB182+(1-EXP(-LN(2)/2))/(LN(2)/2)*V183*Y183*VLOOKUP('Données projet'!$B$9,Paramètres!$A$1:$I$89,3,0)*0.475*44/12</f>
        <v>5.2379302534825042E-18</v>
      </c>
      <c r="AC183" s="22">
        <f t="shared" si="163"/>
        <v>20.866353154313945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-7.3896444519050419E-13</v>
      </c>
      <c r="AJ183" s="13">
        <f>AI183*VLOOKUP('Données projet'!$B$10,Paramètres!$A$1:$I$89,3,0)*VLOOKUP('Données projet'!$B$10,Paramètres!$A$1:$I$89,5,0)</f>
        <v>-3.4583536034915594E-13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192.20041613277965</v>
      </c>
      <c r="AO183" s="59">
        <f t="shared" si="144"/>
        <v>132.76245212522417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35.459444533033462</v>
      </c>
      <c r="AV183" s="21">
        <f>EXP(-LN(2)/25)*AV182+(1-EXP(-LN(2)/25))/(LN(2)/25)*Calculateur!AQ183*Calculateur!AS183*VLOOKUP('Données projet'!$B$10,Paramètres!$A$1:$I$89,3,0)*0.475*44/12</f>
        <v>4.5720924762832746</v>
      </c>
      <c r="AW183" s="21">
        <f>EXP(-LN(2)/2)*AW182+(1-EXP(-LN(2)/2))/(LN(2)/2)*AQ183*AT183*VLOOKUP('Données projet'!$B$10,Paramètres!$A$1:$I$89,3,0)*0.475*44/12</f>
        <v>2.8334519356312122E-11</v>
      </c>
      <c r="AX183" s="21">
        <f t="shared" si="166"/>
        <v>40.031537009345072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180.31844548479722</v>
      </c>
      <c r="BJ183" s="59">
        <f t="shared" si="146"/>
        <v>273.83237400307223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7.737305756382205</v>
      </c>
      <c r="BQ183" s="21">
        <f>EXP(-LN(2)/25)*BQ182+(1-EXP(-LN(2)/25))/(LN(2)/25)*Calculateur!BL183*Calculateur!BN183*VLOOKUP('Données projet'!$B$11,Paramètres!$A$1:$I$89,3,0)*0.475*44/12</f>
        <v>5.1911768776417375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12.928482634023943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-3.979039320256561E-13</v>
      </c>
      <c r="BZ183" s="13">
        <f>BY183*VLOOKUP('Données projet'!$B$12,Paramètres!$A$1:$I$89,3,0)*VLOOKUP('Données projet'!$B$12,Paramètres!$A$1:$I$89,5,0)</f>
        <v>-2.379465513513424E-13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214.34615950592251</v>
      </c>
      <c r="CE183" s="59">
        <f t="shared" si="148"/>
        <v>159.66077836853066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19.631759383870332</v>
      </c>
      <c r="CL183" s="21">
        <f>EXP(-LN(2)/25)*CL182+(1-EXP(-LN(2)/25))/(LN(2)/25)*Calculateur!CG183*Calculateur!CI183*VLOOKUP('Données projet'!$B$12,Paramètres!$A$1:$I$89,3,0)*0.475*44/12</f>
        <v>2.1383970554836118</v>
      </c>
      <c r="CM183" s="21">
        <f>EXP(-LN(2)/2)*CM182+(1-EXP(-LN(2)/2))/(LN(2)/2)*CG183*CJ183*VLOOKUP('Données projet'!$B$12,Paramètres!$A$1:$I$89,3,0)*0.475*44/12</f>
        <v>3.2117795584763548E-14</v>
      </c>
      <c r="CN183" s="22">
        <f t="shared" si="172"/>
        <v>21.770156439353975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84.708000000000396</v>
      </c>
      <c r="D184" s="11">
        <f t="shared" si="140"/>
        <v>23.284455653273778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833.62597346387076</v>
      </c>
      <c r="H184" s="67">
        <f t="shared" si="110"/>
        <v>481.42019359611913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-6.3550942286383367E-14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279.32192402750189</v>
      </c>
      <c r="T184" s="59">
        <f t="shared" si="142"/>
        <v>371.43572414443611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18.692238292643996</v>
      </c>
      <c r="AA184" s="21">
        <f>EXP(-LN(2)/25)*AA183+(1-EXP(-LN(2)/25))/(LN(2)/25)*Calculateur!V184*Calculateur!X184*VLOOKUP('Données projet'!$B$9,Paramètres!$A$1:$I$89,3,0)*0.475*44/12</f>
        <v>1.7510123543302292</v>
      </c>
      <c r="AB184" s="21">
        <f>EXP(-LN(2)/2)*AB183+(1-EXP(-LN(2)/2))/(LN(2)/2)*V184*Y184*VLOOKUP('Données projet'!$B$9,Paramètres!$A$1:$I$89,3,0)*0.475*44/12</f>
        <v>3.7037760016196505E-18</v>
      </c>
      <c r="AC184" s="22">
        <f t="shared" si="163"/>
        <v>20.443250646974224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-7.3896444519050419E-13</v>
      </c>
      <c r="AJ184" s="13">
        <f>AI184*VLOOKUP('Données projet'!$B$10,Paramètres!$A$1:$I$89,3,0)*VLOOKUP('Données projet'!$B$10,Paramètres!$A$1:$I$89,5,0)</f>
        <v>-3.4583536034915594E-13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192.20041613277965</v>
      </c>
      <c r="AO184" s="59">
        <f t="shared" si="144"/>
        <v>132.76245212522417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34.764106453866241</v>
      </c>
      <c r="AV184" s="21">
        <f>EXP(-LN(2)/25)*AV183+(1-EXP(-LN(2)/25))/(LN(2)/25)*Calculateur!AQ184*Calculateur!AS184*VLOOKUP('Données projet'!$B$10,Paramètres!$A$1:$I$89,3,0)*0.475*44/12</f>
        <v>4.447068367083415</v>
      </c>
      <c r="AW184" s="21">
        <f>EXP(-LN(2)/2)*AW183+(1-EXP(-LN(2)/2))/(LN(2)/2)*AQ184*AT184*VLOOKUP('Données projet'!$B$10,Paramètres!$A$1:$I$89,3,0)*0.475*44/12</f>
        <v>2.0035530778509791E-11</v>
      </c>
      <c r="AX184" s="21">
        <f t="shared" si="166"/>
        <v>39.211174820969696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180.31844548479722</v>
      </c>
      <c r="BJ184" s="59">
        <f t="shared" si="146"/>
        <v>273.83237400307223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7.5855819097900703</v>
      </c>
      <c r="BQ184" s="21">
        <f>EXP(-LN(2)/25)*BQ183+(1-EXP(-LN(2)/25))/(LN(2)/25)*Calculateur!BL184*Calculateur!BN184*VLOOKUP('Données projet'!$B$11,Paramètres!$A$1:$I$89,3,0)*0.475*44/12</f>
        <v>5.0492238729304972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12.634805782720568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-3.979039320256561E-13</v>
      </c>
      <c r="BZ184" s="13">
        <f>BY184*VLOOKUP('Données projet'!$B$12,Paramètres!$A$1:$I$89,3,0)*VLOOKUP('Données projet'!$B$12,Paramètres!$A$1:$I$89,5,0)</f>
        <v>-2.379465513513424E-13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214.34615950592251</v>
      </c>
      <c r="CE184" s="59">
        <f t="shared" si="148"/>
        <v>159.66077836853066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19.246792556543504</v>
      </c>
      <c r="CL184" s="21">
        <f>EXP(-LN(2)/25)*CL183+(1-EXP(-LN(2)/25))/(LN(2)/25)*Calculateur!CG184*Calculateur!CI184*VLOOKUP('Données projet'!$B$12,Paramètres!$A$1:$I$89,3,0)*0.475*44/12</f>
        <v>2.0799224755479986</v>
      </c>
      <c r="CM184" s="21">
        <f>EXP(-LN(2)/2)*CM183+(1-EXP(-LN(2)/2))/(LN(2)/2)*CG184*CJ184*VLOOKUP('Données projet'!$B$12,Paramètres!$A$1:$I$89,3,0)*0.475*44/12</f>
        <v>2.2710711054749661E-14</v>
      </c>
      <c r="CN184" s="22">
        <f t="shared" si="172"/>
        <v>21.326715032091524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85.1760000000004</v>
      </c>
      <c r="D185" s="11">
        <f t="shared" si="140"/>
        <v>23.398088487656537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838.11577078191328</v>
      </c>
      <c r="H185" s="67">
        <f t="shared" si="110"/>
        <v>482.43320411600246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-6.3550942286383367E-14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279.32192402750189</v>
      </c>
      <c r="T185" s="59">
        <f t="shared" si="142"/>
        <v>371.43572414443611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18.325694900864836</v>
      </c>
      <c r="AA185" s="21">
        <f>EXP(-LN(2)/25)*AA184+(1-EXP(-LN(2)/25))/(LN(2)/25)*Calculateur!V185*Calculateur!X185*VLOOKUP('Données projet'!$B$9,Paramètres!$A$1:$I$89,3,0)*0.475*44/12</f>
        <v>1.7031308294193312</v>
      </c>
      <c r="AB185" s="21">
        <f>EXP(-LN(2)/2)*AB184+(1-EXP(-LN(2)/2))/(LN(2)/2)*V185*Y185*VLOOKUP('Données projet'!$B$9,Paramètres!$A$1:$I$89,3,0)*0.475*44/12</f>
        <v>2.6189651267412521E-18</v>
      </c>
      <c r="AC185" s="22">
        <f t="shared" si="163"/>
        <v>20.028825730284169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-7.3896444519050419E-13</v>
      </c>
      <c r="AJ185" s="13">
        <f>AI185*VLOOKUP('Données projet'!$B$10,Paramètres!$A$1:$I$89,3,0)*VLOOKUP('Données projet'!$B$10,Paramètres!$A$1:$I$89,5,0)</f>
        <v>-3.4583536034915594E-13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192.20041613277965</v>
      </c>
      <c r="AO185" s="59">
        <f t="shared" si="144"/>
        <v>132.76245212522417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34.082403530317137</v>
      </c>
      <c r="AV185" s="21">
        <f>EXP(-LN(2)/25)*AV184+(1-EXP(-LN(2)/25))/(LN(2)/25)*Calculateur!AQ185*Calculateur!AS185*VLOOKUP('Données projet'!$B$10,Paramètres!$A$1:$I$89,3,0)*0.475*44/12</f>
        <v>4.3254630487243579</v>
      </c>
      <c r="AW185" s="21">
        <f>EXP(-LN(2)/2)*AW184+(1-EXP(-LN(2)/2))/(LN(2)/2)*AQ185*AT185*VLOOKUP('Données projet'!$B$10,Paramètres!$A$1:$I$89,3,0)*0.475*44/12</f>
        <v>1.4167259678156061E-11</v>
      </c>
      <c r="AX185" s="21">
        <f t="shared" si="166"/>
        <v>38.407866579055664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180.31844548479722</v>
      </c>
      <c r="BJ185" s="59">
        <f t="shared" si="146"/>
        <v>273.83237400307223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7.4368332752871984</v>
      </c>
      <c r="BQ185" s="21">
        <f>EXP(-LN(2)/25)*BQ184+(1-EXP(-LN(2)/25))/(LN(2)/25)*Calculateur!BL185*Calculateur!BN185*VLOOKUP('Données projet'!$B$11,Paramètres!$A$1:$I$89,3,0)*0.475*44/12</f>
        <v>4.9111525805980696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12.347985855885268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-3.979039320256561E-13</v>
      </c>
      <c r="BZ185" s="13">
        <f>BY185*VLOOKUP('Données projet'!$B$12,Paramètres!$A$1:$I$89,3,0)*VLOOKUP('Données projet'!$B$12,Paramètres!$A$1:$I$89,5,0)</f>
        <v>-2.379465513513424E-13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214.34615950592251</v>
      </c>
      <c r="CE185" s="59">
        <f t="shared" si="148"/>
        <v>159.66077836853066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18.869374693893977</v>
      </c>
      <c r="CL185" s="21">
        <f>EXP(-LN(2)/25)*CL184+(1-EXP(-LN(2)/25))/(LN(2)/25)*Calculateur!CG185*Calculateur!CI185*VLOOKUP('Données projet'!$B$12,Paramètres!$A$1:$I$89,3,0)*0.475*44/12</f>
        <v>2.0230468860757691</v>
      </c>
      <c r="CM185" s="21">
        <f>EXP(-LN(2)/2)*CM184+(1-EXP(-LN(2)/2))/(LN(2)/2)*CG185*CJ185*VLOOKUP('Données projet'!$B$12,Paramètres!$A$1:$I$89,3,0)*0.475*44/12</f>
        <v>1.6058897792381774E-14</v>
      </c>
      <c r="CN185" s="22">
        <f t="shared" si="172"/>
        <v>20.892421579969763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85.644000000000403</v>
      </c>
      <c r="D186" s="11">
        <f t="shared" si="140"/>
        <v>23.511648669822165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842.60500727582337</v>
      </c>
      <c r="H186" s="67">
        <f t="shared" si="110"/>
        <v>483.44608809994094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-6.3550942286383367E-14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279.32192402750189</v>
      </c>
      <c r="T186" s="59">
        <f t="shared" si="142"/>
        <v>371.43572414443611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17.966339201429072</v>
      </c>
      <c r="AA186" s="21">
        <f>EXP(-LN(2)/25)*AA185+(1-EXP(-LN(2)/25))/(LN(2)/25)*Calculateur!V186*Calculateur!X186*VLOOKUP('Données projet'!$B$9,Paramètres!$A$1:$I$89,3,0)*0.475*44/12</f>
        <v>1.6565586273251018</v>
      </c>
      <c r="AB186" s="21">
        <f>EXP(-LN(2)/2)*AB185+(1-EXP(-LN(2)/2))/(LN(2)/2)*V186*Y186*VLOOKUP('Données projet'!$B$9,Paramètres!$A$1:$I$89,3,0)*0.475*44/12</f>
        <v>1.8518880008098253E-18</v>
      </c>
      <c r="AC186" s="22">
        <f t="shared" si="163"/>
        <v>19.622897828754173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-7.3896444519050419E-13</v>
      </c>
      <c r="AJ186" s="13">
        <f>AI186*VLOOKUP('Données projet'!$B$10,Paramètres!$A$1:$I$89,3,0)*VLOOKUP('Données projet'!$B$10,Paramètres!$A$1:$I$89,5,0)</f>
        <v>-3.4583536034915594E-13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192.20041613277965</v>
      </c>
      <c r="AO186" s="59">
        <f t="shared" si="144"/>
        <v>132.76245212522417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33.414068385301107</v>
      </c>
      <c r="AV186" s="21">
        <f>EXP(-LN(2)/25)*AV185+(1-EXP(-LN(2)/25))/(LN(2)/25)*Calculateur!AQ186*Calculateur!AS186*VLOOKUP('Données projet'!$B$10,Paramètres!$A$1:$I$89,3,0)*0.475*44/12</f>
        <v>4.2071830341907743</v>
      </c>
      <c r="AW186" s="21">
        <f>EXP(-LN(2)/2)*AW185+(1-EXP(-LN(2)/2))/(LN(2)/2)*AQ186*AT186*VLOOKUP('Données projet'!$B$10,Paramètres!$A$1:$I$89,3,0)*0.475*44/12</f>
        <v>1.0017765389254895E-11</v>
      </c>
      <c r="AX186" s="21">
        <f t="shared" si="166"/>
        <v>37.621251419501903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180.31844548479722</v>
      </c>
      <c r="BJ186" s="59">
        <f t="shared" si="146"/>
        <v>273.83237400307223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7.2910015107792194</v>
      </c>
      <c r="BQ186" s="21">
        <f>EXP(-LN(2)/25)*BQ185+(1-EXP(-LN(2)/25))/(LN(2)/25)*Calculateur!BL186*Calculateur!BN186*VLOOKUP('Données projet'!$B$11,Paramètres!$A$1:$I$89,3,0)*0.475*44/12</f>
        <v>4.7768568550153256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12.067858365794546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-3.979039320256561E-13</v>
      </c>
      <c r="BZ186" s="13">
        <f>BY186*VLOOKUP('Données projet'!$B$12,Paramètres!$A$1:$I$89,3,0)*VLOOKUP('Données projet'!$B$12,Paramètres!$A$1:$I$89,5,0)</f>
        <v>-2.379465513513424E-13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214.34615950592251</v>
      </c>
      <c r="CE186" s="59">
        <f t="shared" si="148"/>
        <v>159.66077836853066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18.499357765328842</v>
      </c>
      <c r="CL186" s="21">
        <f>EXP(-LN(2)/25)*CL185+(1-EXP(-LN(2)/25))/(LN(2)/25)*Calculateur!CG186*Calculateur!CI186*VLOOKUP('Données projet'!$B$12,Paramètres!$A$1:$I$89,3,0)*0.475*44/12</f>
        <v>1.9677265625886151</v>
      </c>
      <c r="CM186" s="21">
        <f>EXP(-LN(2)/2)*CM185+(1-EXP(-LN(2)/2))/(LN(2)/2)*CG186*CJ186*VLOOKUP('Données projet'!$B$12,Paramètres!$A$1:$I$89,3,0)*0.475*44/12</f>
        <v>1.135535552737483E-14</v>
      </c>
      <c r="CN186" s="22">
        <f t="shared" si="172"/>
        <v>20.467084327917469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86.112000000000407</v>
      </c>
      <c r="D187" s="11">
        <f t="shared" si="140"/>
        <v>23.625136642852389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847.09368636588124</v>
      </c>
      <c r="H187" s="67">
        <f t="shared" si="110"/>
        <v>484.4588463196352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-6.3550942286383367E-14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279.32192402750189</v>
      </c>
      <c r="T187" s="59">
        <f t="shared" si="142"/>
        <v>371.43572414443611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17.614030248073909</v>
      </c>
      <c r="AA187" s="21">
        <f>EXP(-LN(2)/25)*AA186+(1-EXP(-LN(2)/25))/(LN(2)/25)*Calculateur!V187*Calculateur!X187*VLOOKUP('Données projet'!$B$9,Paramètres!$A$1:$I$89,3,0)*0.475*44/12</f>
        <v>1.6112599445462648</v>
      </c>
      <c r="AB187" s="21">
        <f>EXP(-LN(2)/2)*AB186+(1-EXP(-LN(2)/2))/(LN(2)/2)*V187*Y187*VLOOKUP('Données projet'!$B$9,Paramètres!$A$1:$I$89,3,0)*0.475*44/12</f>
        <v>1.3094825633706261E-18</v>
      </c>
      <c r="AC187" s="22">
        <f t="shared" si="163"/>
        <v>19.225290192620175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-7.3896444519050419E-13</v>
      </c>
      <c r="AJ187" s="13">
        <f>AI187*VLOOKUP('Données projet'!$B$10,Paramètres!$A$1:$I$89,3,0)*VLOOKUP('Données projet'!$B$10,Paramètres!$A$1:$I$89,5,0)</f>
        <v>-3.4583536034915594E-13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192.20041613277965</v>
      </c>
      <c r="AO187" s="59">
        <f t="shared" si="144"/>
        <v>132.76245212522417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32.758838884834653</v>
      </c>
      <c r="AV187" s="21">
        <f>EXP(-LN(2)/25)*AV186+(1-EXP(-LN(2)/25))/(LN(2)/25)*Calculateur!AQ187*Calculateur!AS187*VLOOKUP('Données projet'!$B$10,Paramètres!$A$1:$I$89,3,0)*0.475*44/12</f>
        <v>4.0921373928746876</v>
      </c>
      <c r="AW187" s="21">
        <f>EXP(-LN(2)/2)*AW186+(1-EXP(-LN(2)/2))/(LN(2)/2)*AQ187*AT187*VLOOKUP('Données projet'!$B$10,Paramètres!$A$1:$I$89,3,0)*0.475*44/12</f>
        <v>7.0836298390780305E-12</v>
      </c>
      <c r="AX187" s="21">
        <f t="shared" si="166"/>
        <v>36.850976277716427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180.31844548479722</v>
      </c>
      <c r="BJ187" s="59">
        <f t="shared" si="146"/>
        <v>273.83237400307223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7.1480294182246489</v>
      </c>
      <c r="BQ187" s="21">
        <f>EXP(-LN(2)/25)*BQ186+(1-EXP(-LN(2)/25))/(LN(2)/25)*Calculateur!BL187*Calculateur!BN187*VLOOKUP('Données projet'!$B$11,Paramètres!$A$1:$I$89,3,0)*0.475*44/12</f>
        <v>4.6462334531109475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11.794262871335597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-3.979039320256561E-13</v>
      </c>
      <c r="BZ187" s="13">
        <f>BY187*VLOOKUP('Données projet'!$B$12,Paramètres!$A$1:$I$89,3,0)*VLOOKUP('Données projet'!$B$12,Paramètres!$A$1:$I$89,5,0)</f>
        <v>-2.379465513513424E-13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214.34615950592251</v>
      </c>
      <c r="CE187" s="59">
        <f t="shared" si="148"/>
        <v>159.66077836853066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18.136596643044829</v>
      </c>
      <c r="CL187" s="21">
        <f>EXP(-LN(2)/25)*CL186+(1-EXP(-LN(2)/25))/(LN(2)/25)*Calculateur!CG187*Calculateur!CI187*VLOOKUP('Données projet'!$B$12,Paramètres!$A$1:$I$89,3,0)*0.475*44/12</f>
        <v>1.9139189762563869</v>
      </c>
      <c r="CM187" s="21">
        <f>EXP(-LN(2)/2)*CM186+(1-EXP(-LN(2)/2))/(LN(2)/2)*CG187*CJ187*VLOOKUP('Données projet'!$B$12,Paramètres!$A$1:$I$89,3,0)*0.475*44/12</f>
        <v>8.0294488961908871E-15</v>
      </c>
      <c r="CN187" s="22">
        <f t="shared" si="172"/>
        <v>20.050515619301223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86.58000000000041</v>
      </c>
      <c r="D188" s="11">
        <f t="shared" si="140"/>
        <v>23.73855284473407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851.58181143303818</v>
      </c>
      <c r="H188" s="67">
        <f t="shared" si="110"/>
        <v>485.4714795379125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-6.3550942286383367E-14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279.32192402750189</v>
      </c>
      <c r="T188" s="59">
        <f t="shared" si="142"/>
        <v>371.43572414443611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17.268629858406801</v>
      </c>
      <c r="AA188" s="21">
        <f>EXP(-LN(2)/25)*AA187+(1-EXP(-LN(2)/25))/(LN(2)/25)*Calculateur!V188*Calculateur!X188*VLOOKUP('Données projet'!$B$9,Paramètres!$A$1:$I$89,3,0)*0.475*44/12</f>
        <v>1.5671999566301693</v>
      </c>
      <c r="AB188" s="21">
        <f>EXP(-LN(2)/2)*AB187+(1-EXP(-LN(2)/2))/(LN(2)/2)*V188*Y188*VLOOKUP('Données projet'!$B$9,Paramètres!$A$1:$I$89,3,0)*0.475*44/12</f>
        <v>9.2594400040491263E-19</v>
      </c>
      <c r="AC188" s="22">
        <f t="shared" si="163"/>
        <v>18.83582981503697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-7.3896444519050419E-13</v>
      </c>
      <c r="AJ188" s="13">
        <f>AI188*VLOOKUP('Données projet'!$B$10,Paramètres!$A$1:$I$89,3,0)*VLOOKUP('Données projet'!$B$10,Paramètres!$A$1:$I$89,5,0)</f>
        <v>-3.4583536034915594E-13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192.20041613277965</v>
      </c>
      <c r="AO188" s="59">
        <f t="shared" si="144"/>
        <v>132.76245212522417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32.116458035221811</v>
      </c>
      <c r="AV188" s="21">
        <f>EXP(-LN(2)/25)*AV187+(1-EXP(-LN(2)/25))/(LN(2)/25)*Calculateur!AQ188*Calculateur!AS188*VLOOKUP('Données projet'!$B$10,Paramètres!$A$1:$I$89,3,0)*0.475*44/12</f>
        <v>3.9802376806703763</v>
      </c>
      <c r="AW188" s="21">
        <f>EXP(-LN(2)/2)*AW187+(1-EXP(-LN(2)/2))/(LN(2)/2)*AQ188*AT188*VLOOKUP('Données projet'!$B$10,Paramètres!$A$1:$I$89,3,0)*0.475*44/12</f>
        <v>5.0088826946274477E-12</v>
      </c>
      <c r="AX188" s="21">
        <f t="shared" si="166"/>
        <v>36.096695715897198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180.31844548479722</v>
      </c>
      <c r="BJ188" s="59">
        <f t="shared" si="146"/>
        <v>273.83237400307223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7.0078609212007077</v>
      </c>
      <c r="BQ188" s="21">
        <f>EXP(-LN(2)/25)*BQ187+(1-EXP(-LN(2)/25))/(LN(2)/25)*Calculateur!BL188*Calculateur!BN188*VLOOKUP('Données projet'!$B$11,Paramètres!$A$1:$I$89,3,0)*0.475*44/12</f>
        <v>4.5191819550008301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11.527042876201538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-3.979039320256561E-13</v>
      </c>
      <c r="BZ188" s="13">
        <f>BY188*VLOOKUP('Données projet'!$B$12,Paramètres!$A$1:$I$89,3,0)*VLOOKUP('Données projet'!$B$12,Paramètres!$A$1:$I$89,5,0)</f>
        <v>-2.379465513513424E-13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214.34615950592251</v>
      </c>
      <c r="CE188" s="59">
        <f t="shared" si="148"/>
        <v>159.66077836853066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17.780949045106368</v>
      </c>
      <c r="CL188" s="21">
        <f>EXP(-LN(2)/25)*CL187+(1-EXP(-LN(2)/25))/(LN(2)/25)*Calculateur!CG188*Calculateur!CI188*VLOOKUP('Données projet'!$B$12,Paramètres!$A$1:$I$89,3,0)*0.475*44/12</f>
        <v>1.8615827612020313</v>
      </c>
      <c r="CM188" s="21">
        <f>EXP(-LN(2)/2)*CM187+(1-EXP(-LN(2)/2))/(LN(2)/2)*CG188*CJ188*VLOOKUP('Données projet'!$B$12,Paramètres!$A$1:$I$89,3,0)*0.475*44/12</f>
        <v>5.6776777636874151E-15</v>
      </c>
      <c r="CN188" s="22">
        <f t="shared" si="172"/>
        <v>19.642531806308405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87.048000000000414</v>
      </c>
      <c r="D189" s="11">
        <f t="shared" si="140"/>
        <v>23.851897708444977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856.06938581957854</v>
      </c>
      <c r="H189" s="67">
        <f t="shared" si="110"/>
        <v>486.48398850887571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-6.3550942286383367E-14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279.32192402750189</v>
      </c>
      <c r="T189" s="59">
        <f t="shared" si="142"/>
        <v>371.43572414443611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16.930002559707628</v>
      </c>
      <c r="AA189" s="21">
        <f>EXP(-LN(2)/25)*AA188+(1-EXP(-LN(2)/25))/(LN(2)/25)*Calculateur!V189*Calculateur!X189*VLOOKUP('Données projet'!$B$9,Paramètres!$A$1:$I$89,3,0)*0.475*44/12</f>
        <v>1.5243447914006536</v>
      </c>
      <c r="AB189" s="21">
        <f>EXP(-LN(2)/2)*AB188+(1-EXP(-LN(2)/2))/(LN(2)/2)*V189*Y189*VLOOKUP('Données projet'!$B$9,Paramètres!$A$1:$I$89,3,0)*0.475*44/12</f>
        <v>6.5474128168531303E-19</v>
      </c>
      <c r="AC189" s="22">
        <f t="shared" si="163"/>
        <v>18.454347351108282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-7.3896444519050419E-13</v>
      </c>
      <c r="AJ189" s="13">
        <f>AI189*VLOOKUP('Données projet'!$B$10,Paramètres!$A$1:$I$89,3,0)*VLOOKUP('Données projet'!$B$10,Paramètres!$A$1:$I$89,5,0)</f>
        <v>-3.4583536034915594E-13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192.20041613277965</v>
      </c>
      <c r="AO189" s="59">
        <f t="shared" si="144"/>
        <v>132.76245212522417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31.486673882256248</v>
      </c>
      <c r="AV189" s="21">
        <f>EXP(-LN(2)/25)*AV188+(1-EXP(-LN(2)/25))/(LN(2)/25)*Calculateur!AQ189*Calculateur!AS189*VLOOKUP('Données projet'!$B$10,Paramètres!$A$1:$I$89,3,0)*0.475*44/12</f>
        <v>3.8713978719808422</v>
      </c>
      <c r="AW189" s="21">
        <f>EXP(-LN(2)/2)*AW188+(1-EXP(-LN(2)/2))/(LN(2)/2)*AQ189*AT189*VLOOKUP('Données projet'!$B$10,Paramètres!$A$1:$I$89,3,0)*0.475*44/12</f>
        <v>3.5418149195390152E-12</v>
      </c>
      <c r="AX189" s="21">
        <f t="shared" si="166"/>
        <v>35.358071754240626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180.31844548479722</v>
      </c>
      <c r="BJ189" s="59">
        <f t="shared" si="146"/>
        <v>273.83237400307223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6.8704410429090643</v>
      </c>
      <c r="BQ189" s="21">
        <f>EXP(-LN(2)/25)*BQ188+(1-EXP(-LN(2)/25))/(LN(2)/25)*Calculateur!BL189*Calculateur!BN189*VLOOKUP('Données projet'!$B$11,Paramètres!$A$1:$I$89,3,0)*0.475*44/12</f>
        <v>4.3956046867878822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11.266045729696947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-3.979039320256561E-13</v>
      </c>
      <c r="BZ189" s="13">
        <f>BY189*VLOOKUP('Données projet'!$B$12,Paramètres!$A$1:$I$89,3,0)*VLOOKUP('Données projet'!$B$12,Paramètres!$A$1:$I$89,5,0)</f>
        <v>-2.379465513513424E-13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214.34615950592251</v>
      </c>
      <c r="CE189" s="59">
        <f t="shared" si="148"/>
        <v>159.66077836853066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17.432275479639866</v>
      </c>
      <c r="CL189" s="21">
        <f>EXP(-LN(2)/25)*CL188+(1-EXP(-LN(2)/25))/(LN(2)/25)*Calculateur!CG189*Calculateur!CI189*VLOOKUP('Données projet'!$B$12,Paramètres!$A$1:$I$89,3,0)*0.475*44/12</f>
        <v>1.810677682700579</v>
      </c>
      <c r="CM189" s="21">
        <f>EXP(-LN(2)/2)*CM188+(1-EXP(-LN(2)/2))/(LN(2)/2)*CG189*CJ189*VLOOKUP('Données projet'!$B$12,Paramètres!$A$1:$I$89,3,0)*0.475*44/12</f>
        <v>4.0147244480954435E-15</v>
      </c>
      <c r="CN189" s="22">
        <f t="shared" si="172"/>
        <v>19.242953162340449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87.516000000000417</v>
      </c>
      <c r="D190" s="11">
        <f t="shared" si="140"/>
        <v>23.96517166203774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860.55641282976819</v>
      </c>
      <c r="H190" s="67">
        <f t="shared" si="110"/>
        <v>487.49637397804975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-6.3550942286383367E-14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279.32192402750189</v>
      </c>
      <c r="T190" s="59">
        <f t="shared" si="142"/>
        <v>371.43572414443611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16.598015535793689</v>
      </c>
      <c r="AA190" s="21">
        <f>EXP(-LN(2)/25)*AA189+(1-EXP(-LN(2)/25))/(LN(2)/25)*Calculateur!V190*Calculateur!X190*VLOOKUP('Données projet'!$B$9,Paramètres!$A$1:$I$89,3,0)*0.475*44/12</f>
        <v>1.4826615029179941</v>
      </c>
      <c r="AB190" s="21">
        <f>EXP(-LN(2)/2)*AB189+(1-EXP(-LN(2)/2))/(LN(2)/2)*V190*Y190*VLOOKUP('Données projet'!$B$9,Paramètres!$A$1:$I$89,3,0)*0.475*44/12</f>
        <v>4.6297200020245631E-19</v>
      </c>
      <c r="AC190" s="22">
        <f t="shared" si="163"/>
        <v>18.080677038711684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-7.3896444519050419E-13</v>
      </c>
      <c r="AJ190" s="13">
        <f>AI190*VLOOKUP('Données projet'!$B$10,Paramètres!$A$1:$I$89,3,0)*VLOOKUP('Données projet'!$B$10,Paramètres!$A$1:$I$89,5,0)</f>
        <v>-3.4583536034915594E-13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192.20041613277965</v>
      </c>
      <c r="AO190" s="59">
        <f t="shared" si="144"/>
        <v>132.76245212522417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30.869239412399939</v>
      </c>
      <c r="AV190" s="21">
        <f>EXP(-LN(2)/25)*AV189+(1-EXP(-LN(2)/25))/(LN(2)/25)*Calculateur!AQ190*Calculateur!AS190*VLOOKUP('Données projet'!$B$10,Paramètres!$A$1:$I$89,3,0)*0.475*44/12</f>
        <v>3.7655342935835603</v>
      </c>
      <c r="AW190" s="21">
        <f>EXP(-LN(2)/2)*AW189+(1-EXP(-LN(2)/2))/(LN(2)/2)*AQ190*AT190*VLOOKUP('Données projet'!$B$10,Paramètres!$A$1:$I$89,3,0)*0.475*44/12</f>
        <v>2.5044413473137238E-12</v>
      </c>
      <c r="AX190" s="21">
        <f t="shared" si="166"/>
        <v>34.634773705985999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180.31844548479722</v>
      </c>
      <c r="BJ190" s="59">
        <f t="shared" si="146"/>
        <v>273.83237400307223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6.7357158846128709</v>
      </c>
      <c r="BQ190" s="21">
        <f>EXP(-LN(2)/25)*BQ189+(1-EXP(-LN(2)/25))/(LN(2)/25)*Calculateur!BL190*Calculateur!BN190*VLOOKUP('Données projet'!$B$11,Paramètres!$A$1:$I$89,3,0)*0.475*44/12</f>
        <v>4.275406645472863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11.011122530085734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-3.979039320256561E-13</v>
      </c>
      <c r="BZ190" s="13">
        <f>BY190*VLOOKUP('Données projet'!$B$12,Paramètres!$A$1:$I$89,3,0)*VLOOKUP('Données projet'!$B$12,Paramètres!$A$1:$I$89,5,0)</f>
        <v>-2.379465513513424E-13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214.34615950592251</v>
      </c>
      <c r="CE190" s="59">
        <f t="shared" si="148"/>
        <v>159.66077836853066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17.090439190122286</v>
      </c>
      <c r="CL190" s="21">
        <f>EXP(-LN(2)/25)*CL189+(1-EXP(-LN(2)/25))/(LN(2)/25)*Calculateur!CG190*Calculateur!CI190*VLOOKUP('Données projet'!$B$12,Paramètres!$A$1:$I$89,3,0)*0.475*44/12</f>
        <v>1.7611646062477306</v>
      </c>
      <c r="CM190" s="21">
        <f>EXP(-LN(2)/2)*CM189+(1-EXP(-LN(2)/2))/(LN(2)/2)*CG190*CJ190*VLOOKUP('Données projet'!$B$12,Paramètres!$A$1:$I$89,3,0)*0.475*44/12</f>
        <v>2.8388388818437076E-15</v>
      </c>
      <c r="CN190" s="22">
        <f t="shared" si="172"/>
        <v>18.851603796370021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87.984000000000421</v>
      </c>
      <c r="D191" s="11">
        <f t="shared" si="140"/>
        <v>24.078375128721891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865.042895730488</v>
      </c>
      <c r="H191" s="67">
        <f t="shared" si="110"/>
        <v>488.50863668252464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-6.3550942286383367E-14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279.32192402750189</v>
      </c>
      <c r="T191" s="59">
        <f t="shared" si="142"/>
        <v>371.43572414443611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16.27253857492661</v>
      </c>
      <c r="AA191" s="21">
        <f>EXP(-LN(2)/25)*AA190+(1-EXP(-LN(2)/25))/(LN(2)/25)*Calculateur!V191*Calculateur!X191*VLOOKUP('Données projet'!$B$9,Paramètres!$A$1:$I$89,3,0)*0.475*44/12</f>
        <v>1.4421180461509218</v>
      </c>
      <c r="AB191" s="21">
        <f>EXP(-LN(2)/2)*AB190+(1-EXP(-LN(2)/2))/(LN(2)/2)*V191*Y191*VLOOKUP('Données projet'!$B$9,Paramètres!$A$1:$I$89,3,0)*0.475*44/12</f>
        <v>3.2737064084265651E-19</v>
      </c>
      <c r="AC191" s="22">
        <f t="shared" si="163"/>
        <v>17.71465662107753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-7.3896444519050419E-13</v>
      </c>
      <c r="AJ191" s="13">
        <f>AI191*VLOOKUP('Données projet'!$B$10,Paramètres!$A$1:$I$89,3,0)*VLOOKUP('Données projet'!$B$10,Paramètres!$A$1:$I$89,5,0)</f>
        <v>-3.4583536034915594E-13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192.20041613277965</v>
      </c>
      <c r="AO191" s="59">
        <f t="shared" si="144"/>
        <v>132.76245212522417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30.263912455899668</v>
      </c>
      <c r="AV191" s="21">
        <f>EXP(-LN(2)/25)*AV190+(1-EXP(-LN(2)/25))/(LN(2)/25)*Calculateur!AQ191*Calculateur!AS191*VLOOKUP('Données projet'!$B$10,Paramètres!$A$1:$I$89,3,0)*0.475*44/12</f>
        <v>3.6625655603046754</v>
      </c>
      <c r="AW191" s="21">
        <f>EXP(-LN(2)/2)*AW190+(1-EXP(-LN(2)/2))/(LN(2)/2)*AQ191*AT191*VLOOKUP('Données projet'!$B$10,Paramètres!$A$1:$I$89,3,0)*0.475*44/12</f>
        <v>1.7709074597695076E-12</v>
      </c>
      <c r="AX191" s="21">
        <f t="shared" si="166"/>
        <v>33.926478016206111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180.31844548479722</v>
      </c>
      <c r="BJ191" s="59">
        <f t="shared" si="146"/>
        <v>273.83237400307223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6.6036326044966334</v>
      </c>
      <c r="BQ191" s="21">
        <f>EXP(-LN(2)/25)*BQ190+(1-EXP(-LN(2)/25))/(LN(2)/25)*Calculateur!BL191*Calculateur!BN191*VLOOKUP('Données projet'!$B$11,Paramètres!$A$1:$I$89,3,0)*0.475*44/12</f>
        <v>4.1584954259185434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10.762128030415177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-3.979039320256561E-13</v>
      </c>
      <c r="BZ191" s="13">
        <f>BY191*VLOOKUP('Données projet'!$B$12,Paramètres!$A$1:$I$89,3,0)*VLOOKUP('Données projet'!$B$12,Paramètres!$A$1:$I$89,5,0)</f>
        <v>-2.379465513513424E-13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214.34615950592251</v>
      </c>
      <c r="CE191" s="59">
        <f t="shared" si="148"/>
        <v>159.66077836853066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16.755306101742594</v>
      </c>
      <c r="CL191" s="21">
        <f>EXP(-LN(2)/25)*CL190+(1-EXP(-LN(2)/25))/(LN(2)/25)*Calculateur!CG191*Calculateur!CI191*VLOOKUP('Données projet'!$B$12,Paramètres!$A$1:$I$89,3,0)*0.475*44/12</f>
        <v>1.713005467474265</v>
      </c>
      <c r="CM191" s="21">
        <f>EXP(-LN(2)/2)*CM190+(1-EXP(-LN(2)/2))/(LN(2)/2)*CG191*CJ191*VLOOKUP('Données projet'!$B$12,Paramètres!$A$1:$I$89,3,0)*0.475*44/12</f>
        <v>2.0073622240477218E-15</v>
      </c>
      <c r="CN191" s="22">
        <f t="shared" si="172"/>
        <v>18.468311569216862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88.452000000000425</v>
      </c>
      <c r="D192" s="11">
        <f t="shared" si="140"/>
        <v>24.191508526944062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869.52883775185228</v>
      </c>
      <c r="H192" s="67">
        <f t="shared" si="110"/>
        <v>489.52077735109492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-6.3550942286383367E-14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279.32192402750189</v>
      </c>
      <c r="T192" s="59">
        <f t="shared" si="142"/>
        <v>371.43572414443611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15.953444018740791</v>
      </c>
      <c r="AA192" s="21">
        <f>EXP(-LN(2)/25)*AA191+(1-EXP(-LN(2)/25))/(LN(2)/25)*Calculateur!V192*Calculateur!X192*VLOOKUP('Données projet'!$B$9,Paramètres!$A$1:$I$89,3,0)*0.475*44/12</f>
        <v>1.4026832523412327</v>
      </c>
      <c r="AB192" s="21">
        <f>EXP(-LN(2)/2)*AB191+(1-EXP(-LN(2)/2))/(LN(2)/2)*V192*Y192*VLOOKUP('Données projet'!$B$9,Paramètres!$A$1:$I$89,3,0)*0.475*44/12</f>
        <v>2.3148600010122816E-19</v>
      </c>
      <c r="AC192" s="22">
        <f t="shared" si="163"/>
        <v>17.356127271082023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-7.3896444519050419E-13</v>
      </c>
      <c r="AJ192" s="13">
        <f>AI192*VLOOKUP('Données projet'!$B$10,Paramètres!$A$1:$I$89,3,0)*VLOOKUP('Données projet'!$B$10,Paramètres!$A$1:$I$89,5,0)</f>
        <v>-3.4583536034915594E-13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192.20041613277965</v>
      </c>
      <c r="AO192" s="59">
        <f t="shared" si="144"/>
        <v>132.76245212522417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29.670455591803382</v>
      </c>
      <c r="AV192" s="21">
        <f>EXP(-LN(2)/25)*AV191+(1-EXP(-LN(2)/25))/(LN(2)/25)*Calculateur!AQ192*Calculateur!AS192*VLOOKUP('Données projet'!$B$10,Paramètres!$A$1:$I$89,3,0)*0.475*44/12</f>
        <v>3.5624125124521919</v>
      </c>
      <c r="AW192" s="21">
        <f>EXP(-LN(2)/2)*AW191+(1-EXP(-LN(2)/2))/(LN(2)/2)*AQ192*AT192*VLOOKUP('Données projet'!$B$10,Paramètres!$A$1:$I$89,3,0)*0.475*44/12</f>
        <v>1.2522206736568619E-12</v>
      </c>
      <c r="AX192" s="21">
        <f t="shared" si="166"/>
        <v>33.232868104256823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180.31844548479722</v>
      </c>
      <c r="BJ192" s="59">
        <f t="shared" si="146"/>
        <v>273.83237400307223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6.4741393969406289</v>
      </c>
      <c r="BQ192" s="21">
        <f>EXP(-LN(2)/25)*BQ191+(1-EXP(-LN(2)/25))/(LN(2)/25)*Calculateur!BL192*Calculateur!BN192*VLOOKUP('Données projet'!$B$11,Paramètres!$A$1:$I$89,3,0)*0.475*44/12</f>
        <v>4.0447811498110307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10.518920546751659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-3.979039320256561E-13</v>
      </c>
      <c r="BZ192" s="13">
        <f>BY192*VLOOKUP('Données projet'!$B$12,Paramètres!$A$1:$I$89,3,0)*VLOOKUP('Données projet'!$B$12,Paramètres!$A$1:$I$89,5,0)</f>
        <v>-2.379465513513424E-13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214.34615950592251</v>
      </c>
      <c r="CE192" s="59">
        <f t="shared" si="148"/>
        <v>159.66077836853066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16.426744768815031</v>
      </c>
      <c r="CL192" s="21">
        <f>EXP(-LN(2)/25)*CL191+(1-EXP(-LN(2)/25))/(LN(2)/25)*Calculateur!CG192*Calculateur!CI192*VLOOKUP('Données projet'!$B$12,Paramètres!$A$1:$I$89,3,0)*0.475*44/12</f>
        <v>1.6661632428831388</v>
      </c>
      <c r="CM192" s="21">
        <f>EXP(-LN(2)/2)*CM191+(1-EXP(-LN(2)/2))/(LN(2)/2)*CG192*CJ192*VLOOKUP('Données projet'!$B$12,Paramètres!$A$1:$I$89,3,0)*0.475*44/12</f>
        <v>1.4194194409218538E-15</v>
      </c>
      <c r="CN192" s="22">
        <f t="shared" si="172"/>
        <v>18.092908011698171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88.920000000000428</v>
      </c>
      <c r="D193" s="11">
        <f t="shared" si="140"/>
        <v>24.304572270466586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874.01424208781555</v>
      </c>
      <c r="H193" s="67">
        <f t="shared" si="110"/>
        <v>490.53279670439667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-6.3550942286383367E-14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279.32192402750189</v>
      </c>
      <c r="T193" s="59">
        <f t="shared" si="142"/>
        <v>371.43572414443611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15.640606712173314</v>
      </c>
      <c r="AA193" s="21">
        <f>EXP(-LN(2)/25)*AA192+(1-EXP(-LN(2)/25))/(LN(2)/25)*Calculateur!V193*Calculateur!X193*VLOOKUP('Données projet'!$B$9,Paramètres!$A$1:$I$89,3,0)*0.475*44/12</f>
        <v>1.3643268050420554</v>
      </c>
      <c r="AB193" s="21">
        <f>EXP(-LN(2)/2)*AB192+(1-EXP(-LN(2)/2))/(LN(2)/2)*V193*Y193*VLOOKUP('Données projet'!$B$9,Paramètres!$A$1:$I$89,3,0)*0.475*44/12</f>
        <v>1.6368532042132826E-19</v>
      </c>
      <c r="AC193" s="22">
        <f t="shared" si="163"/>
        <v>17.00493351721537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-7.3896444519050419E-13</v>
      </c>
      <c r="AJ193" s="13">
        <f>AI193*VLOOKUP('Données projet'!$B$10,Paramètres!$A$1:$I$89,3,0)*VLOOKUP('Données projet'!$B$10,Paramètres!$A$1:$I$89,5,0)</f>
        <v>-3.4583536034915594E-13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192.20041613277965</v>
      </c>
      <c r="AO193" s="59">
        <f t="shared" si="144"/>
        <v>132.76245212522417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29.088636054839078</v>
      </c>
      <c r="AV193" s="21">
        <f>EXP(-LN(2)/25)*AV192+(1-EXP(-LN(2)/25))/(LN(2)/25)*Calculateur!AQ193*Calculateur!AS193*VLOOKUP('Données projet'!$B$10,Paramètres!$A$1:$I$89,3,0)*0.475*44/12</f>
        <v>3.4649981549600546</v>
      </c>
      <c r="AW193" s="21">
        <f>EXP(-LN(2)/2)*AW192+(1-EXP(-LN(2)/2))/(LN(2)/2)*AQ193*AT193*VLOOKUP('Données projet'!$B$10,Paramètres!$A$1:$I$89,3,0)*0.475*44/12</f>
        <v>8.8545372988475381E-13</v>
      </c>
      <c r="AX193" s="21">
        <f t="shared" si="166"/>
        <v>32.553634209800023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180.31844548479722</v>
      </c>
      <c r="BJ193" s="59">
        <f t="shared" si="146"/>
        <v>273.83237400307223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6.3471854722017405</v>
      </c>
      <c r="BQ193" s="21">
        <f>EXP(-LN(2)/25)*BQ192+(1-EXP(-LN(2)/25))/(LN(2)/25)*Calculateur!BL193*Calculateur!BN193*VLOOKUP('Données projet'!$B$11,Paramètres!$A$1:$I$89,3,0)*0.475*44/12</f>
        <v>3.934176396563652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10.281361868765392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-3.979039320256561E-13</v>
      </c>
      <c r="BZ193" s="13">
        <f>BY193*VLOOKUP('Données projet'!$B$12,Paramètres!$A$1:$I$89,3,0)*VLOOKUP('Données projet'!$B$12,Paramètres!$A$1:$I$89,5,0)</f>
        <v>-2.379465513513424E-13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214.34615950592251</v>
      </c>
      <c r="CE193" s="59">
        <f t="shared" si="148"/>
        <v>159.66077836853066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16.104626323223549</v>
      </c>
      <c r="CL193" s="21">
        <f>EXP(-LN(2)/25)*CL192+(1-EXP(-LN(2)/25))/(LN(2)/25)*Calculateur!CG193*Calculateur!CI193*VLOOKUP('Données projet'!$B$12,Paramètres!$A$1:$I$89,3,0)*0.475*44/12</f>
        <v>1.6206019213867824</v>
      </c>
      <c r="CM193" s="21">
        <f>EXP(-LN(2)/2)*CM192+(1-EXP(-LN(2)/2))/(LN(2)/2)*CG193*CJ193*VLOOKUP('Données projet'!$B$12,Paramètres!$A$1:$I$89,3,0)*0.475*44/12</f>
        <v>1.0036811120238609E-15</v>
      </c>
      <c r="CN193" s="22">
        <f t="shared" si="172"/>
        <v>17.725228244610332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89.388000000000432</v>
      </c>
      <c r="D194" s="11">
        <f t="shared" si="140"/>
        <v>24.417566768444267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878.49911189676607</v>
      </c>
      <c r="H194" s="67">
        <f t="shared" si="110"/>
        <v>491.54469545504116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-6.3550942286383367E-14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279.32192402750189</v>
      </c>
      <c r="T194" s="59">
        <f t="shared" si="142"/>
        <v>371.43572414443611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15.33390395437571</v>
      </c>
      <c r="AA194" s="21">
        <f>EXP(-LN(2)/25)*AA193+(1-EXP(-LN(2)/25))/(LN(2)/25)*Calculateur!V194*Calculateur!X194*VLOOKUP('Données projet'!$B$9,Paramètres!$A$1:$I$89,3,0)*0.475*44/12</f>
        <v>1.3270192168113519</v>
      </c>
      <c r="AB194" s="21">
        <f>EXP(-LN(2)/2)*AB193+(1-EXP(-LN(2)/2))/(LN(2)/2)*V194*Y194*VLOOKUP('Données projet'!$B$9,Paramètres!$A$1:$I$89,3,0)*0.475*44/12</f>
        <v>1.1574300005061408E-19</v>
      </c>
      <c r="AC194" s="22">
        <f t="shared" si="163"/>
        <v>16.660923171187061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-7.3896444519050419E-13</v>
      </c>
      <c r="AJ194" s="13">
        <f>AI194*VLOOKUP('Données projet'!$B$10,Paramètres!$A$1:$I$89,3,0)*VLOOKUP('Données projet'!$B$10,Paramètres!$A$1:$I$89,5,0)</f>
        <v>-3.4583536034915594E-13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192.20041613277965</v>
      </c>
      <c r="AO194" s="59">
        <f t="shared" si="144"/>
        <v>132.76245212522417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28.51822564411977</v>
      </c>
      <c r="AV194" s="21">
        <f>EXP(-LN(2)/25)*AV193+(1-EXP(-LN(2)/25))/(LN(2)/25)*Calculateur!AQ194*Calculateur!AS194*VLOOKUP('Données projet'!$B$10,Paramètres!$A$1:$I$89,3,0)*0.475*44/12</f>
        <v>3.3702475981963382</v>
      </c>
      <c r="AW194" s="21">
        <f>EXP(-LN(2)/2)*AW193+(1-EXP(-LN(2)/2))/(LN(2)/2)*AQ194*AT194*VLOOKUP('Données projet'!$B$10,Paramètres!$A$1:$I$89,3,0)*0.475*44/12</f>
        <v>6.2611033682843096E-13</v>
      </c>
      <c r="AX194" s="21">
        <f t="shared" si="166"/>
        <v>31.888473242316735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180.31844548479722</v>
      </c>
      <c r="BJ194" s="59">
        <f t="shared" si="146"/>
        <v>273.83237400307223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6.2227210364927332</v>
      </c>
      <c r="BQ194" s="21">
        <f>EXP(-LN(2)/25)*BQ193+(1-EXP(-LN(2)/25))/(LN(2)/25)*Calculateur!BL194*Calculateur!BN194*VLOOKUP('Données projet'!$B$11,Paramètres!$A$1:$I$89,3,0)*0.475*44/12</f>
        <v>3.826596136110274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10.049317172603008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-3.979039320256561E-13</v>
      </c>
      <c r="BZ194" s="13">
        <f>BY194*VLOOKUP('Données projet'!$B$12,Paramètres!$A$1:$I$89,3,0)*VLOOKUP('Données projet'!$B$12,Paramètres!$A$1:$I$89,5,0)</f>
        <v>-2.379465513513424E-13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214.34615950592251</v>
      </c>
      <c r="CE194" s="59">
        <f t="shared" si="148"/>
        <v>159.66077836853066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15.788824423877266</v>
      </c>
      <c r="CL194" s="21">
        <f>EXP(-LN(2)/25)*CL193+(1-EXP(-LN(2)/25))/(LN(2)/25)*Calculateur!CG194*Calculateur!CI194*VLOOKUP('Données projet'!$B$12,Paramètres!$A$1:$I$89,3,0)*0.475*44/12</f>
        <v>1.5762864766227098</v>
      </c>
      <c r="CM194" s="21">
        <f>EXP(-LN(2)/2)*CM193+(1-EXP(-LN(2)/2))/(LN(2)/2)*CG194*CJ194*VLOOKUP('Données projet'!$B$12,Paramètres!$A$1:$I$89,3,0)*0.475*44/12</f>
        <v>7.0970972046092689E-16</v>
      </c>
      <c r="CN194" s="22">
        <f t="shared" si="172"/>
        <v>17.365110900499975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89.856000000000435</v>
      </c>
      <c r="D195" s="11">
        <f t="shared" si="140"/>
        <v>24.530492425499521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882.98345030210487</v>
      </c>
      <c r="H195" s="67">
        <f t="shared" si="110"/>
        <v>492.5564743077457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-6.3550942286383367E-14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279.32192402750189</v>
      </c>
      <c r="T195" s="59">
        <f t="shared" si="142"/>
        <v>371.43572414443611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15.033215450588306</v>
      </c>
      <c r="AA195" s="21">
        <f>EXP(-LN(2)/25)*AA194+(1-EXP(-LN(2)/25))/(LN(2)/25)*Calculateur!V195*Calculateur!X195*VLOOKUP('Données projet'!$B$9,Paramètres!$A$1:$I$89,3,0)*0.475*44/12</f>
        <v>1.2907318065427378</v>
      </c>
      <c r="AB195" s="21">
        <f>EXP(-LN(2)/2)*AB194+(1-EXP(-LN(2)/2))/(LN(2)/2)*V195*Y195*VLOOKUP('Données projet'!$B$9,Paramètres!$A$1:$I$89,3,0)*0.475*44/12</f>
        <v>8.1842660210664128E-20</v>
      </c>
      <c r="AC195" s="22">
        <f t="shared" si="163"/>
        <v>16.323947257131046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-7.3896444519050419E-13</v>
      </c>
      <c r="AJ195" s="13">
        <f>AI195*VLOOKUP('Données projet'!$B$10,Paramètres!$A$1:$I$89,3,0)*VLOOKUP('Données projet'!$B$10,Paramètres!$A$1:$I$89,5,0)</f>
        <v>-3.4583536034915594E-13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192.20041613277965</v>
      </c>
      <c r="AO195" s="59">
        <f t="shared" si="144"/>
        <v>132.76245212522417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27.95900063363867</v>
      </c>
      <c r="AV195" s="21">
        <f>EXP(-LN(2)/25)*AV194+(1-EXP(-LN(2)/25))/(LN(2)/25)*Calculateur!AQ195*Calculateur!AS195*VLOOKUP('Données projet'!$B$10,Paramètres!$A$1:$I$89,3,0)*0.475*44/12</f>
        <v>3.2780880003900408</v>
      </c>
      <c r="AW195" s="21">
        <f>EXP(-LN(2)/2)*AW194+(1-EXP(-LN(2)/2))/(LN(2)/2)*AQ195*AT195*VLOOKUP('Données projet'!$B$10,Paramètres!$A$1:$I$89,3,0)*0.475*44/12</f>
        <v>4.427268649423769E-13</v>
      </c>
      <c r="AX195" s="21">
        <f t="shared" si="166"/>
        <v>31.237088634029156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180.31844548479722</v>
      </c>
      <c r="BJ195" s="59">
        <f t="shared" si="146"/>
        <v>273.83237400307223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6.1006972724521695</v>
      </c>
      <c r="BQ195" s="21">
        <f>EXP(-LN(2)/25)*BQ194+(1-EXP(-LN(2)/25))/(LN(2)/25)*Calculateur!BL195*Calculateur!BN195*VLOOKUP('Données projet'!$B$11,Paramètres!$A$1:$I$89,3,0)*0.475*44/12</f>
        <v>3.7219576635363936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9.8226549359885631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-3.979039320256561E-13</v>
      </c>
      <c r="BZ195" s="13">
        <f>BY195*VLOOKUP('Données projet'!$B$12,Paramètres!$A$1:$I$89,3,0)*VLOOKUP('Données projet'!$B$12,Paramètres!$A$1:$I$89,5,0)</f>
        <v>-2.379465513513424E-13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214.34615950592251</v>
      </c>
      <c r="CE195" s="59">
        <f t="shared" si="148"/>
        <v>159.66077836853066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15.479215207157024</v>
      </c>
      <c r="CL195" s="21">
        <f>EXP(-LN(2)/25)*CL194+(1-EXP(-LN(2)/25))/(LN(2)/25)*Calculateur!CG195*Calculateur!CI195*VLOOKUP('Données projet'!$B$12,Paramètres!$A$1:$I$89,3,0)*0.475*44/12</f>
        <v>1.5331828400261587</v>
      </c>
      <c r="CM195" s="21">
        <f>EXP(-LN(2)/2)*CM194+(1-EXP(-LN(2)/2))/(LN(2)/2)*CG195*CJ195*VLOOKUP('Données projet'!$B$12,Paramètres!$A$1:$I$89,3,0)*0.475*44/12</f>
        <v>5.0184055601193044E-16</v>
      </c>
      <c r="CN195" s="22">
        <f t="shared" si="172"/>
        <v>17.012398047183183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90.324000000000439</v>
      </c>
      <c r="D196" s="11">
        <f t="shared" si="140"/>
        <v>24.643349641795954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887.4672603928143</v>
      </c>
      <c r="H196" s="67">
        <f t="shared" ref="H196:H203" si="192">(B196+E196+F196)*44/12+(C196+D196)*0.475*44/12</f>
        <v>493.56813395946199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-6.3550942286383367E-14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279.32192402750189</v>
      </c>
      <c r="T196" s="59">
        <f t="shared" si="142"/>
        <v>371.43572414443611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14.738423264958296</v>
      </c>
      <c r="AA196" s="21">
        <f>EXP(-LN(2)/25)*AA195+(1-EXP(-LN(2)/25))/(LN(2)/25)*Calculateur!V196*Calculateur!X196*VLOOKUP('Données projet'!$B$9,Paramètres!$A$1:$I$89,3,0)*0.475*44/12</f>
        <v>1.2554366774161909</v>
      </c>
      <c r="AB196" s="21">
        <f>EXP(-LN(2)/2)*AB195+(1-EXP(-LN(2)/2))/(LN(2)/2)*V196*Y196*VLOOKUP('Données projet'!$B$9,Paramètres!$A$1:$I$89,3,0)*0.475*44/12</f>
        <v>5.7871500025307039E-20</v>
      </c>
      <c r="AC196" s="22">
        <f t="shared" si="163"/>
        <v>15.993859942374486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-7.3896444519050419E-13</v>
      </c>
      <c r="AJ196" s="13">
        <f>AI196*VLOOKUP('Données projet'!$B$10,Paramètres!$A$1:$I$89,3,0)*VLOOKUP('Données projet'!$B$10,Paramètres!$A$1:$I$89,5,0)</f>
        <v>-3.4583536034915594E-13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192.20041613277965</v>
      </c>
      <c r="AO196" s="59">
        <f t="shared" si="144"/>
        <v>132.76245212522417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27.410741684519529</v>
      </c>
      <c r="AV196" s="21">
        <f>EXP(-LN(2)/25)*AV195+(1-EXP(-LN(2)/25))/(LN(2)/25)*Calculateur!AQ196*Calculateur!AS196*VLOOKUP('Données projet'!$B$10,Paramètres!$A$1:$I$89,3,0)*0.475*44/12</f>
        <v>3.1884485116322194</v>
      </c>
      <c r="AW196" s="21">
        <f>EXP(-LN(2)/2)*AW195+(1-EXP(-LN(2)/2))/(LN(2)/2)*AQ196*AT196*VLOOKUP('Données projet'!$B$10,Paramètres!$A$1:$I$89,3,0)*0.475*44/12</f>
        <v>3.1305516841421548E-13</v>
      </c>
      <c r="AX196" s="21">
        <f t="shared" si="166"/>
        <v>30.599190196152062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180.31844548479722</v>
      </c>
      <c r="BJ196" s="59">
        <f t="shared" si="146"/>
        <v>273.83237400307223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5.9810663199972947</v>
      </c>
      <c r="BQ196" s="21">
        <f>EXP(-LN(2)/25)*BQ195+(1-EXP(-LN(2)/25))/(LN(2)/25)*Calculateur!BL196*Calculateur!BN196*VLOOKUP('Données projet'!$B$11,Paramètres!$A$1:$I$89,3,0)*0.475*44/12</f>
        <v>3.6201805354977439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9.6012468554950381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-3.979039320256561E-13</v>
      </c>
      <c r="BZ196" s="13">
        <f>BY196*VLOOKUP('Données projet'!$B$12,Paramètres!$A$1:$I$89,3,0)*VLOOKUP('Données projet'!$B$12,Paramètres!$A$1:$I$89,5,0)</f>
        <v>-2.379465513513424E-13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214.34615950592251</v>
      </c>
      <c r="CE196" s="59">
        <f t="shared" si="148"/>
        <v>159.66077836853066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15.175677238333691</v>
      </c>
      <c r="CL196" s="21">
        <f>EXP(-LN(2)/25)*CL195+(1-EXP(-LN(2)/25))/(LN(2)/25)*Calculateur!CG196*Calculateur!CI196*VLOOKUP('Données projet'!$B$12,Paramètres!$A$1:$I$89,3,0)*0.475*44/12</f>
        <v>1.4912578746390619</v>
      </c>
      <c r="CM196" s="21">
        <f>EXP(-LN(2)/2)*CM195+(1-EXP(-LN(2)/2))/(LN(2)/2)*CG196*CJ196*VLOOKUP('Données projet'!$B$12,Paramètres!$A$1:$I$89,3,0)*0.475*44/12</f>
        <v>3.5485486023046345E-16</v>
      </c>
      <c r="CN196" s="22">
        <f t="shared" si="172"/>
        <v>16.666935112972752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90.792000000000442</v>
      </c>
      <c r="D197" s="11">
        <f t="shared" ref="D197:D203" si="202">IFERROR(EXP(-1.0587+0.8836*LN(C197)+0.284),0)</f>
        <v>24.756138813110294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891.95054522401279</v>
      </c>
      <c r="H197" s="67">
        <f t="shared" si="192"/>
        <v>494.57967509950117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-6.3550942286383367E-14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279.32192402750189</v>
      </c>
      <c r="T197" s="59">
        <f t="shared" ref="T197:T203" si="204">$T$3</f>
        <v>371.43572414443611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14.449411774283011</v>
      </c>
      <c r="AA197" s="21">
        <f>EXP(-LN(2)/25)*AA196+(1-EXP(-LN(2)/25))/(LN(2)/25)*Calculateur!V197*Calculateur!X197*VLOOKUP('Données projet'!$B$9,Paramètres!$A$1:$I$89,3,0)*0.475*44/12</f>
        <v>1.2211066954516996</v>
      </c>
      <c r="AB197" s="21">
        <f>EXP(-LN(2)/2)*AB196+(1-EXP(-LN(2)/2))/(LN(2)/2)*V197*Y197*VLOOKUP('Données projet'!$B$9,Paramètres!$A$1:$I$89,3,0)*0.475*44/12</f>
        <v>4.0921330105332064E-20</v>
      </c>
      <c r="AC197" s="22">
        <f t="shared" si="163"/>
        <v>15.670518469734709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-7.3896444519050419E-13</v>
      </c>
      <c r="AJ197" s="13">
        <f>AI197*VLOOKUP('Données projet'!$B$10,Paramètres!$A$1:$I$89,3,0)*VLOOKUP('Données projet'!$B$10,Paramètres!$A$1:$I$89,5,0)</f>
        <v>-3.4583536034915594E-13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192.20041613277965</v>
      </c>
      <c r="AO197" s="59">
        <f t="shared" ref="AO197:AO203" si="205">$AO$3</f>
        <v>132.76245212522417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26.873233758987674</v>
      </c>
      <c r="AV197" s="21">
        <f>EXP(-LN(2)/25)*AV196+(1-EXP(-LN(2)/25))/(LN(2)/25)*Calculateur!AQ197*Calculateur!AS197*VLOOKUP('Données projet'!$B$10,Paramètres!$A$1:$I$89,3,0)*0.475*44/12</f>
        <v>3.1012602194084167</v>
      </c>
      <c r="AW197" s="21">
        <f>EXP(-LN(2)/2)*AW196+(1-EXP(-LN(2)/2))/(LN(2)/2)*AQ197*AT197*VLOOKUP('Données projet'!$B$10,Paramètres!$A$1:$I$89,3,0)*0.475*44/12</f>
        <v>2.2136343247118845E-13</v>
      </c>
      <c r="AX197" s="21">
        <f t="shared" si="166"/>
        <v>29.97449397839631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180.31844548479722</v>
      </c>
      <c r="BJ197" s="59">
        <f t="shared" ref="BJ197:BJ203" si="206">$BJ$3</f>
        <v>273.83237400307223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5.8637812575523842</v>
      </c>
      <c r="BQ197" s="21">
        <f>EXP(-LN(2)/25)*BQ196+(1-EXP(-LN(2)/25))/(LN(2)/25)*Calculateur!BL197*Calculateur!BN197*VLOOKUP('Données projet'!$B$11,Paramètres!$A$1:$I$89,3,0)*0.475*44/12</f>
        <v>3.5211865083775375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9.3849677659299218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-3.979039320256561E-13</v>
      </c>
      <c r="BZ197" s="13">
        <f>BY197*VLOOKUP('Données projet'!$B$12,Paramètres!$A$1:$I$89,3,0)*VLOOKUP('Données projet'!$B$12,Paramètres!$A$1:$I$89,5,0)</f>
        <v>-2.379465513513424E-13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214.34615950592251</v>
      </c>
      <c r="CE197" s="59">
        <f t="shared" ref="CE197:CE203" si="207">$CE$3</f>
        <v>159.66077836853066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14.878091463939104</v>
      </c>
      <c r="CL197" s="21">
        <f>EXP(-LN(2)/25)*CL196+(1-EXP(-LN(2)/25))/(LN(2)/25)*Calculateur!CG197*Calculateur!CI197*VLOOKUP('Données projet'!$B$12,Paramètres!$A$1:$I$89,3,0)*0.475*44/12</f>
        <v>1.4504793496352135</v>
      </c>
      <c r="CM197" s="21">
        <f>EXP(-LN(2)/2)*CM196+(1-EXP(-LN(2)/2))/(LN(2)/2)*CG197*CJ197*VLOOKUP('Données projet'!$B$12,Paramètres!$A$1:$I$89,3,0)*0.475*44/12</f>
        <v>2.5092027800596522E-16</v>
      </c>
      <c r="CN197" s="22">
        <f t="shared" si="172"/>
        <v>16.328570813574316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91.260000000000446</v>
      </c>
      <c r="D198" s="11">
        <f t="shared" si="202"/>
        <v>24.868860330902901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896.43330781749955</v>
      </c>
      <c r="H198" s="67">
        <f t="shared" si="192"/>
        <v>495.59109840965664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-6.3550942286383367E-14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279.32192402750189</v>
      </c>
      <c r="T198" s="59">
        <f t="shared" si="204"/>
        <v>371.43572414443611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14.166067622660265</v>
      </c>
      <c r="AA198" s="21">
        <f>EXP(-LN(2)/25)*AA197+(1-EXP(-LN(2)/25))/(LN(2)/25)*Calculateur!V198*Calculateur!X198*VLOOKUP('Données projet'!$B$9,Paramètres!$A$1:$I$89,3,0)*0.475*44/12</f>
        <v>1.1877154686493627</v>
      </c>
      <c r="AB198" s="21">
        <f>EXP(-LN(2)/2)*AB197+(1-EXP(-LN(2)/2))/(LN(2)/2)*V198*Y198*VLOOKUP('Données projet'!$B$9,Paramètres!$A$1:$I$89,3,0)*0.475*44/12</f>
        <v>2.893575001265352E-20</v>
      </c>
      <c r="AC198" s="22">
        <f t="shared" si="163"/>
        <v>15.353783091309626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-7.3896444519050419E-13</v>
      </c>
      <c r="AJ198" s="13">
        <f>AI198*VLOOKUP('Données projet'!$B$10,Paramètres!$A$1:$I$89,3,0)*VLOOKUP('Données projet'!$B$10,Paramètres!$A$1:$I$89,5,0)</f>
        <v>-3.4583536034915594E-13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192.20041613277965</v>
      </c>
      <c r="AO198" s="59">
        <f t="shared" si="205"/>
        <v>132.76245212522417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26.346266036028037</v>
      </c>
      <c r="AV198" s="21">
        <f>EXP(-LN(2)/25)*AV197+(1-EXP(-LN(2)/25))/(LN(2)/25)*Calculateur!AQ198*Calculateur!AS198*VLOOKUP('Données projet'!$B$10,Paramètres!$A$1:$I$89,3,0)*0.475*44/12</f>
        <v>3.0164560956205064</v>
      </c>
      <c r="AW198" s="21">
        <f>EXP(-LN(2)/2)*AW197+(1-EXP(-LN(2)/2))/(LN(2)/2)*AQ198*AT198*VLOOKUP('Données projet'!$B$10,Paramètres!$A$1:$I$89,3,0)*0.475*44/12</f>
        <v>1.5652758420710774E-13</v>
      </c>
      <c r="AX198" s="21">
        <f t="shared" si="166"/>
        <v>29.362722131648699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180.31844548479722</v>
      </c>
      <c r="BJ198" s="59">
        <f t="shared" si="206"/>
        <v>273.83237400307223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5.7487960836451935</v>
      </c>
      <c r="BQ198" s="21">
        <f>EXP(-LN(2)/25)*BQ197+(1-EXP(-LN(2)/25))/(LN(2)/25)*Calculateur!BL198*Calculateur!BN198*VLOOKUP('Données projet'!$B$11,Paramètres!$A$1:$I$89,3,0)*0.475*44/12</f>
        <v>3.4248994781348032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9.1736955617799971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-3.979039320256561E-13</v>
      </c>
      <c r="BZ198" s="13">
        <f>BY198*VLOOKUP('Données projet'!$B$12,Paramètres!$A$1:$I$89,3,0)*VLOOKUP('Données projet'!$B$12,Paramètres!$A$1:$I$89,5,0)</f>
        <v>-2.379465513513424E-13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214.34615950592251</v>
      </c>
      <c r="CE198" s="59">
        <f t="shared" si="207"/>
        <v>159.66077836853066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14.586341165070994</v>
      </c>
      <c r="CL198" s="21">
        <f>EXP(-LN(2)/25)*CL197+(1-EXP(-LN(2)/25))/(LN(2)/25)*Calculateur!CG198*Calculateur!CI198*VLOOKUP('Données projet'!$B$12,Paramètres!$A$1:$I$89,3,0)*0.475*44/12</f>
        <v>1.4108159155420448</v>
      </c>
      <c r="CM198" s="21">
        <f>EXP(-LN(2)/2)*CM197+(1-EXP(-LN(2)/2))/(LN(2)/2)*CG198*CJ198*VLOOKUP('Données projet'!$B$12,Paramètres!$A$1:$I$89,3,0)*0.475*44/12</f>
        <v>1.7742743011523172E-16</v>
      </c>
      <c r="CN198" s="22">
        <f t="shared" si="172"/>
        <v>15.997157080613039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91.728000000000449</v>
      </c>
      <c r="D199" s="11">
        <f t="shared" si="202"/>
        <v>24.981514582386662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900.91555116228653</v>
      </c>
      <c r="H199" s="67">
        <f t="shared" si="192"/>
        <v>496.60240456432416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-6.3550942286383367E-14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279.32192402750189</v>
      </c>
      <c r="T199" s="59">
        <f t="shared" si="204"/>
        <v>371.43572414443611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13.888279677027974</v>
      </c>
      <c r="AA199" s="21">
        <f>EXP(-LN(2)/25)*AA198+(1-EXP(-LN(2)/25))/(LN(2)/25)*Calculateur!V199*Calculateur!X199*VLOOKUP('Données projet'!$B$9,Paramètres!$A$1:$I$89,3,0)*0.475*44/12</f>
        <v>1.1552373266999039</v>
      </c>
      <c r="AB199" s="21">
        <f>EXP(-LN(2)/2)*AB198+(1-EXP(-LN(2)/2))/(LN(2)/2)*V199*Y199*VLOOKUP('Données projet'!$B$9,Paramètres!$A$1:$I$89,3,0)*0.475*44/12</f>
        <v>2.0460665052666032E-20</v>
      </c>
      <c r="AC199" s="22">
        <f t="shared" si="163"/>
        <v>15.043517003727878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-7.3896444519050419E-13</v>
      </c>
      <c r="AJ199" s="13">
        <f>AI199*VLOOKUP('Données projet'!$B$10,Paramètres!$A$1:$I$89,3,0)*VLOOKUP('Données projet'!$B$10,Paramètres!$A$1:$I$89,5,0)</f>
        <v>-3.4583536034915594E-13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192.20041613277965</v>
      </c>
      <c r="AO199" s="59">
        <f t="shared" si="205"/>
        <v>132.76245212522417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25.829631828697064</v>
      </c>
      <c r="AV199" s="21">
        <f>EXP(-LN(2)/25)*AV198+(1-EXP(-LN(2)/25))/(LN(2)/25)*Calculateur!AQ199*Calculateur!AS199*VLOOKUP('Données projet'!$B$10,Paramètres!$A$1:$I$89,3,0)*0.475*44/12</f>
        <v>2.933970945057232</v>
      </c>
      <c r="AW199" s="21">
        <f>EXP(-LN(2)/2)*AW198+(1-EXP(-LN(2)/2))/(LN(2)/2)*AQ199*AT199*VLOOKUP('Données projet'!$B$10,Paramètres!$A$1:$I$89,3,0)*0.475*44/12</f>
        <v>1.1068171623559423E-13</v>
      </c>
      <c r="AX199" s="21">
        <f t="shared" si="166"/>
        <v>28.763602773754407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180.31844548479722</v>
      </c>
      <c r="BJ199" s="59">
        <f t="shared" si="206"/>
        <v>273.83237400307223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5.6360656988642921</v>
      </c>
      <c r="BQ199" s="21">
        <f>EXP(-LN(2)/25)*BQ198+(1-EXP(-LN(2)/25))/(LN(2)/25)*Calculateur!BL199*Calculateur!BN199*VLOOKUP('Données projet'!$B$11,Paramètres!$A$1:$I$89,3,0)*0.475*44/12</f>
        <v>3.3312454217975711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8.9673111206618632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-3.979039320256561E-13</v>
      </c>
      <c r="BZ199" s="13">
        <f>BY199*VLOOKUP('Données projet'!$B$12,Paramètres!$A$1:$I$89,3,0)*VLOOKUP('Données projet'!$B$12,Paramètres!$A$1:$I$89,5,0)</f>
        <v>-2.379465513513424E-13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214.34615950592251</v>
      </c>
      <c r="CE199" s="59">
        <f t="shared" si="207"/>
        <v>159.66077836853066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14.300311911613578</v>
      </c>
      <c r="CL199" s="21">
        <f>EXP(-LN(2)/25)*CL198+(1-EXP(-LN(2)/25))/(LN(2)/25)*Calculateur!CG199*Calculateur!CI199*VLOOKUP('Données projet'!$B$12,Paramètres!$A$1:$I$89,3,0)*0.475*44/12</f>
        <v>1.372237080139963</v>
      </c>
      <c r="CM199" s="21">
        <f>EXP(-LN(2)/2)*CM198+(1-EXP(-LN(2)/2))/(LN(2)/2)*CG199*CJ199*VLOOKUP('Données projet'!$B$12,Paramètres!$A$1:$I$89,3,0)*0.475*44/12</f>
        <v>1.2546013900298261E-16</v>
      </c>
      <c r="CN199" s="22">
        <f t="shared" si="172"/>
        <v>15.672548991753541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92.196000000000453</v>
      </c>
      <c r="D200" s="11">
        <f t="shared" si="202"/>
        <v>25.094101950594609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905.39727821511985</v>
      </c>
      <c r="H200" s="67">
        <f t="shared" si="192"/>
        <v>497.6135942306197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-6.3550942286383367E-14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279.32192402750189</v>
      </c>
      <c r="T200" s="59">
        <f t="shared" si="204"/>
        <v>371.43572414443611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13.615938983575615</v>
      </c>
      <c r="AA200" s="21">
        <f>EXP(-LN(2)/25)*AA199+(1-EXP(-LN(2)/25))/(LN(2)/25)*Calculateur!V200*Calculateur!X200*VLOOKUP('Données projet'!$B$9,Paramètres!$A$1:$I$89,3,0)*0.475*44/12</f>
        <v>1.1236473012500043</v>
      </c>
      <c r="AB200" s="21">
        <f>EXP(-LN(2)/2)*AB199+(1-EXP(-LN(2)/2))/(LN(2)/2)*V200*Y200*VLOOKUP('Données projet'!$B$9,Paramètres!$A$1:$I$89,3,0)*0.475*44/12</f>
        <v>1.446787500632676E-20</v>
      </c>
      <c r="AC200" s="22">
        <f t="shared" si="163"/>
        <v>14.73958628482562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-7.3896444519050419E-13</v>
      </c>
      <c r="AJ200" s="13">
        <f>AI200*VLOOKUP('Données projet'!$B$10,Paramètres!$A$1:$I$89,3,0)*VLOOKUP('Données projet'!$B$10,Paramètres!$A$1:$I$89,5,0)</f>
        <v>-3.4583536034915594E-13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192.20041613277965</v>
      </c>
      <c r="AO200" s="59">
        <f t="shared" si="205"/>
        <v>132.76245212522417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25.3231285030561</v>
      </c>
      <c r="AV200" s="21">
        <f>EXP(-LN(2)/25)*AV199+(1-EXP(-LN(2)/25))/(LN(2)/25)*Calculateur!AQ200*Calculateur!AS200*VLOOKUP('Données projet'!$B$10,Paramètres!$A$1:$I$89,3,0)*0.475*44/12</f>
        <v>2.8537413552738156</v>
      </c>
      <c r="AW200" s="21">
        <f>EXP(-LN(2)/2)*AW199+(1-EXP(-LN(2)/2))/(LN(2)/2)*AQ200*AT200*VLOOKUP('Données projet'!$B$10,Paramètres!$A$1:$I$89,3,0)*0.475*44/12</f>
        <v>7.826379210355387E-14</v>
      </c>
      <c r="AX200" s="21">
        <f t="shared" si="166"/>
        <v>28.176869858329994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180.31844548479722</v>
      </c>
      <c r="BJ200" s="59">
        <f t="shared" si="206"/>
        <v>273.83237400307223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5.5255458881701989</v>
      </c>
      <c r="BQ200" s="21">
        <f>EXP(-LN(2)/25)*BQ199+(1-EXP(-LN(2)/25))/(LN(2)/25)*Calculateur!BL200*Calculateur!BN200*VLOOKUP('Données projet'!$B$11,Paramètres!$A$1:$I$89,3,0)*0.475*44/12</f>
        <v>3.2401523405559334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8.7656982287261318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-3.979039320256561E-13</v>
      </c>
      <c r="BZ200" s="13">
        <f>BY200*VLOOKUP('Données projet'!$B$12,Paramètres!$A$1:$I$89,3,0)*VLOOKUP('Données projet'!$B$12,Paramètres!$A$1:$I$89,5,0)</f>
        <v>-2.379465513513424E-13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214.34615950592251</v>
      </c>
      <c r="CE200" s="59">
        <f t="shared" si="207"/>
        <v>159.66077836853066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14.019891517355843</v>
      </c>
      <c r="CL200" s="21">
        <f>EXP(-LN(2)/25)*CL199+(1-EXP(-LN(2)/25))/(LN(2)/25)*Calculateur!CG200*Calculateur!CI200*VLOOKUP('Données projet'!$B$12,Paramètres!$A$1:$I$89,3,0)*0.475*44/12</f>
        <v>1.3347131850207239</v>
      </c>
      <c r="CM200" s="21">
        <f>EXP(-LN(2)/2)*CM199+(1-EXP(-LN(2)/2))/(LN(2)/2)*CG200*CJ200*VLOOKUP('Données projet'!$B$12,Paramètres!$A$1:$I$89,3,0)*0.475*44/12</f>
        <v>8.8713715057615861E-17</v>
      </c>
      <c r="CN200" s="22">
        <f t="shared" si="172"/>
        <v>15.354604702376566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92.664000000000456</v>
      </c>
      <c r="D201" s="11">
        <f t="shared" si="202"/>
        <v>25.206622814445883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909.87849190098939</v>
      </c>
      <c r="H201" s="67">
        <f t="shared" si="192"/>
        <v>498.62466806849403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-6.3550942286383367E-14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279.32192402750189</v>
      </c>
      <c r="T201" s="59">
        <f t="shared" si="204"/>
        <v>371.43572414443611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13.348938725010436</v>
      </c>
      <c r="AA201" s="21">
        <f>EXP(-LN(2)/25)*AA200+(1-EXP(-LN(2)/25))/(LN(2)/25)*Calculateur!V201*Calculateur!X201*VLOOKUP('Données projet'!$B$9,Paramètres!$A$1:$I$89,3,0)*0.475*44/12</f>
        <v>1.0929211067072795</v>
      </c>
      <c r="AB201" s="21">
        <f>EXP(-LN(2)/2)*AB200+(1-EXP(-LN(2)/2))/(LN(2)/2)*V201*Y201*VLOOKUP('Données projet'!$B$9,Paramètres!$A$1:$I$89,3,0)*0.475*44/12</f>
        <v>1.0230332526333016E-20</v>
      </c>
      <c r="AC201" s="22">
        <f t="shared" si="163"/>
        <v>14.441859831717716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-7.3896444519050419E-13</v>
      </c>
      <c r="AJ201" s="13">
        <f>AI201*VLOOKUP('Données projet'!$B$10,Paramètres!$A$1:$I$89,3,0)*VLOOKUP('Données projet'!$B$10,Paramètres!$A$1:$I$89,5,0)</f>
        <v>-3.4583536034915594E-13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192.20041613277965</v>
      </c>
      <c r="AO201" s="59">
        <f t="shared" si="205"/>
        <v>132.76245212522417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24.826557398694433</v>
      </c>
      <c r="AV201" s="21">
        <f>EXP(-LN(2)/25)*AV200+(1-EXP(-LN(2)/25))/(LN(2)/25)*Calculateur!AQ201*Calculateur!AS201*VLOOKUP('Données projet'!$B$10,Paramètres!$A$1:$I$89,3,0)*0.475*44/12</f>
        <v>2.7757056478421176</v>
      </c>
      <c r="AW201" s="21">
        <f>EXP(-LN(2)/2)*AW200+(1-EXP(-LN(2)/2))/(LN(2)/2)*AQ201*AT201*VLOOKUP('Données projet'!$B$10,Paramètres!$A$1:$I$89,3,0)*0.475*44/12</f>
        <v>5.5340858117797113E-14</v>
      </c>
      <c r="AX201" s="21">
        <f t="shared" si="166"/>
        <v>27.602263046536606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180.31844548479722</v>
      </c>
      <c r="BJ201" s="59">
        <f t="shared" si="206"/>
        <v>273.83237400307223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5.4171933035533888</v>
      </c>
      <c r="BQ201" s="21">
        <f>EXP(-LN(2)/25)*BQ200+(1-EXP(-LN(2)/25))/(LN(2)/25)*Calculateur!BL201*Calculateur!BN201*VLOOKUP('Données projet'!$B$11,Paramètres!$A$1:$I$89,3,0)*0.475*44/12</f>
        <v>3.1515502044112251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8.5687435079646139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-3.979039320256561E-13</v>
      </c>
      <c r="BZ201" s="13">
        <f>BY201*VLOOKUP('Données projet'!$B$12,Paramètres!$A$1:$I$89,3,0)*VLOOKUP('Données projet'!$B$12,Paramètres!$A$1:$I$89,5,0)</f>
        <v>-2.379465513513424E-13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214.34615950592251</v>
      </c>
      <c r="CE201" s="59">
        <f t="shared" si="207"/>
        <v>159.66077836853066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13.744969995989951</v>
      </c>
      <c r="CL201" s="21">
        <f>EXP(-LN(2)/25)*CL200+(1-EXP(-LN(2)/25))/(LN(2)/25)*Calculateur!CG201*Calculateur!CI201*VLOOKUP('Données projet'!$B$12,Paramètres!$A$1:$I$89,3,0)*0.475*44/12</f>
        <v>1.2982153827868164</v>
      </c>
      <c r="CM201" s="21">
        <f>EXP(-LN(2)/2)*CM200+(1-EXP(-LN(2)/2))/(LN(2)/2)*CG201*CJ201*VLOOKUP('Données projet'!$B$12,Paramètres!$A$1:$I$89,3,0)*0.475*44/12</f>
        <v>6.2730069501491305E-17</v>
      </c>
      <c r="CN201" s="22">
        <f t="shared" si="172"/>
        <v>15.043185378776768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93.13200000000046</v>
      </c>
      <c r="D202" s="11">
        <f t="shared" si="202"/>
        <v>25.319077548810565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914.35919511362908</v>
      </c>
      <c r="H202" s="67">
        <f t="shared" si="192"/>
        <v>499.63562673084584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-6.3550942286383367E-14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279.32192402750189</v>
      </c>
      <c r="T202" s="59">
        <f t="shared" si="204"/>
        <v>371.43572414443611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13.087174178661643</v>
      </c>
      <c r="AA202" s="21">
        <f>EXP(-LN(2)/25)*AA201+(1-EXP(-LN(2)/25))/(LN(2)/25)*Calculateur!V202*Calculateur!X202*VLOOKUP('Données projet'!$B$9,Paramètres!$A$1:$I$89,3,0)*0.475*44/12</f>
        <v>1.0630351215701459</v>
      </c>
      <c r="AB202" s="21">
        <f>EXP(-LN(2)/2)*AB201+(1-EXP(-LN(2)/2))/(LN(2)/2)*V202*Y202*VLOOKUP('Données projet'!$B$9,Paramètres!$A$1:$I$89,3,0)*0.475*44/12</f>
        <v>7.2339375031633799E-21</v>
      </c>
      <c r="AC202" s="22">
        <f t="shared" si="163"/>
        <v>14.150209300231788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-7.3896444519050419E-13</v>
      </c>
      <c r="AJ202" s="13">
        <f>AI202*VLOOKUP('Données projet'!$B$10,Paramètres!$A$1:$I$89,3,0)*VLOOKUP('Données projet'!$B$10,Paramètres!$A$1:$I$89,5,0)</f>
        <v>-3.4583536034915594E-13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192.20041613277965</v>
      </c>
      <c r="AO202" s="59">
        <f t="shared" si="205"/>
        <v>132.76245212522417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24.33972375081083</v>
      </c>
      <c r="AV202" s="21">
        <f>EXP(-LN(2)/25)*AV201+(1-EXP(-LN(2)/25))/(LN(2)/25)*Calculateur!AQ202*Calculateur!AS202*VLOOKUP('Données projet'!$B$10,Paramètres!$A$1:$I$89,3,0)*0.475*44/12</f>
        <v>2.6998038309338588</v>
      </c>
      <c r="AW202" s="21">
        <f>EXP(-LN(2)/2)*AW201+(1-EXP(-LN(2)/2))/(LN(2)/2)*AQ202*AT202*VLOOKUP('Données projet'!$B$10,Paramètres!$A$1:$I$89,3,0)*0.475*44/12</f>
        <v>3.9131896051776935E-14</v>
      </c>
      <c r="AX202" s="21">
        <f t="shared" si="166"/>
        <v>27.039527581744728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180.31844548479722</v>
      </c>
      <c r="BJ202" s="59">
        <f t="shared" si="206"/>
        <v>273.83237400307223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5.3109654470323635</v>
      </c>
      <c r="BQ202" s="21">
        <f>EXP(-LN(2)/25)*BQ201+(1-EXP(-LN(2)/25))/(LN(2)/25)*Calculateur!BL202*Calculateur!BN202*VLOOKUP('Données projet'!$B$11,Paramètres!$A$1:$I$89,3,0)*0.475*44/12</f>
        <v>3.0653708983387777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8.3763363453711417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-3.979039320256561E-13</v>
      </c>
      <c r="BZ202" s="13">
        <f>BY202*VLOOKUP('Données projet'!$B$12,Paramètres!$A$1:$I$89,3,0)*VLOOKUP('Données projet'!$B$12,Paramètres!$A$1:$I$89,5,0)</f>
        <v>-2.379465513513424E-13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214.34615950592251</v>
      </c>
      <c r="CE202" s="59">
        <f t="shared" si="207"/>
        <v>159.66077836853066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13.475439517972474</v>
      </c>
      <c r="CL202" s="21">
        <f>EXP(-LN(2)/25)*CL201+(1-EXP(-LN(2)/25))/(LN(2)/25)*Calculateur!CG202*Calculateur!CI202*VLOOKUP('Données projet'!$B$12,Paramètres!$A$1:$I$89,3,0)*0.475*44/12</f>
        <v>1.262715614874331</v>
      </c>
      <c r="CM202" s="21">
        <f>EXP(-LN(2)/2)*CM201+(1-EXP(-LN(2)/2))/(LN(2)/2)*CG202*CJ202*VLOOKUP('Données projet'!$B$12,Paramètres!$A$1:$I$89,3,0)*0.475*44/12</f>
        <v>4.4356857528807931E-17</v>
      </c>
      <c r="CN202" s="22">
        <f t="shared" si="172"/>
        <v>14.738155132846805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93.600000000000463</v>
      </c>
      <c r="D203" s="11">
        <f t="shared" si="202"/>
        <v>25.43146652457305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918.83939071600616</v>
      </c>
      <c r="H203" s="67">
        <f t="shared" si="192"/>
        <v>500.6464708636322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-6.3550942286383367E-14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279.32192402750189</v>
      </c>
      <c r="T203" s="59">
        <f t="shared" si="204"/>
        <v>371.43572414443611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12.830542675406141</v>
      </c>
      <c r="AA203" s="21">
        <f>EXP(-LN(2)/25)*AA202+(1-EXP(-LN(2)/25))/(LN(2)/25)*Calculateur!V203*Calculateur!X203*VLOOKUP('Données projet'!$B$9,Paramètres!$A$1:$I$89,3,0)*0.475*44/12</f>
        <v>1.0339663702682229</v>
      </c>
      <c r="AB203" s="21">
        <f>EXP(-LN(2)/2)*AB202+(1-EXP(-LN(2)/2))/(LN(2)/2)*V203*Y203*VLOOKUP('Données projet'!$B$9,Paramètres!$A$1:$I$89,3,0)*0.475*44/12</f>
        <v>5.115166263166508E-21</v>
      </c>
      <c r="AC203" s="22">
        <f t="shared" si="163"/>
        <v>13.864509045674364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-7.3896444519050419E-13</v>
      </c>
      <c r="AJ203" s="13">
        <f>AI203*VLOOKUP('Données projet'!$B$10,Paramètres!$A$1:$I$89,3,0)*VLOOKUP('Données projet'!$B$10,Paramètres!$A$1:$I$89,5,0)</f>
        <v>-3.4583536034915594E-13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192.20041613277965</v>
      </c>
      <c r="AO203" s="59">
        <f t="shared" si="205"/>
        <v>132.76245212522417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23.862436613823022</v>
      </c>
      <c r="AV203" s="21">
        <f>EXP(-LN(2)/25)*AV202+(1-EXP(-LN(2)/25))/(LN(2)/25)*Calculateur!AQ203*Calculateur!AS203*VLOOKUP('Données projet'!$B$10,Paramètres!$A$1:$I$89,3,0)*0.475*44/12</f>
        <v>2.6259775532004594</v>
      </c>
      <c r="AW203" s="21">
        <f>EXP(-LN(2)/2)*AW202+(1-EXP(-LN(2)/2))/(LN(2)/2)*AQ203*AT203*VLOOKUP('Données projet'!$B$10,Paramètres!$A$1:$I$89,3,0)*0.475*44/12</f>
        <v>2.7670429058898557E-14</v>
      </c>
      <c r="AX203" s="21">
        <f t="shared" si="166"/>
        <v>26.48841416702351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180.31844548479722</v>
      </c>
      <c r="BJ203" s="59">
        <f t="shared" si="206"/>
        <v>273.83237400307223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5.2068206539851207</v>
      </c>
      <c r="BQ203" s="21">
        <f>EXP(-LN(2)/25)*BQ202+(1-EXP(-LN(2)/25))/(LN(2)/25)*Calculateur!BL203*Calculateur!BN203*VLOOKUP('Données projet'!$B$11,Paramètres!$A$1:$I$89,3,0)*0.475*44/12</f>
        <v>2.9815481699228541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8.1883688239079753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-3.979039320256561E-13</v>
      </c>
      <c r="BZ203" s="13">
        <f>BY203*VLOOKUP('Données projet'!$B$12,Paramètres!$A$1:$I$89,3,0)*VLOOKUP('Données projet'!$B$12,Paramètres!$A$1:$I$89,5,0)</f>
        <v>-2.379465513513424E-13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214.34615950592251</v>
      </c>
      <c r="CE203" s="59">
        <f t="shared" si="207"/>
        <v>159.66077836853066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13.21119436823156</v>
      </c>
      <c r="CL203" s="21">
        <f>EXP(-LN(2)/25)*CL202+(1-EXP(-LN(2)/25))/(LN(2)/25)*Calculateur!CG203*Calculateur!CI203*VLOOKUP('Données projet'!$B$12,Paramètres!$A$1:$I$89,3,0)*0.475*44/12</f>
        <v>1.2281865899822642</v>
      </c>
      <c r="CM203" s="21">
        <f>EXP(-LN(2)/2)*CM202+(1-EXP(-LN(2)/2))/(LN(2)/2)*CG203*CJ203*VLOOKUP('Données projet'!$B$12,Paramètres!$A$1:$I$89,3,0)*0.475*44/12</f>
        <v>3.1365034750745653E-17</v>
      </c>
      <c r="CN203" s="22">
        <f t="shared" si="172"/>
        <v>14.439380958213825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99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99</v>
      </c>
      <c r="BA204" s="81" t="s">
        <v>99</v>
      </c>
      <c r="BV204" s="81" t="s">
        <v>99</v>
      </c>
      <c r="CQ204" s="81" t="s">
        <v>99</v>
      </c>
      <c r="DL204" s="81" t="s">
        <v>99</v>
      </c>
      <c r="EG204" s="81" t="s">
        <v>99</v>
      </c>
      <c r="FB204" s="81" t="s">
        <v>99</v>
      </c>
      <c r="FW204" s="81" t="s">
        <v>99</v>
      </c>
      <c r="GR204" s="81" t="s">
        <v>99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1.3356034260773062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1.1840119133911551</v>
      </c>
      <c r="BA205" s="82">
        <f>EXP(LN('Données projet'!B88)/'Données projet'!A88)</f>
        <v>1.2997069632623315</v>
      </c>
      <c r="BV205" s="82">
        <f>EXP(LN('Données projet'!B114)/'Données projet'!A114)</f>
        <v>1.2476305424001204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100</v>
      </c>
      <c r="B1" s="112" t="s">
        <v>101</v>
      </c>
      <c r="C1" s="113" t="s">
        <v>102</v>
      </c>
      <c r="D1" s="112" t="s">
        <v>103</v>
      </c>
      <c r="E1" s="113" t="s">
        <v>104</v>
      </c>
      <c r="F1" s="113" t="s">
        <v>103</v>
      </c>
      <c r="G1" s="113" t="s">
        <v>105</v>
      </c>
      <c r="H1" s="113" t="s">
        <v>103</v>
      </c>
      <c r="I1" s="114" t="s">
        <v>106</v>
      </c>
      <c r="J1" s="78"/>
      <c r="K1" s="78"/>
      <c r="L1" s="78"/>
      <c r="M1" s="78"/>
      <c r="N1" s="78"/>
    </row>
    <row r="2" spans="1:16" x14ac:dyDescent="0.35">
      <c r="A2" s="115" t="s">
        <v>107</v>
      </c>
      <c r="B2" s="116" t="s">
        <v>108</v>
      </c>
      <c r="C2" s="117">
        <v>0.62</v>
      </c>
      <c r="D2" s="117" t="s">
        <v>109</v>
      </c>
      <c r="E2" s="117">
        <v>1.56</v>
      </c>
      <c r="F2" s="117" t="s">
        <v>110</v>
      </c>
      <c r="G2" s="118">
        <v>0.43</v>
      </c>
      <c r="H2" s="119" t="s">
        <v>111</v>
      </c>
      <c r="I2" s="120">
        <v>0.25</v>
      </c>
      <c r="J2" s="78"/>
      <c r="K2" s="78"/>
      <c r="L2" s="78"/>
      <c r="M2" s="78"/>
      <c r="N2" s="78"/>
      <c r="O2" s="281" t="s">
        <v>112</v>
      </c>
      <c r="P2" s="121">
        <v>0</v>
      </c>
    </row>
    <row r="3" spans="1:16" ht="15" thickBot="1" x14ac:dyDescent="0.4">
      <c r="A3" s="122" t="s">
        <v>113</v>
      </c>
      <c r="B3" s="123" t="s">
        <v>114</v>
      </c>
      <c r="C3" s="124">
        <v>0.64</v>
      </c>
      <c r="D3" s="124" t="s">
        <v>109</v>
      </c>
      <c r="E3" s="124">
        <v>1.56</v>
      </c>
      <c r="F3" s="125" t="s">
        <v>110</v>
      </c>
      <c r="G3" s="126">
        <v>0.43</v>
      </c>
      <c r="H3" s="124" t="s">
        <v>111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115</v>
      </c>
      <c r="B4" s="123" t="s">
        <v>116</v>
      </c>
      <c r="C4" s="124">
        <v>0.42</v>
      </c>
      <c r="D4" s="124" t="s">
        <v>109</v>
      </c>
      <c r="E4" s="124">
        <v>1.56</v>
      </c>
      <c r="F4" s="125" t="s">
        <v>110</v>
      </c>
      <c r="G4" s="126">
        <v>0.43</v>
      </c>
      <c r="H4" s="124" t="s">
        <v>111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117</v>
      </c>
      <c r="B5" s="123" t="s">
        <v>118</v>
      </c>
      <c r="C5" s="124">
        <v>0.42</v>
      </c>
      <c r="D5" s="124" t="s">
        <v>109</v>
      </c>
      <c r="E5" s="124">
        <v>1.56</v>
      </c>
      <c r="F5" s="125" t="s">
        <v>110</v>
      </c>
      <c r="G5" s="126">
        <v>0.43</v>
      </c>
      <c r="H5" s="124" t="s">
        <v>111</v>
      </c>
      <c r="I5" s="127">
        <v>0.25</v>
      </c>
      <c r="J5" s="78"/>
      <c r="K5" s="78"/>
      <c r="L5" s="78"/>
      <c r="M5" s="78"/>
      <c r="N5" s="78"/>
      <c r="O5" s="281" t="s">
        <v>119</v>
      </c>
      <c r="P5" s="121">
        <v>0</v>
      </c>
    </row>
    <row r="6" spans="1:16" x14ac:dyDescent="0.35">
      <c r="A6" s="122" t="s">
        <v>120</v>
      </c>
      <c r="B6" s="123" t="s">
        <v>121</v>
      </c>
      <c r="C6" s="124">
        <v>0.42</v>
      </c>
      <c r="D6" s="124" t="s">
        <v>109</v>
      </c>
      <c r="E6" s="124">
        <v>1.56</v>
      </c>
      <c r="F6" s="125" t="s">
        <v>110</v>
      </c>
      <c r="G6" s="126">
        <v>0.43</v>
      </c>
      <c r="H6" s="124" t="s">
        <v>111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122</v>
      </c>
      <c r="B7" s="123" t="s">
        <v>123</v>
      </c>
      <c r="C7" s="124">
        <v>0.52</v>
      </c>
      <c r="D7" s="124" t="s">
        <v>109</v>
      </c>
      <c r="E7" s="124">
        <v>1.56</v>
      </c>
      <c r="F7" s="125" t="s">
        <v>110</v>
      </c>
      <c r="G7" s="126">
        <v>0.43</v>
      </c>
      <c r="H7" s="124" t="s">
        <v>111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124</v>
      </c>
      <c r="B8" s="123" t="s">
        <v>125</v>
      </c>
      <c r="C8" s="124">
        <v>0.36</v>
      </c>
      <c r="D8" s="124" t="s">
        <v>109</v>
      </c>
      <c r="E8" s="124">
        <v>1.3</v>
      </c>
      <c r="F8" s="125" t="s">
        <v>110</v>
      </c>
      <c r="G8" s="126">
        <v>0.55000000000000004</v>
      </c>
      <c r="H8" s="124" t="s">
        <v>126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127</v>
      </c>
      <c r="B9" s="123" t="s">
        <v>128</v>
      </c>
      <c r="C9" s="124">
        <v>0.61</v>
      </c>
      <c r="D9" s="124" t="s">
        <v>109</v>
      </c>
      <c r="E9" s="124">
        <v>1.56</v>
      </c>
      <c r="F9" s="125" t="s">
        <v>110</v>
      </c>
      <c r="G9" s="126">
        <v>0.43</v>
      </c>
      <c r="H9" s="124" t="s">
        <v>111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129</v>
      </c>
      <c r="B10" s="123" t="s">
        <v>130</v>
      </c>
      <c r="C10" s="124">
        <v>0.66</v>
      </c>
      <c r="D10" s="124" t="s">
        <v>109</v>
      </c>
      <c r="E10" s="124">
        <v>1.56</v>
      </c>
      <c r="F10" s="125" t="s">
        <v>110</v>
      </c>
      <c r="G10" s="126">
        <v>0.43</v>
      </c>
      <c r="H10" s="124" t="s">
        <v>111</v>
      </c>
      <c r="I10" s="127">
        <v>0.25</v>
      </c>
      <c r="J10" s="78"/>
      <c r="K10" s="78"/>
      <c r="L10" s="78"/>
      <c r="M10" s="78"/>
      <c r="N10" s="78"/>
      <c r="O10" s="281" t="s">
        <v>131</v>
      </c>
      <c r="P10" s="121">
        <v>0</v>
      </c>
    </row>
    <row r="11" spans="1:16" ht="15" thickBot="1" x14ac:dyDescent="0.4">
      <c r="A11" s="122" t="s">
        <v>132</v>
      </c>
      <c r="B11" s="123" t="s">
        <v>133</v>
      </c>
      <c r="C11" s="124">
        <v>0.47</v>
      </c>
      <c r="D11" s="124" t="s">
        <v>109</v>
      </c>
      <c r="E11" s="124">
        <v>1.56</v>
      </c>
      <c r="F11" s="125" t="s">
        <v>110</v>
      </c>
      <c r="G11" s="126">
        <v>0.43</v>
      </c>
      <c r="H11" s="124" t="s">
        <v>111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134</v>
      </c>
      <c r="B12" s="123" t="s">
        <v>135</v>
      </c>
      <c r="C12" s="124">
        <v>0.67</v>
      </c>
      <c r="D12" s="124" t="s">
        <v>109</v>
      </c>
      <c r="E12" s="124">
        <v>1.56</v>
      </c>
      <c r="F12" s="125" t="s">
        <v>110</v>
      </c>
      <c r="G12" s="126">
        <v>0.43</v>
      </c>
      <c r="H12" s="124" t="s">
        <v>136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137</v>
      </c>
      <c r="B13" s="123" t="s">
        <v>138</v>
      </c>
      <c r="C13" s="124">
        <v>0.7</v>
      </c>
      <c r="D13" s="124" t="s">
        <v>109</v>
      </c>
      <c r="E13" s="124">
        <v>1.56</v>
      </c>
      <c r="F13" s="125" t="s">
        <v>110</v>
      </c>
      <c r="G13" s="126">
        <v>0.43</v>
      </c>
      <c r="H13" s="124" t="s">
        <v>136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139</v>
      </c>
      <c r="B14" s="123" t="s">
        <v>140</v>
      </c>
      <c r="C14" s="124">
        <v>0.54</v>
      </c>
      <c r="D14" s="124" t="s">
        <v>109</v>
      </c>
      <c r="E14" s="124">
        <v>1.56</v>
      </c>
      <c r="F14" s="125" t="s">
        <v>110</v>
      </c>
      <c r="G14" s="126">
        <v>0.43</v>
      </c>
      <c r="H14" s="124" t="s">
        <v>136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141</v>
      </c>
      <c r="B15" s="123" t="s">
        <v>142</v>
      </c>
      <c r="C15" s="124">
        <v>0.65</v>
      </c>
      <c r="D15" s="124" t="s">
        <v>109</v>
      </c>
      <c r="E15" s="124">
        <v>1.56</v>
      </c>
      <c r="F15" s="125" t="s">
        <v>110</v>
      </c>
      <c r="G15" s="126">
        <v>0.43</v>
      </c>
      <c r="H15" s="124" t="s">
        <v>136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143</v>
      </c>
      <c r="B16" s="123" t="s">
        <v>144</v>
      </c>
      <c r="C16" s="124">
        <v>0.56000000000000005</v>
      </c>
      <c r="D16" s="124" t="s">
        <v>109</v>
      </c>
      <c r="E16" s="124">
        <v>1.56</v>
      </c>
      <c r="F16" s="125" t="s">
        <v>110</v>
      </c>
      <c r="G16" s="126">
        <v>0.43</v>
      </c>
      <c r="H16" s="124" t="s">
        <v>136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145</v>
      </c>
      <c r="B17" s="123" t="s">
        <v>146</v>
      </c>
      <c r="C17" s="124">
        <v>0.57999999999999996</v>
      </c>
      <c r="D17" s="124" t="s">
        <v>109</v>
      </c>
      <c r="E17" s="124">
        <v>1.56</v>
      </c>
      <c r="F17" s="125" t="s">
        <v>110</v>
      </c>
      <c r="G17" s="126">
        <v>0.43</v>
      </c>
      <c r="H17" s="124" t="s">
        <v>136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147</v>
      </c>
      <c r="B18" s="123" t="s">
        <v>148</v>
      </c>
      <c r="C18" s="124">
        <v>0.64</v>
      </c>
      <c r="D18" s="124" t="s">
        <v>109</v>
      </c>
      <c r="E18" s="124">
        <v>1.56</v>
      </c>
      <c r="F18" s="125" t="s">
        <v>110</v>
      </c>
      <c r="G18" s="126">
        <v>0.43</v>
      </c>
      <c r="H18" s="124" t="s">
        <v>136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149</v>
      </c>
      <c r="B19" s="123" t="s">
        <v>150</v>
      </c>
      <c r="C19" s="124">
        <v>0.73</v>
      </c>
      <c r="D19" s="124" t="s">
        <v>109</v>
      </c>
      <c r="E19" s="124">
        <v>1.56</v>
      </c>
      <c r="F19" s="125" t="s">
        <v>110</v>
      </c>
      <c r="G19" s="126">
        <v>0.43</v>
      </c>
      <c r="H19" s="124" t="s">
        <v>136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151</v>
      </c>
      <c r="B20" s="123" t="s">
        <v>152</v>
      </c>
      <c r="C20" s="124">
        <v>0.69</v>
      </c>
      <c r="D20" s="124" t="s">
        <v>153</v>
      </c>
      <c r="E20" s="124">
        <v>1.56</v>
      </c>
      <c r="F20" s="125" t="s">
        <v>110</v>
      </c>
      <c r="G20" s="126">
        <v>0.43</v>
      </c>
      <c r="H20" s="124" t="s">
        <v>154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155</v>
      </c>
      <c r="B21" s="123" t="s">
        <v>156</v>
      </c>
      <c r="C21" s="124">
        <v>0.36</v>
      </c>
      <c r="D21" s="124" t="s">
        <v>109</v>
      </c>
      <c r="E21" s="124">
        <v>1.3</v>
      </c>
      <c r="F21" s="125" t="s">
        <v>110</v>
      </c>
      <c r="G21" s="126">
        <v>0.55000000000000004</v>
      </c>
      <c r="H21" s="124" t="s">
        <v>126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157</v>
      </c>
      <c r="B22" s="123" t="s">
        <v>158</v>
      </c>
      <c r="C22" s="124">
        <v>0.4</v>
      </c>
      <c r="D22" s="124" t="s">
        <v>109</v>
      </c>
      <c r="E22" s="124">
        <v>1.3</v>
      </c>
      <c r="F22" s="125" t="s">
        <v>110</v>
      </c>
      <c r="G22" s="126">
        <v>0.55000000000000004</v>
      </c>
      <c r="H22" s="124" t="s">
        <v>126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159</v>
      </c>
      <c r="B23" s="123" t="s">
        <v>160</v>
      </c>
      <c r="C23" s="124">
        <v>0.43</v>
      </c>
      <c r="D23" s="124" t="s">
        <v>109</v>
      </c>
      <c r="E23" s="124">
        <v>1.3</v>
      </c>
      <c r="F23" s="125" t="s">
        <v>110</v>
      </c>
      <c r="G23" s="126">
        <v>0.55000000000000004</v>
      </c>
      <c r="H23" s="124" t="s">
        <v>126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161</v>
      </c>
      <c r="B24" s="123" t="s">
        <v>162</v>
      </c>
      <c r="C24" s="124">
        <v>0.37</v>
      </c>
      <c r="D24" s="124" t="s">
        <v>109</v>
      </c>
      <c r="E24" s="124">
        <v>1.3</v>
      </c>
      <c r="F24" s="125" t="s">
        <v>110</v>
      </c>
      <c r="G24" s="126">
        <v>0.55000000000000004</v>
      </c>
      <c r="H24" s="124" t="s">
        <v>136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69</v>
      </c>
      <c r="B25" s="123" t="s">
        <v>163</v>
      </c>
      <c r="C25" s="124">
        <v>0.36</v>
      </c>
      <c r="D25" s="124" t="s">
        <v>109</v>
      </c>
      <c r="E25" s="124">
        <v>1.3</v>
      </c>
      <c r="F25" s="125" t="s">
        <v>110</v>
      </c>
      <c r="G25" s="126">
        <v>0.55000000000000004</v>
      </c>
      <c r="H25" s="124" t="s">
        <v>136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164</v>
      </c>
      <c r="B26" s="123" t="s">
        <v>165</v>
      </c>
      <c r="C26" s="124">
        <v>0.56000000000000005</v>
      </c>
      <c r="D26" s="124" t="s">
        <v>109</v>
      </c>
      <c r="E26" s="124">
        <v>1.56</v>
      </c>
      <c r="F26" s="125" t="s">
        <v>110</v>
      </c>
      <c r="G26" s="126">
        <v>0.53</v>
      </c>
      <c r="H26" s="124" t="s">
        <v>166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167</v>
      </c>
      <c r="B27" s="123" t="s">
        <v>168</v>
      </c>
      <c r="C27" s="124">
        <v>0.51</v>
      </c>
      <c r="D27" s="124" t="s">
        <v>109</v>
      </c>
      <c r="E27" s="124">
        <v>1.56</v>
      </c>
      <c r="F27" s="125" t="s">
        <v>110</v>
      </c>
      <c r="G27" s="126">
        <v>0.53</v>
      </c>
      <c r="H27" s="124" t="s">
        <v>166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169</v>
      </c>
      <c r="B28" s="123" t="s">
        <v>170</v>
      </c>
      <c r="C28" s="124">
        <v>0.51</v>
      </c>
      <c r="D28" s="124" t="s">
        <v>109</v>
      </c>
      <c r="E28" s="124">
        <v>1.56</v>
      </c>
      <c r="F28" s="125" t="s">
        <v>110</v>
      </c>
      <c r="G28" s="126">
        <v>0.53</v>
      </c>
      <c r="H28" s="124" t="s">
        <v>166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171</v>
      </c>
      <c r="B29" s="123" t="s">
        <v>171</v>
      </c>
      <c r="C29" s="124">
        <v>0.56000000000000005</v>
      </c>
      <c r="D29" s="124" t="s">
        <v>109</v>
      </c>
      <c r="E29" s="124">
        <v>1.56</v>
      </c>
      <c r="F29" s="125" t="s">
        <v>110</v>
      </c>
      <c r="G29" s="126">
        <v>0.53</v>
      </c>
      <c r="H29" s="124" t="s">
        <v>166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172</v>
      </c>
      <c r="B30" s="123" t="s">
        <v>173</v>
      </c>
      <c r="C30" s="124">
        <v>0.55000000000000004</v>
      </c>
      <c r="D30" s="124" t="s">
        <v>109</v>
      </c>
      <c r="E30" s="124">
        <v>1.56</v>
      </c>
      <c r="F30" s="125" t="s">
        <v>110</v>
      </c>
      <c r="G30" s="126">
        <v>0.53</v>
      </c>
      <c r="H30" s="124" t="s">
        <v>136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174</v>
      </c>
      <c r="B31" s="123" t="s">
        <v>175</v>
      </c>
      <c r="C31" s="124">
        <v>0.56000000000000005</v>
      </c>
      <c r="D31" s="124" t="s">
        <v>109</v>
      </c>
      <c r="E31" s="124">
        <v>1.56</v>
      </c>
      <c r="F31" s="125" t="s">
        <v>110</v>
      </c>
      <c r="G31" s="126">
        <v>0.43</v>
      </c>
      <c r="H31" s="124" t="s">
        <v>111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176</v>
      </c>
      <c r="B32" s="123" t="s">
        <v>177</v>
      </c>
      <c r="C32" s="124">
        <v>0.48</v>
      </c>
      <c r="D32" s="124" t="s">
        <v>109</v>
      </c>
      <c r="E32" s="124">
        <v>1.3</v>
      </c>
      <c r="F32" s="125" t="s">
        <v>110</v>
      </c>
      <c r="G32" s="126">
        <v>0.6</v>
      </c>
      <c r="H32" s="124" t="s">
        <v>178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179</v>
      </c>
      <c r="B33" s="123" t="s">
        <v>180</v>
      </c>
      <c r="C33" s="124">
        <v>0.42</v>
      </c>
      <c r="D33" s="124" t="s">
        <v>109</v>
      </c>
      <c r="E33" s="124">
        <v>1.3</v>
      </c>
      <c r="F33" s="125" t="s">
        <v>110</v>
      </c>
      <c r="G33" s="126">
        <v>0.6</v>
      </c>
      <c r="H33" s="124" t="s">
        <v>178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181</v>
      </c>
      <c r="B34" s="123" t="s">
        <v>182</v>
      </c>
      <c r="C34" s="124">
        <v>0.42</v>
      </c>
      <c r="D34" s="124" t="s">
        <v>183</v>
      </c>
      <c r="E34" s="124">
        <v>1.3</v>
      </c>
      <c r="F34" s="125" t="s">
        <v>110</v>
      </c>
      <c r="G34" s="126">
        <v>0.6</v>
      </c>
      <c r="H34" s="123" t="s">
        <v>184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185</v>
      </c>
      <c r="B35" s="123" t="s">
        <v>186</v>
      </c>
      <c r="C35" s="124">
        <v>0.5</v>
      </c>
      <c r="D35" s="124" t="s">
        <v>109</v>
      </c>
      <c r="E35" s="124">
        <v>1.56</v>
      </c>
      <c r="F35" s="125" t="s">
        <v>110</v>
      </c>
      <c r="G35" s="126">
        <v>0.43</v>
      </c>
      <c r="H35" s="124" t="s">
        <v>111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187</v>
      </c>
      <c r="B36" s="123" t="s">
        <v>188</v>
      </c>
      <c r="C36" s="124">
        <v>0.55000000000000004</v>
      </c>
      <c r="D36" s="124" t="s">
        <v>109</v>
      </c>
      <c r="E36" s="124">
        <v>1.56</v>
      </c>
      <c r="F36" s="125" t="s">
        <v>110</v>
      </c>
      <c r="G36" s="126">
        <v>0.53</v>
      </c>
      <c r="H36" s="124" t="s">
        <v>166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189</v>
      </c>
      <c r="B37" s="123" t="s">
        <v>190</v>
      </c>
      <c r="C37" s="124">
        <v>0.52</v>
      </c>
      <c r="D37" s="124" t="s">
        <v>109</v>
      </c>
      <c r="E37" s="124">
        <v>1.56</v>
      </c>
      <c r="F37" s="125" t="s">
        <v>110</v>
      </c>
      <c r="G37" s="126">
        <v>0.53</v>
      </c>
      <c r="H37" s="124" t="s">
        <v>166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191</v>
      </c>
      <c r="B38" s="123" t="s">
        <v>192</v>
      </c>
      <c r="C38" s="124">
        <v>0.52</v>
      </c>
      <c r="D38" s="124" t="s">
        <v>109</v>
      </c>
      <c r="E38" s="124">
        <v>1.56</v>
      </c>
      <c r="F38" s="125" t="s">
        <v>110</v>
      </c>
      <c r="G38" s="126">
        <v>0.43</v>
      </c>
      <c r="H38" s="124" t="s">
        <v>111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193</v>
      </c>
      <c r="B39" s="123" t="s">
        <v>194</v>
      </c>
      <c r="C39" s="124">
        <v>0.313</v>
      </c>
      <c r="D39" s="124" t="s">
        <v>195</v>
      </c>
      <c r="E39" s="124">
        <v>1.56</v>
      </c>
      <c r="F39" s="125" t="s">
        <v>110</v>
      </c>
      <c r="G39" s="126">
        <v>0.6</v>
      </c>
      <c r="H39" s="124" t="s">
        <v>196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197</v>
      </c>
      <c r="B40" s="123" t="s">
        <v>194</v>
      </c>
      <c r="C40" s="124">
        <v>0.35199999999999998</v>
      </c>
      <c r="D40" s="124" t="s">
        <v>195</v>
      </c>
      <c r="E40" s="124">
        <v>1.56</v>
      </c>
      <c r="F40" s="125" t="s">
        <v>110</v>
      </c>
      <c r="G40" s="126">
        <v>0.6</v>
      </c>
      <c r="H40" s="124" t="s">
        <v>196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198</v>
      </c>
      <c r="B41" s="123" t="s">
        <v>194</v>
      </c>
      <c r="C41" s="124">
        <v>0.32200000000000001</v>
      </c>
      <c r="D41" s="124" t="s">
        <v>195</v>
      </c>
      <c r="E41" s="124">
        <v>1.56</v>
      </c>
      <c r="F41" s="125" t="s">
        <v>110</v>
      </c>
      <c r="G41" s="126">
        <v>0.6</v>
      </c>
      <c r="H41" s="124" t="s">
        <v>196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199</v>
      </c>
      <c r="B42" s="123" t="s">
        <v>194</v>
      </c>
      <c r="C42" s="124">
        <v>0.311</v>
      </c>
      <c r="D42" s="124" t="s">
        <v>195</v>
      </c>
      <c r="E42" s="124">
        <v>1.56</v>
      </c>
      <c r="F42" s="125" t="s">
        <v>110</v>
      </c>
      <c r="G42" s="126">
        <v>0.6</v>
      </c>
      <c r="H42" s="124" t="s">
        <v>196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200</v>
      </c>
      <c r="B43" s="123" t="s">
        <v>194</v>
      </c>
      <c r="C43" s="124">
        <v>0.33900000000000002</v>
      </c>
      <c r="D43" s="124" t="s">
        <v>195</v>
      </c>
      <c r="E43" s="124">
        <v>1.56</v>
      </c>
      <c r="F43" s="125" t="s">
        <v>110</v>
      </c>
      <c r="G43" s="126">
        <v>0.6</v>
      </c>
      <c r="H43" s="124" t="s">
        <v>196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201</v>
      </c>
      <c r="B44" s="123" t="s">
        <v>194</v>
      </c>
      <c r="C44" s="124">
        <v>0.33600000000000002</v>
      </c>
      <c r="D44" s="124" t="s">
        <v>195</v>
      </c>
      <c r="E44" s="124">
        <v>1.56</v>
      </c>
      <c r="F44" s="125" t="s">
        <v>110</v>
      </c>
      <c r="G44" s="126">
        <v>0.6</v>
      </c>
      <c r="H44" s="124" t="s">
        <v>196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202</v>
      </c>
      <c r="B45" s="123" t="s">
        <v>194</v>
      </c>
      <c r="C45" s="124">
        <v>0.32900000000000001</v>
      </c>
      <c r="D45" s="124" t="s">
        <v>195</v>
      </c>
      <c r="E45" s="124">
        <v>1.56</v>
      </c>
      <c r="F45" s="125" t="s">
        <v>110</v>
      </c>
      <c r="G45" s="126">
        <v>0.6</v>
      </c>
      <c r="H45" s="124" t="s">
        <v>196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203</v>
      </c>
      <c r="B46" s="123" t="s">
        <v>194</v>
      </c>
      <c r="C46" s="124">
        <v>0.34300000000000003</v>
      </c>
      <c r="D46" s="124" t="s">
        <v>195</v>
      </c>
      <c r="E46" s="124">
        <v>1.56</v>
      </c>
      <c r="F46" s="125" t="s">
        <v>110</v>
      </c>
      <c r="G46" s="126">
        <v>0.6</v>
      </c>
      <c r="H46" s="124" t="s">
        <v>196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204</v>
      </c>
      <c r="B47" s="123" t="s">
        <v>194</v>
      </c>
      <c r="C47" s="124">
        <v>0.32500000000000001</v>
      </c>
      <c r="D47" s="124" t="s">
        <v>195</v>
      </c>
      <c r="E47" s="124">
        <v>1.56</v>
      </c>
      <c r="F47" s="125" t="s">
        <v>110</v>
      </c>
      <c r="G47" s="126">
        <v>0.6</v>
      </c>
      <c r="H47" s="124" t="s">
        <v>196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205</v>
      </c>
      <c r="B48" s="123" t="s">
        <v>194</v>
      </c>
      <c r="C48" s="124">
        <v>0.32</v>
      </c>
      <c r="D48" s="124" t="s">
        <v>195</v>
      </c>
      <c r="E48" s="124">
        <v>1.56</v>
      </c>
      <c r="F48" s="125" t="s">
        <v>110</v>
      </c>
      <c r="G48" s="126">
        <v>0.6</v>
      </c>
      <c r="H48" s="124" t="s">
        <v>196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206</v>
      </c>
      <c r="B49" s="123" t="s">
        <v>194</v>
      </c>
      <c r="C49" s="124">
        <v>0.28199999999999997</v>
      </c>
      <c r="D49" s="124" t="s">
        <v>195</v>
      </c>
      <c r="E49" s="124">
        <v>1.56</v>
      </c>
      <c r="F49" s="125" t="s">
        <v>110</v>
      </c>
      <c r="G49" s="126">
        <v>0.6</v>
      </c>
      <c r="H49" s="124" t="s">
        <v>196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207</v>
      </c>
      <c r="B50" s="123" t="s">
        <v>194</v>
      </c>
      <c r="C50" s="124">
        <v>0.32800000000000001</v>
      </c>
      <c r="D50" s="124" t="s">
        <v>195</v>
      </c>
      <c r="E50" s="124">
        <v>1.56</v>
      </c>
      <c r="F50" s="125" t="s">
        <v>110</v>
      </c>
      <c r="G50" s="126">
        <v>0.6</v>
      </c>
      <c r="H50" s="124" t="s">
        <v>196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208</v>
      </c>
      <c r="B51" s="123" t="s">
        <v>194</v>
      </c>
      <c r="C51" s="124">
        <v>0.32600000000000001</v>
      </c>
      <c r="D51" s="124" t="s">
        <v>195</v>
      </c>
      <c r="E51" s="124">
        <v>1.56</v>
      </c>
      <c r="F51" s="125" t="s">
        <v>110</v>
      </c>
      <c r="G51" s="126">
        <v>0.6</v>
      </c>
      <c r="H51" s="124" t="s">
        <v>196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209</v>
      </c>
      <c r="B52" s="123" t="s">
        <v>194</v>
      </c>
      <c r="C52" s="124">
        <v>0.35899999999999999</v>
      </c>
      <c r="D52" s="124" t="s">
        <v>195</v>
      </c>
      <c r="E52" s="124">
        <v>1.56</v>
      </c>
      <c r="F52" s="125" t="s">
        <v>110</v>
      </c>
      <c r="G52" s="126">
        <v>0.6</v>
      </c>
      <c r="H52" s="124" t="s">
        <v>196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210</v>
      </c>
      <c r="B53" s="123" t="s">
        <v>194</v>
      </c>
      <c r="C53" s="124">
        <v>0.34599999999999997</v>
      </c>
      <c r="D53" s="124" t="s">
        <v>195</v>
      </c>
      <c r="E53" s="124">
        <v>1.56</v>
      </c>
      <c r="F53" s="125" t="s">
        <v>110</v>
      </c>
      <c r="G53" s="126">
        <v>0.6</v>
      </c>
      <c r="H53" s="124" t="s">
        <v>196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211</v>
      </c>
      <c r="B54" s="123" t="s">
        <v>194</v>
      </c>
      <c r="C54" s="124">
        <v>0.32600000000000001</v>
      </c>
      <c r="D54" s="124" t="s">
        <v>195</v>
      </c>
      <c r="E54" s="124">
        <v>1.56</v>
      </c>
      <c r="F54" s="125" t="s">
        <v>110</v>
      </c>
      <c r="G54" s="126">
        <v>0.6</v>
      </c>
      <c r="H54" s="124" t="s">
        <v>196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212</v>
      </c>
      <c r="B55" s="123" t="s">
        <v>194</v>
      </c>
      <c r="C55" s="124">
        <v>0.30499999999999999</v>
      </c>
      <c r="D55" s="124" t="s">
        <v>195</v>
      </c>
      <c r="E55" s="124">
        <v>1.56</v>
      </c>
      <c r="F55" s="125" t="s">
        <v>110</v>
      </c>
      <c r="G55" s="126">
        <v>0.6</v>
      </c>
      <c r="H55" s="124" t="s">
        <v>196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213</v>
      </c>
      <c r="B56" s="123" t="s">
        <v>194</v>
      </c>
      <c r="C56" s="124">
        <v>0.32300000000000001</v>
      </c>
      <c r="D56" s="124" t="s">
        <v>195</v>
      </c>
      <c r="E56" s="124">
        <v>1.56</v>
      </c>
      <c r="F56" s="125" t="s">
        <v>110</v>
      </c>
      <c r="G56" s="126">
        <v>0.6</v>
      </c>
      <c r="H56" s="124" t="s">
        <v>196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214</v>
      </c>
      <c r="B57" s="123" t="s">
        <v>194</v>
      </c>
      <c r="C57" s="124">
        <v>0.36699999999999999</v>
      </c>
      <c r="D57" s="124" t="s">
        <v>195</v>
      </c>
      <c r="E57" s="124">
        <v>1.56</v>
      </c>
      <c r="F57" s="125" t="s">
        <v>110</v>
      </c>
      <c r="G57" s="126">
        <v>0.6</v>
      </c>
      <c r="H57" s="124" t="s">
        <v>196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215</v>
      </c>
      <c r="B58" s="123" t="s">
        <v>194</v>
      </c>
      <c r="C58" s="124">
        <v>0.36</v>
      </c>
      <c r="D58" s="124" t="s">
        <v>195</v>
      </c>
      <c r="E58" s="124">
        <v>1.56</v>
      </c>
      <c r="F58" s="125" t="s">
        <v>110</v>
      </c>
      <c r="G58" s="126">
        <v>0.6</v>
      </c>
      <c r="H58" s="124" t="s">
        <v>196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216</v>
      </c>
      <c r="B59" s="123" t="s">
        <v>194</v>
      </c>
      <c r="C59" s="124">
        <v>0.36799999999999999</v>
      </c>
      <c r="D59" s="124" t="s">
        <v>195</v>
      </c>
      <c r="E59" s="124">
        <v>1.56</v>
      </c>
      <c r="F59" s="125" t="s">
        <v>110</v>
      </c>
      <c r="G59" s="126">
        <v>0.6</v>
      </c>
      <c r="H59" s="124" t="s">
        <v>196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217</v>
      </c>
      <c r="B60" s="123" t="s">
        <v>194</v>
      </c>
      <c r="C60" s="124">
        <v>0.30599999999999999</v>
      </c>
      <c r="D60" s="124" t="s">
        <v>195</v>
      </c>
      <c r="E60" s="124">
        <v>1.56</v>
      </c>
      <c r="F60" s="125" t="s">
        <v>110</v>
      </c>
      <c r="G60" s="126">
        <v>0.6</v>
      </c>
      <c r="H60" s="124" t="s">
        <v>196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218</v>
      </c>
      <c r="B61" s="123" t="s">
        <v>194</v>
      </c>
      <c r="C61" s="124">
        <v>0.313</v>
      </c>
      <c r="D61" s="124" t="s">
        <v>195</v>
      </c>
      <c r="E61" s="124">
        <v>1.56</v>
      </c>
      <c r="F61" s="125" t="s">
        <v>110</v>
      </c>
      <c r="G61" s="126">
        <v>0.6</v>
      </c>
      <c r="H61" s="124" t="s">
        <v>196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219</v>
      </c>
      <c r="B62" s="123" t="s">
        <v>220</v>
      </c>
      <c r="C62" s="124">
        <v>0.37</v>
      </c>
      <c r="D62" s="124" t="s">
        <v>109</v>
      </c>
      <c r="E62" s="124">
        <v>1.56</v>
      </c>
      <c r="F62" s="125" t="s">
        <v>110</v>
      </c>
      <c r="G62" s="126">
        <v>0.6</v>
      </c>
      <c r="H62" s="124" t="s">
        <v>196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221</v>
      </c>
      <c r="B63" s="123" t="s">
        <v>222</v>
      </c>
      <c r="C63" s="124">
        <v>0.45</v>
      </c>
      <c r="D63" s="124" t="s">
        <v>109</v>
      </c>
      <c r="E63" s="124">
        <v>1.3</v>
      </c>
      <c r="F63" s="125" t="s">
        <v>110</v>
      </c>
      <c r="G63" s="126">
        <v>0.45</v>
      </c>
      <c r="H63" s="124" t="s">
        <v>223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224</v>
      </c>
      <c r="B64" s="123" t="s">
        <v>225</v>
      </c>
      <c r="C64" s="124">
        <v>0.39</v>
      </c>
      <c r="D64" s="124" t="s">
        <v>109</v>
      </c>
      <c r="E64" s="124">
        <v>1.3</v>
      </c>
      <c r="F64" s="125" t="s">
        <v>110</v>
      </c>
      <c r="G64" s="126">
        <v>0.45</v>
      </c>
      <c r="H64" s="124" t="s">
        <v>223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226</v>
      </c>
      <c r="B65" s="123" t="s">
        <v>227</v>
      </c>
      <c r="C65" s="124">
        <v>0.44</v>
      </c>
      <c r="D65" s="124" t="s">
        <v>109</v>
      </c>
      <c r="E65" s="124">
        <v>1.3</v>
      </c>
      <c r="F65" s="125" t="s">
        <v>110</v>
      </c>
      <c r="G65" s="126">
        <v>0.45</v>
      </c>
      <c r="H65" s="124" t="s">
        <v>223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228</v>
      </c>
      <c r="B66" s="123" t="s">
        <v>229</v>
      </c>
      <c r="C66" s="124">
        <v>0.46</v>
      </c>
      <c r="D66" s="124" t="s">
        <v>109</v>
      </c>
      <c r="E66" s="124">
        <v>1.3</v>
      </c>
      <c r="F66" s="125" t="s">
        <v>110</v>
      </c>
      <c r="G66" s="126">
        <v>0.45</v>
      </c>
      <c r="H66" s="124" t="s">
        <v>223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230</v>
      </c>
      <c r="B67" s="123" t="s">
        <v>231</v>
      </c>
      <c r="C67" s="124">
        <v>0.46</v>
      </c>
      <c r="D67" s="124" t="s">
        <v>109</v>
      </c>
      <c r="E67" s="124">
        <v>1.3</v>
      </c>
      <c r="F67" s="125" t="s">
        <v>110</v>
      </c>
      <c r="G67" s="126">
        <v>0.45</v>
      </c>
      <c r="H67" s="124" t="s">
        <v>136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232</v>
      </c>
      <c r="B68" s="123" t="s">
        <v>233</v>
      </c>
      <c r="C68" s="124">
        <v>0.44</v>
      </c>
      <c r="D68" s="124" t="s">
        <v>109</v>
      </c>
      <c r="E68" s="124">
        <v>1.3</v>
      </c>
      <c r="F68" s="125" t="s">
        <v>110</v>
      </c>
      <c r="G68" s="126">
        <v>0.45</v>
      </c>
      <c r="H68" s="124" t="s">
        <v>223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234</v>
      </c>
      <c r="B69" s="123" t="s">
        <v>235</v>
      </c>
      <c r="C69" s="124">
        <v>0.46</v>
      </c>
      <c r="D69" s="124" t="s">
        <v>109</v>
      </c>
      <c r="E69" s="124">
        <v>1.3</v>
      </c>
      <c r="F69" s="125" t="s">
        <v>110</v>
      </c>
      <c r="G69" s="126">
        <v>0.45</v>
      </c>
      <c r="H69" s="124" t="s">
        <v>223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236</v>
      </c>
      <c r="B70" s="123" t="s">
        <v>237</v>
      </c>
      <c r="C70" s="124">
        <v>0.48</v>
      </c>
      <c r="D70" s="124" t="s">
        <v>109</v>
      </c>
      <c r="E70" s="124">
        <v>2.4</v>
      </c>
      <c r="F70" s="124" t="s">
        <v>238</v>
      </c>
      <c r="G70" s="126">
        <v>0.45</v>
      </c>
      <c r="H70" s="124" t="s">
        <v>223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239</v>
      </c>
      <c r="B71" s="123" t="s">
        <v>240</v>
      </c>
      <c r="C71" s="124">
        <v>0.46</v>
      </c>
      <c r="D71" s="124" t="s">
        <v>241</v>
      </c>
      <c r="E71" s="124">
        <v>1.3</v>
      </c>
      <c r="F71" s="125" t="s">
        <v>110</v>
      </c>
      <c r="G71" s="126">
        <v>0.45</v>
      </c>
      <c r="H71" s="124" t="s">
        <v>223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242</v>
      </c>
      <c r="B72" s="123" t="s">
        <v>243</v>
      </c>
      <c r="C72" s="124">
        <v>0.44</v>
      </c>
      <c r="D72" s="124" t="s">
        <v>109</v>
      </c>
      <c r="E72" s="124">
        <v>1.3</v>
      </c>
      <c r="F72" s="125" t="s">
        <v>110</v>
      </c>
      <c r="G72" s="126">
        <v>0.45</v>
      </c>
      <c r="H72" s="124" t="s">
        <v>223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244</v>
      </c>
      <c r="B73" s="123" t="s">
        <v>245</v>
      </c>
      <c r="C73" s="124">
        <v>0.46</v>
      </c>
      <c r="D73" s="124" t="s">
        <v>246</v>
      </c>
      <c r="E73" s="124">
        <v>1.3</v>
      </c>
      <c r="F73" s="125" t="s">
        <v>110</v>
      </c>
      <c r="G73" s="126">
        <v>0.45</v>
      </c>
      <c r="H73" s="124" t="s">
        <v>223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247</v>
      </c>
      <c r="B74" s="123" t="s">
        <v>248</v>
      </c>
      <c r="C74" s="124">
        <v>0.34</v>
      </c>
      <c r="D74" s="124" t="s">
        <v>109</v>
      </c>
      <c r="E74" s="124">
        <v>1.3</v>
      </c>
      <c r="F74" s="125" t="s">
        <v>110</v>
      </c>
      <c r="G74" s="126">
        <v>0.45</v>
      </c>
      <c r="H74" s="124" t="s">
        <v>223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249</v>
      </c>
      <c r="B75" s="123" t="s">
        <v>250</v>
      </c>
      <c r="C75" s="124">
        <v>0.5</v>
      </c>
      <c r="D75" s="124" t="s">
        <v>109</v>
      </c>
      <c r="E75" s="124">
        <v>1.56</v>
      </c>
      <c r="F75" s="125" t="s">
        <v>110</v>
      </c>
      <c r="G75" s="126">
        <v>0.53</v>
      </c>
      <c r="H75" s="124" t="s">
        <v>166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251</v>
      </c>
      <c r="B76" s="123" t="s">
        <v>252</v>
      </c>
      <c r="C76" s="124">
        <v>0.57999999999999996</v>
      </c>
      <c r="D76" s="124" t="s">
        <v>109</v>
      </c>
      <c r="E76" s="124">
        <v>1.56</v>
      </c>
      <c r="F76" s="125" t="s">
        <v>110</v>
      </c>
      <c r="G76" s="126">
        <v>0.3</v>
      </c>
      <c r="H76" s="124" t="s">
        <v>253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254</v>
      </c>
      <c r="B77" s="123" t="s">
        <v>255</v>
      </c>
      <c r="C77" s="124">
        <v>0.37</v>
      </c>
      <c r="D77" s="124" t="s">
        <v>109</v>
      </c>
      <c r="E77" s="124">
        <v>1.3</v>
      </c>
      <c r="F77" s="125" t="s">
        <v>110</v>
      </c>
      <c r="G77" s="126">
        <v>0.55000000000000004</v>
      </c>
      <c r="H77" s="124" t="s">
        <v>136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256</v>
      </c>
      <c r="B78" s="123" t="s">
        <v>257</v>
      </c>
      <c r="C78" s="124">
        <v>0.37</v>
      </c>
      <c r="D78" s="124" t="s">
        <v>109</v>
      </c>
      <c r="E78" s="124">
        <v>1.3</v>
      </c>
      <c r="F78" s="125" t="s">
        <v>110</v>
      </c>
      <c r="G78" s="126">
        <v>0.55000000000000004</v>
      </c>
      <c r="H78" s="124" t="s">
        <v>136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258</v>
      </c>
      <c r="B79" s="123" t="s">
        <v>259</v>
      </c>
      <c r="C79" s="124">
        <v>0.38</v>
      </c>
      <c r="D79" s="124" t="s">
        <v>109</v>
      </c>
      <c r="E79" s="124">
        <v>1.3</v>
      </c>
      <c r="F79" s="125" t="s">
        <v>110</v>
      </c>
      <c r="G79" s="126">
        <v>0.55000000000000004</v>
      </c>
      <c r="H79" s="124" t="s">
        <v>126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260</v>
      </c>
      <c r="B80" s="123" t="s">
        <v>261</v>
      </c>
      <c r="C80" s="124">
        <v>0.36</v>
      </c>
      <c r="D80" s="124" t="s">
        <v>109</v>
      </c>
      <c r="E80" s="124">
        <v>1.3</v>
      </c>
      <c r="F80" s="125" t="s">
        <v>110</v>
      </c>
      <c r="G80" s="126">
        <v>0.55000000000000004</v>
      </c>
      <c r="H80" s="124" t="s">
        <v>126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262</v>
      </c>
      <c r="B81" s="123" t="s">
        <v>263</v>
      </c>
      <c r="C81" s="124">
        <v>0.37</v>
      </c>
      <c r="D81" s="124" t="s">
        <v>109</v>
      </c>
      <c r="E81" s="124">
        <v>1.56</v>
      </c>
      <c r="F81" s="125" t="s">
        <v>110</v>
      </c>
      <c r="G81" s="126">
        <v>0.43</v>
      </c>
      <c r="H81" s="124" t="s">
        <v>111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264</v>
      </c>
      <c r="B82" s="123" t="s">
        <v>265</v>
      </c>
      <c r="C82" s="124">
        <v>0.35</v>
      </c>
      <c r="D82" s="124" t="s">
        <v>266</v>
      </c>
      <c r="E82" s="124">
        <v>1.3</v>
      </c>
      <c r="F82" s="125" t="s">
        <v>110</v>
      </c>
      <c r="G82" s="126">
        <v>0.55000000000000004</v>
      </c>
      <c r="H82" s="124" t="s">
        <v>126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267</v>
      </c>
      <c r="B83" s="123" t="s">
        <v>268</v>
      </c>
      <c r="C83" s="124">
        <v>0.34</v>
      </c>
      <c r="D83" s="124" t="s">
        <v>109</v>
      </c>
      <c r="E83" s="124">
        <v>1.3</v>
      </c>
      <c r="F83" s="125" t="s">
        <v>110</v>
      </c>
      <c r="G83" s="126">
        <v>0.55000000000000004</v>
      </c>
      <c r="H83" s="124" t="s">
        <v>126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269</v>
      </c>
      <c r="B84" s="123" t="s">
        <v>270</v>
      </c>
      <c r="C84" s="124">
        <v>0.31</v>
      </c>
      <c r="D84" s="124" t="s">
        <v>109</v>
      </c>
      <c r="E84" s="124">
        <v>1.3</v>
      </c>
      <c r="F84" s="125" t="s">
        <v>110</v>
      </c>
      <c r="G84" s="126">
        <v>0.55000000000000004</v>
      </c>
      <c r="H84" s="124" t="s">
        <v>126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271</v>
      </c>
      <c r="B85" s="123" t="s">
        <v>272</v>
      </c>
      <c r="C85" s="124">
        <v>0.43</v>
      </c>
      <c r="D85" s="124" t="s">
        <v>109</v>
      </c>
      <c r="E85" s="124">
        <v>1.56</v>
      </c>
      <c r="F85" s="125" t="s">
        <v>110</v>
      </c>
      <c r="G85" s="126">
        <v>0.53</v>
      </c>
      <c r="H85" s="124" t="s">
        <v>166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273</v>
      </c>
      <c r="B86" s="123" t="s">
        <v>274</v>
      </c>
      <c r="C86" s="124">
        <v>0.38</v>
      </c>
      <c r="D86" s="124" t="s">
        <v>109</v>
      </c>
      <c r="E86" s="124">
        <v>1.56</v>
      </c>
      <c r="F86" s="125" t="s">
        <v>110</v>
      </c>
      <c r="G86" s="126">
        <v>0.6</v>
      </c>
      <c r="H86" s="124" t="s">
        <v>275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276</v>
      </c>
      <c r="B87" s="252" t="s">
        <v>277</v>
      </c>
      <c r="C87" s="253">
        <v>0.41</v>
      </c>
      <c r="D87" s="253" t="s">
        <v>278</v>
      </c>
      <c r="E87" s="253">
        <v>1.56</v>
      </c>
      <c r="F87" s="254" t="s">
        <v>110</v>
      </c>
      <c r="G87" s="255">
        <v>0.43</v>
      </c>
      <c r="H87" s="253" t="s">
        <v>111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279</v>
      </c>
      <c r="B88" s="130"/>
      <c r="C88" s="124">
        <v>0.42</v>
      </c>
      <c r="D88" s="124" t="s">
        <v>109</v>
      </c>
      <c r="E88" s="124">
        <v>1.3</v>
      </c>
      <c r="F88" s="125" t="s">
        <v>110</v>
      </c>
      <c r="G88" s="131"/>
      <c r="H88" s="130"/>
      <c r="I88" s="132"/>
    </row>
    <row r="89" spans="1:14" ht="15" thickBot="1" x14ac:dyDescent="0.4">
      <c r="A89" s="133" t="s">
        <v>280</v>
      </c>
      <c r="B89" s="134"/>
      <c r="C89" s="135">
        <v>0.56999999999999995</v>
      </c>
      <c r="D89" s="136" t="s">
        <v>109</v>
      </c>
      <c r="E89" s="135">
        <v>1.56</v>
      </c>
      <c r="F89" s="135" t="s">
        <v>110</v>
      </c>
      <c r="G89" s="134"/>
      <c r="H89" s="134"/>
      <c r="I89" s="137"/>
    </row>
    <row r="93" spans="1:14" x14ac:dyDescent="0.35">
      <c r="A93" s="122" t="s">
        <v>70</v>
      </c>
    </row>
    <row r="94" spans="1:14" x14ac:dyDescent="0.35">
      <c r="A94" s="122" t="s">
        <v>71</v>
      </c>
    </row>
    <row r="95" spans="1:14" x14ac:dyDescent="0.35">
      <c r="A95" s="122" t="s">
        <v>72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F1" zoomScale="90" zoomScaleNormal="90" workbookViewId="0">
      <selection activeCell="M16" sqref="M16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281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282</v>
      </c>
      <c r="B5" s="139" t="s">
        <v>283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284</v>
      </c>
      <c r="F5" s="140" t="s">
        <v>285</v>
      </c>
      <c r="G5" s="140" t="s">
        <v>286</v>
      </c>
      <c r="H5" s="141" t="s">
        <v>287</v>
      </c>
      <c r="I5" s="142" t="s">
        <v>288</v>
      </c>
      <c r="J5" s="143" t="s">
        <v>289</v>
      </c>
      <c r="K5" s="144" t="s">
        <v>290</v>
      </c>
      <c r="L5" s="84" t="s">
        <v>291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Douglas</v>
      </c>
      <c r="B6" s="146">
        <f>'Données projet'!D9</f>
        <v>2.7993600000000001</v>
      </c>
      <c r="C6" s="147">
        <f ca="1">IF(OR('Données projet'!B9="",'Données projet'!C9="",'Données projet'!C9=0%),0,Calculateur!S3)</f>
        <v>279.32192402750189</v>
      </c>
      <c r="D6" s="147">
        <f>IF(OR('Données projet'!B9="",'Données projet'!C9="",'Données projet'!C9=0%),0,Calculateur!T3)</f>
        <v>371.43572414443611</v>
      </c>
      <c r="E6" s="147">
        <f ca="1">MIN(C6,D6)</f>
        <v>279.32192402750189</v>
      </c>
      <c r="F6" s="147">
        <f ca="1">E6*B6</f>
        <v>781.92262124562774</v>
      </c>
      <c r="G6" s="147">
        <f ca="1">F6*(100%-'Données projet'!$C$24)*(100%-'Données projet'!$C$25)*(100%-'Données projet'!$C$26)*(100%-'Données projet'!$C$27)</f>
        <v>668.54384116501171</v>
      </c>
      <c r="H6" s="148">
        <f>IF(OR('Données projet'!B9="",'Données projet'!C9="",'Données projet'!C9=0%),0,AVERAGE(Calculateur!$AC$3:$AC$33)*B6)</f>
        <v>34.186896174156395</v>
      </c>
      <c r="I6" s="149">
        <f>H6*(100%-'Données projet'!$C$24)*(100%-'Données projet'!$C$25)*(100%-'Données projet'!$C$26)*(100%-'Données projet'!$C$27)</f>
        <v>29.229796228903719</v>
      </c>
      <c r="J6" s="150">
        <f>IF(OR('Données projet'!B9="",'Données projet'!C9="",'Données projet'!C9=0%),0,SUM(Calculateur!$V$3:$V$33)*VLOOKUP('Données projet'!$B$9,Paramètres!$A$1:$I$89,9,0)*B6)</f>
        <v>213.80004332307689</v>
      </c>
      <c r="K6" s="151">
        <f>J6*(100%-'Données projet'!$C$24)*(100%-'Données projet'!$C$25)*(100%-'Données projet'!$C$26)*(100%-'Données projet'!$C$27)</f>
        <v>182.79903704123072</v>
      </c>
      <c r="L6" s="152">
        <f ca="1">G6+I6+K6</f>
        <v>880.57267443514615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Cèdre de l'Atlas</v>
      </c>
      <c r="B7" s="154">
        <f>'Données projet'!D10</f>
        <v>2.4883199999999999</v>
      </c>
      <c r="C7" s="147">
        <f ca="1">IF(OR('Données projet'!B10="",'Données projet'!C10="",'Données projet'!C10=0%),0,Calculateur!AN3)</f>
        <v>192.20041613277965</v>
      </c>
      <c r="D7" s="147">
        <f>IF(OR('Données projet'!B10="",'Données projet'!C10="",'Données projet'!C10=0%),0,Calculateur!AO3)</f>
        <v>132.76245212522417</v>
      </c>
      <c r="E7" s="147">
        <f t="shared" ref="E7:E15" ca="1" si="0">MIN(C7,D7)</f>
        <v>132.76245212522417</v>
      </c>
      <c r="F7" s="147">
        <f t="shared" ref="F7:F15" ca="1" si="1">E7*B7</f>
        <v>330.3554648722378</v>
      </c>
      <c r="G7" s="147">
        <f ca="1">F7*(100%-'Données projet'!$C$24)*(100%-'Données projet'!$C$25)*(100%-'Données projet'!$C$26)*(100%-'Données projet'!$C$27)</f>
        <v>282.4539224657633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282.4539224657633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Mélèze d'Europe</v>
      </c>
      <c r="B8" s="154">
        <f>'Données projet'!D11</f>
        <v>1.7530560000000002</v>
      </c>
      <c r="C8" s="147">
        <f ca="1">IF(OR('Données projet'!B11="",'Données projet'!C11="",'Données projet'!C11=0%),0,Calculateur!BI3)</f>
        <v>180.31844548479722</v>
      </c>
      <c r="D8" s="147">
        <f>IF(OR('Données projet'!B11="",'Données projet'!C11="",'Données projet'!C11=0%),0,Calculateur!BJ3)</f>
        <v>273.83237400307223</v>
      </c>
      <c r="E8" s="147">
        <f t="shared" ca="1" si="0"/>
        <v>180.31844548479722</v>
      </c>
      <c r="F8" s="147">
        <f t="shared" ca="1" si="1"/>
        <v>316.1083327677967</v>
      </c>
      <c r="G8" s="147">
        <f ca="1">F8*(100%-'Données projet'!$C$24)*(100%-'Données projet'!$C$25)*(100%-'Données projet'!$C$26)*(100%-'Données projet'!$C$27)</f>
        <v>270.27262451646618</v>
      </c>
      <c r="H8" s="155">
        <f>IF(OR('Données projet'!B11="",'Données projet'!C11="",'Données projet'!C11=0%),0,AVERAGE(Calculateur!$BS$3:$BS$33)*B8)</f>
        <v>14.860591154120636</v>
      </c>
      <c r="I8" s="149">
        <f>H8*(100%-'Données projet'!$C$24)*(100%-'Données projet'!$C$25)*(100%-'Données projet'!$C$26)*(100%-'Données projet'!$C$27)</f>
        <v>12.705805436773144</v>
      </c>
      <c r="J8" s="150">
        <f>IF(OR('Données projet'!B11="",'Données projet'!C11="",'Données projet'!C11=0%),0,SUM(Calculateur!$BL$3:$BL$33)*VLOOKUP('Données projet'!$B$11,Paramètres!$A$1:$I$89,9,0)*B8)</f>
        <v>96.488202240000007</v>
      </c>
      <c r="K8" s="151">
        <f>J8*(100%-'Données projet'!$C$24)*(100%-'Données projet'!$C$25)*(100%-'Données projet'!$C$26)*(100%-'Données projet'!$C$27)</f>
        <v>82.497412915200002</v>
      </c>
      <c r="L8" s="152">
        <f t="shared" ca="1" si="2"/>
        <v>365.47584286843932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Pin laricio</v>
      </c>
      <c r="B9" s="154">
        <f>'Données projet'!D12</f>
        <v>1.5914880000000002</v>
      </c>
      <c r="C9" s="147">
        <f ca="1">IF(OR('Données projet'!B12="",'Données projet'!C12="",'Données projet'!C12=0%),0,Calculateur!CD3)</f>
        <v>214.34615950592251</v>
      </c>
      <c r="D9" s="147">
        <f>IF(OR('Données projet'!B12="",'Données projet'!C12="",'Données projet'!C12=0%),0,Calculateur!CE3)</f>
        <v>159.66077836853066</v>
      </c>
      <c r="E9" s="147">
        <f t="shared" ca="1" si="0"/>
        <v>159.66077836853066</v>
      </c>
      <c r="F9" s="147">
        <f t="shared" ca="1" si="1"/>
        <v>254.09821284417615</v>
      </c>
      <c r="G9" s="147">
        <f ca="1">F9*(100%-'Données projet'!$C$24)*(100%-'Données projet'!$C$25)*(100%-'Données projet'!$C$26)*(100%-'Données projet'!$C$27)</f>
        <v>217.2539719817706</v>
      </c>
      <c r="H9" s="155">
        <f>IF(OR('Données projet'!B12="",'Données projet'!C12="",'Données projet'!C12=0%),0,AVERAGE(Calculateur!$CN$3:$CN$33)*B9)</f>
        <v>9.5282851264052137</v>
      </c>
      <c r="I9" s="149">
        <f>H9*(100%-'Données projet'!$C$24)*(100%-'Données projet'!$C$25)*(100%-'Données projet'!$C$26)*(100%-'Données projet'!$C$27)</f>
        <v>8.1466837830764582</v>
      </c>
      <c r="J9" s="150">
        <f>IF(OR('Données projet'!B12="",'Données projet'!C12="",'Données projet'!C12=0%),0,SUM(Calculateur!$CG$3:$CG$33)*VLOOKUP('Données projet'!$B$12,Paramètres!$A$1:$I$89,9,0)*B9)</f>
        <v>59.80603786338461</v>
      </c>
      <c r="K9" s="151">
        <f>J9*(100%-'Données projet'!$C$24)*(100%-'Données projet'!$C$25)*(100%-'Données projet'!$C$26)*(100%-'Données projet'!$C$27)</f>
        <v>51.134162373193838</v>
      </c>
      <c r="L9" s="152">
        <f t="shared" ca="1" si="2"/>
        <v>276.53481813804092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1682.4846317298384</v>
      </c>
      <c r="G16" s="166">
        <f t="shared" ca="1" si="3"/>
        <v>1438.5243601290117</v>
      </c>
      <c r="H16" s="167">
        <f t="shared" si="3"/>
        <v>58.575772454682244</v>
      </c>
      <c r="I16" s="167">
        <f t="shared" si="3"/>
        <v>50.082285448753325</v>
      </c>
      <c r="J16" s="168">
        <f t="shared" si="3"/>
        <v>370.09428342646152</v>
      </c>
      <c r="K16" s="168">
        <f t="shared" si="3"/>
        <v>316.43061232962452</v>
      </c>
      <c r="L16" s="169">
        <f t="shared" ca="1" si="3"/>
        <v>1805.0372579073896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292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Cèdre de l'Atlas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Mélèze d'Europe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Pin laricio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P7" zoomScale="70" zoomScaleNormal="70" workbookViewId="0">
      <selection activeCell="T26" sqref="T26:V26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293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294</v>
      </c>
      <c r="I4" s="262"/>
      <c r="K4" s="286" t="s">
        <v>295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55</v>
      </c>
      <c r="O7" s="247"/>
      <c r="P7" s="248"/>
      <c r="Q7" s="249"/>
      <c r="R7" s="296" t="s">
        <v>296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297</v>
      </c>
      <c r="C9" s="23"/>
      <c r="D9" s="23"/>
      <c r="E9" s="23"/>
      <c r="F9" s="230"/>
      <c r="G9" s="93" t="s">
        <v>298</v>
      </c>
      <c r="J9" s="200"/>
      <c r="K9" s="208"/>
      <c r="O9" s="23"/>
      <c r="P9" s="23"/>
      <c r="Q9" s="234"/>
      <c r="R9" s="23"/>
      <c r="S9" s="4"/>
      <c r="T9" s="36" t="s">
        <v>299</v>
      </c>
      <c r="U9" s="176" t="s">
        <v>300</v>
      </c>
      <c r="V9" s="36" t="s">
        <v>301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302</v>
      </c>
      <c r="C10" s="23"/>
      <c r="D10" s="23"/>
      <c r="E10" s="23"/>
      <c r="F10" s="230"/>
      <c r="G10" s="93" t="s">
        <v>303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965.84078016427634</v>
      </c>
      <c r="U10" s="178">
        <f>'Données projet'!D9</f>
        <v>2.7993600000000001</v>
      </c>
      <c r="V10" s="177">
        <f>U10*T10</f>
        <v>2703.7360463606688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304</v>
      </c>
      <c r="B11" s="23"/>
      <c r="C11" s="23"/>
      <c r="D11" s="23"/>
      <c r="E11" s="23"/>
      <c r="F11" s="230"/>
      <c r="G11" s="93" t="s">
        <v>305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Cèdre de l'Atlas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-1727.6108718918406</v>
      </c>
      <c r="U11" s="178">
        <f>'Données projet'!D10</f>
        <v>2.4883199999999999</v>
      </c>
      <c r="V11" s="177">
        <f t="shared" ref="V11" si="0">U11*T11</f>
        <v>-4298.8486847459044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Mélèze d'Europe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731.31231971336854</v>
      </c>
      <c r="U12" s="178">
        <f>'Données projet'!D11</f>
        <v>1.7530560000000002</v>
      </c>
      <c r="V12" s="177">
        <f t="shared" ref="V12:V19" si="1">U12*T12</f>
        <v>1282.0314499474391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306</v>
      </c>
      <c r="M13" s="23"/>
      <c r="N13" s="23"/>
      <c r="O13" s="23"/>
      <c r="P13" s="23"/>
      <c r="Q13" s="234"/>
      <c r="R13" s="23"/>
      <c r="S13" s="36" t="str">
        <f>B107</f>
        <v>Pin laricio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1724.5198554659619</v>
      </c>
      <c r="U13" s="178">
        <f>'Données projet'!D12</f>
        <v>1.5914880000000002</v>
      </c>
      <c r="V13" s="177">
        <f t="shared" si="1"/>
        <v>2744.552655735813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74</v>
      </c>
      <c r="I14" s="36" t="s">
        <v>307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308</v>
      </c>
      <c r="H15" s="190">
        <v>1</v>
      </c>
      <c r="I15" s="191">
        <v>0</v>
      </c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44</v>
      </c>
      <c r="B16" s="48" t="s">
        <v>309</v>
      </c>
      <c r="C16" s="48" t="s">
        <v>310</v>
      </c>
      <c r="D16" s="36" t="s">
        <v>311</v>
      </c>
      <c r="E16" s="36" t="s">
        <v>312</v>
      </c>
      <c r="F16" s="230"/>
      <c r="G16" s="289"/>
      <c r="H16" s="190"/>
      <c r="I16" s="191"/>
      <c r="J16" s="202"/>
      <c r="K16" s="208"/>
      <c r="L16" s="286" t="s">
        <v>313</v>
      </c>
      <c r="M16" s="287"/>
      <c r="N16" s="2">
        <v>50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194</v>
      </c>
      <c r="C17" s="198" t="s">
        <v>194</v>
      </c>
      <c r="D17" s="197" t="s">
        <v>194</v>
      </c>
      <c r="E17" s="193">
        <v>262.10000000000002</v>
      </c>
      <c r="F17" s="230"/>
      <c r="G17" s="289"/>
      <c r="J17" s="202"/>
      <c r="K17" s="208"/>
      <c r="L17" s="259" t="s">
        <v>314</v>
      </c>
      <c r="M17" s="261"/>
      <c r="N17" s="175">
        <f>VLOOKUP(N16,Calculateur!$A$2:$H$153,3,0)/VLOOKUP('Scénario référence'!$G$15,Paramètres!A1:I89,3,0)/VLOOKUP('Scénario référence'!$G$15,Paramètres!A1:I89,5,0)</f>
        <v>50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194</v>
      </c>
      <c r="C18" s="198" t="s">
        <v>194</v>
      </c>
      <c r="D18" s="197" t="s">
        <v>194</v>
      </c>
      <c r="E18" s="193">
        <v>2190.52</v>
      </c>
      <c r="F18" s="230"/>
      <c r="G18" s="289"/>
      <c r="J18" s="202"/>
      <c r="K18" s="208"/>
      <c r="L18" s="259" t="s">
        <v>310</v>
      </c>
      <c r="M18" s="261"/>
      <c r="N18" s="192">
        <v>100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194</v>
      </c>
      <c r="C19" s="198" t="s">
        <v>194</v>
      </c>
      <c r="D19" s="197" t="s">
        <v>194</v>
      </c>
      <c r="E19" s="193"/>
      <c r="F19" s="230"/>
      <c r="G19" s="289"/>
      <c r="H19" s="212" t="s">
        <v>74</v>
      </c>
      <c r="I19" s="212" t="s">
        <v>315</v>
      </c>
      <c r="J19" s="93"/>
      <c r="K19" s="173"/>
      <c r="L19" s="286" t="s">
        <v>316</v>
      </c>
      <c r="M19" s="287"/>
      <c r="N19" s="179">
        <f>N17*N18</f>
        <v>5000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194</v>
      </c>
      <c r="C20" s="198" t="s">
        <v>194</v>
      </c>
      <c r="D20" s="197" t="s">
        <v>194</v>
      </c>
      <c r="E20" s="193"/>
      <c r="F20" s="230"/>
      <c r="G20" s="289"/>
      <c r="H20" s="190">
        <v>1</v>
      </c>
      <c r="I20" s="191">
        <f>18810/10.45</f>
        <v>1800.0000000000002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194</v>
      </c>
      <c r="C21" s="198" t="s">
        <v>194</v>
      </c>
      <c r="D21" s="197" t="s">
        <v>194</v>
      </c>
      <c r="E21" s="193"/>
      <c r="F21" s="230"/>
      <c r="H21" s="190">
        <v>1</v>
      </c>
      <c r="I21" s="191">
        <f>40738.28/10.45</f>
        <v>3898.4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194</v>
      </c>
      <c r="C22" s="198" t="s">
        <v>194</v>
      </c>
      <c r="D22" s="197" t="s">
        <v>194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18</v>
      </c>
      <c r="B23" s="181">
        <f>'Données projet'!D36</f>
        <v>69.284615384615378</v>
      </c>
      <c r="C23" s="193">
        <v>10</v>
      </c>
      <c r="D23" s="182">
        <f>B23*C23</f>
        <v>692.84615384615381</v>
      </c>
      <c r="E23" s="193">
        <v>150</v>
      </c>
      <c r="F23" s="230"/>
      <c r="H23" s="190"/>
      <c r="I23" s="191"/>
      <c r="K23" s="208"/>
      <c r="L23" s="288" t="s">
        <v>317</v>
      </c>
      <c r="M23" s="288"/>
      <c r="N23" s="288"/>
      <c r="O23" s="23"/>
      <c r="P23" s="23"/>
      <c r="Q23" s="234"/>
      <c r="R23" s="23"/>
      <c r="S23" s="36" t="s">
        <v>318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-44682.572551840749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24</v>
      </c>
      <c r="B24" s="181">
        <f>'Données projet'!D37</f>
        <v>42.661538461538463</v>
      </c>
      <c r="C24" s="193">
        <v>10</v>
      </c>
      <c r="D24" s="182">
        <f t="shared" ref="D24:D42" si="2">B24*C24</f>
        <v>426.61538461538464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319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4782.6568785161735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30</v>
      </c>
      <c r="B25" s="181">
        <f>'Données projet'!D38</f>
        <v>65.669230769230765</v>
      </c>
      <c r="C25" s="193">
        <v>18</v>
      </c>
      <c r="D25" s="182">
        <f t="shared" si="2"/>
        <v>1182.0461538461539</v>
      </c>
      <c r="E25" s="193">
        <v>150</v>
      </c>
      <c r="F25" s="233"/>
      <c r="H25" s="190"/>
      <c r="I25" s="191"/>
      <c r="K25" s="208"/>
      <c r="L25" s="130" t="s">
        <v>320</v>
      </c>
      <c r="M25" s="130"/>
      <c r="N25" s="130"/>
      <c r="O25" s="130"/>
      <c r="P25" s="192"/>
      <c r="Q25" s="234"/>
      <c r="R25" s="23"/>
      <c r="S25" s="186" t="s">
        <v>321</v>
      </c>
      <c r="T25" s="303">
        <f ca="1">T23-T24</f>
        <v>-49465.229430356922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36</v>
      </c>
      <c r="B26" s="181">
        <f>'Données projet'!D39</f>
        <v>69.3</v>
      </c>
      <c r="C26" s="193">
        <v>25</v>
      </c>
      <c r="D26" s="182">
        <f t="shared" si="2"/>
        <v>1732.5</v>
      </c>
      <c r="E26" s="193">
        <v>150</v>
      </c>
      <c r="F26" s="233"/>
      <c r="G26" s="229"/>
      <c r="H26" s="190"/>
      <c r="I26" s="191"/>
      <c r="K26" s="208"/>
      <c r="L26" s="290" t="s">
        <v>322</v>
      </c>
      <c r="M26" s="291"/>
      <c r="N26" s="291"/>
      <c r="O26" s="291"/>
      <c r="P26" s="292"/>
      <c r="Q26" s="234"/>
      <c r="R26" s="23"/>
      <c r="S26" s="186" t="s">
        <v>323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42</v>
      </c>
      <c r="B27" s="181">
        <f>'Données projet'!D40</f>
        <v>73.392307692307682</v>
      </c>
      <c r="C27" s="193">
        <v>25</v>
      </c>
      <c r="D27" s="182">
        <f t="shared" si="2"/>
        <v>1834.8076923076922</v>
      </c>
      <c r="E27" s="193">
        <v>150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324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48</v>
      </c>
      <c r="B28" s="181">
        <f>'Données projet'!D41</f>
        <v>81.330769230769235</v>
      </c>
      <c r="C28" s="193">
        <v>35</v>
      </c>
      <c r="D28" s="182">
        <f t="shared" si="2"/>
        <v>2846.5769230769233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54</v>
      </c>
      <c r="B29" s="181">
        <f>'Données projet'!D42</f>
        <v>566.79999999999995</v>
      </c>
      <c r="C29" s="193">
        <v>40</v>
      </c>
      <c r="D29" s="182">
        <f t="shared" si="2"/>
        <v>22672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>
        <v>45</v>
      </c>
      <c r="D30" s="182">
        <f t="shared" si="2"/>
        <v>0</v>
      </c>
      <c r="E30" s="193">
        <v>150</v>
      </c>
      <c r="F30" s="233"/>
      <c r="G30" s="203"/>
      <c r="H30" s="190"/>
      <c r="I30" s="191"/>
      <c r="K30" s="183"/>
      <c r="L30" s="36" t="s">
        <v>325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>
        <v>55</v>
      </c>
      <c r="D31" s="182">
        <f t="shared" si="2"/>
        <v>0</v>
      </c>
      <c r="E31" s="193">
        <v>150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74</v>
      </c>
      <c r="P32" s="85" t="s">
        <v>311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17</v>
      </c>
      <c r="B45" s="174" t="str">
        <f>IF('Données projet'!$B$10="","",'Données projet'!$B$10)</f>
        <v>Cèdre de l'Atlas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44</v>
      </c>
      <c r="B47" s="48" t="s">
        <v>309</v>
      </c>
      <c r="C47" s="48" t="s">
        <v>310</v>
      </c>
      <c r="D47" s="36" t="s">
        <v>311</v>
      </c>
      <c r="E47" s="36" t="s">
        <v>312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194</v>
      </c>
      <c r="C48" s="198" t="s">
        <v>194</v>
      </c>
      <c r="D48" s="197" t="s">
        <v>194</v>
      </c>
      <c r="E48" s="193">
        <v>439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194</v>
      </c>
      <c r="C49" s="198" t="s">
        <v>194</v>
      </c>
      <c r="D49" s="197" t="s">
        <v>194</v>
      </c>
      <c r="E49" s="193">
        <v>2190.52</v>
      </c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194</v>
      </c>
      <c r="C50" s="198" t="s">
        <v>194</v>
      </c>
      <c r="D50" s="197" t="s">
        <v>194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194</v>
      </c>
      <c r="C51" s="198" t="s">
        <v>194</v>
      </c>
      <c r="D51" s="197" t="s">
        <v>194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194</v>
      </c>
      <c r="C52" s="198" t="s">
        <v>194</v>
      </c>
      <c r="D52" s="197" t="s">
        <v>194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194</v>
      </c>
      <c r="C53" s="198" t="s">
        <v>194</v>
      </c>
      <c r="D53" s="197" t="s">
        <v>194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30</v>
      </c>
      <c r="B54" s="181">
        <f>'Données projet'!D62</f>
        <v>0</v>
      </c>
      <c r="C54" s="191">
        <v>10</v>
      </c>
      <c r="D54" s="179">
        <f>B54*C54</f>
        <v>0</v>
      </c>
      <c r="E54" s="193">
        <v>150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42</v>
      </c>
      <c r="B55" s="181">
        <f>'Données projet'!D63</f>
        <v>104.98461538461537</v>
      </c>
      <c r="C55" s="191">
        <v>18</v>
      </c>
      <c r="D55" s="179">
        <f t="shared" ref="D55:D73" si="4">B55*C55</f>
        <v>1889.7230769230766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50</v>
      </c>
      <c r="B56" s="181">
        <f>'Données projet'!D64</f>
        <v>100.66923076923077</v>
      </c>
      <c r="C56" s="191">
        <v>25</v>
      </c>
      <c r="D56" s="179">
        <f t="shared" si="4"/>
        <v>2516.7307692307691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58</v>
      </c>
      <c r="B57" s="181">
        <f>'Données projet'!D65</f>
        <v>80.315384615384616</v>
      </c>
      <c r="C57" s="191">
        <v>35</v>
      </c>
      <c r="D57" s="179">
        <f t="shared" si="4"/>
        <v>2811.0384615384614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66</v>
      </c>
      <c r="B58" s="181">
        <f>'Données projet'!D66</f>
        <v>79.169230769230765</v>
      </c>
      <c r="C58" s="191">
        <v>40</v>
      </c>
      <c r="D58" s="179">
        <f t="shared" si="4"/>
        <v>3166.7692307692305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75</v>
      </c>
      <c r="B59" s="181">
        <f>'Données projet'!D67</f>
        <v>78.307692307692307</v>
      </c>
      <c r="C59" s="191">
        <v>45</v>
      </c>
      <c r="D59" s="179">
        <f t="shared" si="4"/>
        <v>3523.8461538461538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83</v>
      </c>
      <c r="B60" s="181">
        <f>'Données projet'!D68</f>
        <v>79.707692307692312</v>
      </c>
      <c r="C60" s="191">
        <v>45</v>
      </c>
      <c r="D60" s="179">
        <f t="shared" si="4"/>
        <v>3586.8461538461543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91</v>
      </c>
      <c r="B61" s="181">
        <f>'Données projet'!D69</f>
        <v>229.73846153846154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101</v>
      </c>
      <c r="B62" s="181">
        <f>'Données projet'!D70</f>
        <v>307.60769230769228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18</v>
      </c>
      <c r="B76" s="174" t="str">
        <f>IF('Données projet'!B11="","",'Données projet'!B11)</f>
        <v>Mélèze d'Europe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44</v>
      </c>
      <c r="B78" s="48" t="s">
        <v>309</v>
      </c>
      <c r="C78" s="48" t="s">
        <v>310</v>
      </c>
      <c r="D78" s="36" t="s">
        <v>311</v>
      </c>
      <c r="E78" s="36" t="s">
        <v>312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194</v>
      </c>
      <c r="C79" s="198" t="s">
        <v>194</v>
      </c>
      <c r="D79" s="197" t="s">
        <v>194</v>
      </c>
      <c r="E79" s="193">
        <v>164.2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194</v>
      </c>
      <c r="C80" s="198" t="s">
        <v>194</v>
      </c>
      <c r="D80" s="197" t="s">
        <v>194</v>
      </c>
      <c r="E80" s="193">
        <v>2190.52</v>
      </c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194</v>
      </c>
      <c r="C81" s="198" t="s">
        <v>194</v>
      </c>
      <c r="D81" s="197" t="s">
        <v>194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194</v>
      </c>
      <c r="C82" s="198" t="s">
        <v>194</v>
      </c>
      <c r="D82" s="197" t="s">
        <v>194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194</v>
      </c>
      <c r="C83" s="198" t="s">
        <v>194</v>
      </c>
      <c r="D83" s="197" t="s">
        <v>194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194</v>
      </c>
      <c r="C84" s="198"/>
      <c r="D84" s="197" t="s">
        <v>194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18</v>
      </c>
      <c r="B85" s="181">
        <f>'Données projet'!D88</f>
        <v>20</v>
      </c>
      <c r="C85" s="191">
        <v>10</v>
      </c>
      <c r="D85" s="179">
        <f>B85*C85</f>
        <v>200</v>
      </c>
      <c r="E85" s="193">
        <v>150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21</v>
      </c>
      <c r="B86" s="181">
        <f>'Données projet'!D89</f>
        <v>26</v>
      </c>
      <c r="C86" s="191">
        <v>18</v>
      </c>
      <c r="D86" s="179">
        <f t="shared" ref="D86:D104" si="6">B86*C86</f>
        <v>468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24</v>
      </c>
      <c r="B87" s="181">
        <f>'Données projet'!D90</f>
        <v>29</v>
      </c>
      <c r="C87" s="191">
        <v>25</v>
      </c>
      <c r="D87" s="179">
        <f t="shared" si="6"/>
        <v>725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30</v>
      </c>
      <c r="B88" s="181">
        <f>'Données projet'!D91</f>
        <v>53</v>
      </c>
      <c r="C88" s="191">
        <v>25</v>
      </c>
      <c r="D88" s="179">
        <f t="shared" si="6"/>
        <v>1325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str">
        <f>IF(O87+1&lt;=MIN('Données projet'!$E$9:$E$18),O87+1,"STOP")</f>
        <v>STOP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36</v>
      </c>
      <c r="B89" s="181">
        <f>'Données projet'!D92</f>
        <v>62</v>
      </c>
      <c r="C89" s="191">
        <v>35</v>
      </c>
      <c r="D89" s="179">
        <f t="shared" si="6"/>
        <v>2170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42</v>
      </c>
      <c r="B90" s="181">
        <f>'Données projet'!D93</f>
        <v>67</v>
      </c>
      <c r="C90" s="191">
        <v>40</v>
      </c>
      <c r="D90" s="179">
        <f t="shared" si="6"/>
        <v>2680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48</v>
      </c>
      <c r="B91" s="181">
        <f>'Données projet'!D94</f>
        <v>65</v>
      </c>
      <c r="C91" s="191">
        <v>45</v>
      </c>
      <c r="D91" s="179">
        <f t="shared" si="6"/>
        <v>2925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60</v>
      </c>
      <c r="B92" s="181">
        <f>'Données projet'!D95</f>
        <v>304</v>
      </c>
      <c r="C92" s="191">
        <v>55</v>
      </c>
      <c r="D92" s="179">
        <f t="shared" si="6"/>
        <v>16720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19</v>
      </c>
      <c r="B107" s="174" t="str">
        <f>IF('Données projet'!B12="","",'Données projet'!B12)</f>
        <v>Pin laricio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44</v>
      </c>
      <c r="B109" s="48" t="s">
        <v>309</v>
      </c>
      <c r="C109" s="48" t="s">
        <v>310</v>
      </c>
      <c r="D109" s="36" t="s">
        <v>311</v>
      </c>
      <c r="E109" s="36" t="s">
        <v>312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194</v>
      </c>
      <c r="C110" s="198" t="s">
        <v>194</v>
      </c>
      <c r="D110" s="197" t="s">
        <v>194</v>
      </c>
      <c r="E110" s="193">
        <v>135.5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194</v>
      </c>
      <c r="C111" s="198" t="s">
        <v>194</v>
      </c>
      <c r="D111" s="197" t="s">
        <v>194</v>
      </c>
      <c r="E111" s="193">
        <v>2190.52</v>
      </c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194</v>
      </c>
      <c r="C112" s="198" t="s">
        <v>194</v>
      </c>
      <c r="D112" s="197" t="s">
        <v>194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194</v>
      </c>
      <c r="C113" s="198" t="s">
        <v>194</v>
      </c>
      <c r="D113" s="197" t="s">
        <v>194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194</v>
      </c>
      <c r="C114" s="198" t="s">
        <v>194</v>
      </c>
      <c r="D114" s="197" t="s">
        <v>194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194</v>
      </c>
      <c r="C115" s="198" t="s">
        <v>194</v>
      </c>
      <c r="D115" s="197" t="s">
        <v>194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22</v>
      </c>
      <c r="B116" s="181">
        <f>'Données projet'!D114</f>
        <v>52.746153846153838</v>
      </c>
      <c r="C116" s="191">
        <v>10</v>
      </c>
      <c r="D116" s="179">
        <f>B116*C116</f>
        <v>527.46153846153834</v>
      </c>
      <c r="E116" s="193">
        <v>150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27</v>
      </c>
      <c r="B117" s="181">
        <f>'Données projet'!D115</f>
        <v>34.646153846153844</v>
      </c>
      <c r="C117" s="191">
        <v>10</v>
      </c>
      <c r="D117" s="179">
        <f t="shared" ref="D117:D135" si="8">B117*C117</f>
        <v>346.46153846153845</v>
      </c>
      <c r="E117" s="193">
        <v>150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30</v>
      </c>
      <c r="B118" s="181">
        <f>'Données projet'!D116</f>
        <v>0</v>
      </c>
      <c r="C118" s="191">
        <v>18</v>
      </c>
      <c r="D118" s="179">
        <f t="shared" si="8"/>
        <v>0</v>
      </c>
      <c r="E118" s="193">
        <v>150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33</v>
      </c>
      <c r="B119" s="181">
        <f>'Données projet'!D117</f>
        <v>43.007692307692302</v>
      </c>
      <c r="C119" s="191">
        <v>25</v>
      </c>
      <c r="D119" s="179">
        <f t="shared" si="8"/>
        <v>1075.1923076923076</v>
      </c>
      <c r="E119" s="193">
        <v>150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41</v>
      </c>
      <c r="B120" s="181">
        <f>'Données projet'!D118</f>
        <v>58.484615384615381</v>
      </c>
      <c r="C120" s="191">
        <v>35</v>
      </c>
      <c r="D120" s="179">
        <f t="shared" si="8"/>
        <v>2046.9615384615383</v>
      </c>
      <c r="E120" s="193">
        <v>150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50</v>
      </c>
      <c r="B121" s="181">
        <f>'Données projet'!D119</f>
        <v>55.292307692307688</v>
      </c>
      <c r="C121" s="191">
        <v>40</v>
      </c>
      <c r="D121" s="179">
        <f t="shared" si="8"/>
        <v>2211.6923076923076</v>
      </c>
      <c r="E121" s="193">
        <v>150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60</v>
      </c>
      <c r="B122" s="181">
        <f>'Données projet'!D120</f>
        <v>54.261538461538464</v>
      </c>
      <c r="C122" s="191">
        <v>45</v>
      </c>
      <c r="D122" s="179">
        <f t="shared" si="8"/>
        <v>2441.7692307692309</v>
      </c>
      <c r="E122" s="193">
        <v>150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70</v>
      </c>
      <c r="B123" s="181">
        <f>'Données projet'!D121</f>
        <v>52.669230769230765</v>
      </c>
      <c r="C123" s="191">
        <v>55</v>
      </c>
      <c r="D123" s="179">
        <f t="shared" si="8"/>
        <v>2896.8076923076919</v>
      </c>
      <c r="E123" s="193">
        <v>150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80</v>
      </c>
      <c r="B124" s="181">
        <f>'Données projet'!D122</f>
        <v>402.90769230769229</v>
      </c>
      <c r="C124" s="191">
        <v>55</v>
      </c>
      <c r="D124" s="179">
        <f t="shared" si="8"/>
        <v>22159.923076923074</v>
      </c>
      <c r="E124" s="193">
        <v>150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20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44</v>
      </c>
      <c r="B140" s="48" t="s">
        <v>309</v>
      </c>
      <c r="C140" s="48" t="s">
        <v>310</v>
      </c>
      <c r="D140" s="36" t="s">
        <v>311</v>
      </c>
      <c r="E140" s="36" t="s">
        <v>312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194</v>
      </c>
      <c r="C141" s="198" t="s">
        <v>194</v>
      </c>
      <c r="D141" s="197" t="s">
        <v>194</v>
      </c>
      <c r="E141" s="193">
        <v>852.6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194</v>
      </c>
      <c r="C142" s="198" t="s">
        <v>194</v>
      </c>
      <c r="D142" s="197" t="s">
        <v>194</v>
      </c>
      <c r="E142" s="193">
        <v>2190.52</v>
      </c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194</v>
      </c>
      <c r="C143" s="198" t="s">
        <v>194</v>
      </c>
      <c r="D143" s="197" t="s">
        <v>194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194</v>
      </c>
      <c r="C144" s="198" t="s">
        <v>194</v>
      </c>
      <c r="D144" s="197" t="s">
        <v>194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194</v>
      </c>
      <c r="C145" s="198" t="s">
        <v>194</v>
      </c>
      <c r="D145" s="197" t="s">
        <v>194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194</v>
      </c>
      <c r="C146" s="198" t="s">
        <v>194</v>
      </c>
      <c r="D146" s="197" t="s">
        <v>194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>
        <v>10</v>
      </c>
      <c r="D147" s="182">
        <f>B147*C147</f>
        <v>0</v>
      </c>
      <c r="E147" s="193">
        <v>150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>
        <v>10</v>
      </c>
      <c r="D148" s="182">
        <f t="shared" ref="D148:D166" si="10">B148*C148</f>
        <v>0</v>
      </c>
      <c r="E148" s="193">
        <v>150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>
        <v>50</v>
      </c>
      <c r="D149" s="182">
        <f t="shared" si="10"/>
        <v>0</v>
      </c>
      <c r="E149" s="193">
        <v>150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>
        <v>50</v>
      </c>
      <c r="D150" s="182">
        <f t="shared" si="10"/>
        <v>0</v>
      </c>
      <c r="E150" s="193">
        <v>150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>
        <v>50</v>
      </c>
      <c r="D151" s="182">
        <f t="shared" si="10"/>
        <v>0</v>
      </c>
      <c r="E151" s="193">
        <v>150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>
        <v>100</v>
      </c>
      <c r="D152" s="182">
        <f t="shared" si="10"/>
        <v>0</v>
      </c>
      <c r="E152" s="193">
        <v>150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>
        <v>100</v>
      </c>
      <c r="D153" s="182">
        <f t="shared" si="10"/>
        <v>0</v>
      </c>
      <c r="E153" s="193">
        <v>150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>
        <v>150</v>
      </c>
      <c r="D154" s="182">
        <f t="shared" si="10"/>
        <v>0</v>
      </c>
      <c r="E154" s="193">
        <v>150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>
        <v>150</v>
      </c>
      <c r="D155" s="182">
        <f t="shared" si="10"/>
        <v>0</v>
      </c>
      <c r="E155" s="193">
        <v>150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>
        <v>150</v>
      </c>
      <c r="D156" s="182">
        <f t="shared" si="10"/>
        <v>0</v>
      </c>
      <c r="E156" s="193">
        <v>150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>
        <v>200</v>
      </c>
      <c r="D157" s="182">
        <f t="shared" si="10"/>
        <v>0</v>
      </c>
      <c r="E157" s="193">
        <v>150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>
        <v>200</v>
      </c>
      <c r="D158" s="182">
        <f t="shared" si="10"/>
        <v>0</v>
      </c>
      <c r="E158" s="193">
        <v>150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>
        <v>200</v>
      </c>
      <c r="D159" s="182">
        <f t="shared" si="10"/>
        <v>0</v>
      </c>
      <c r="E159" s="193">
        <v>150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>
        <v>200</v>
      </c>
      <c r="D160" s="182">
        <f t="shared" si="10"/>
        <v>0</v>
      </c>
      <c r="E160" s="193">
        <v>150</v>
      </c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>
        <v>200</v>
      </c>
      <c r="D161" s="182">
        <f t="shared" si="10"/>
        <v>0</v>
      </c>
      <c r="E161" s="193">
        <v>150</v>
      </c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>
        <v>150</v>
      </c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21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44</v>
      </c>
      <c r="B171" s="48" t="s">
        <v>309</v>
      </c>
      <c r="C171" s="48" t="s">
        <v>310</v>
      </c>
      <c r="D171" s="36" t="s">
        <v>311</v>
      </c>
      <c r="E171" s="36" t="s">
        <v>312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194</v>
      </c>
      <c r="C172" s="198" t="s">
        <v>194</v>
      </c>
      <c r="D172" s="197" t="s">
        <v>194</v>
      </c>
      <c r="E172" s="193">
        <v>707.6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194</v>
      </c>
      <c r="C173" s="198" t="s">
        <v>194</v>
      </c>
      <c r="D173" s="197" t="s">
        <v>194</v>
      </c>
      <c r="E173" s="193">
        <v>2190.52</v>
      </c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194</v>
      </c>
      <c r="C174" s="198" t="s">
        <v>194</v>
      </c>
      <c r="D174" s="197" t="s">
        <v>194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194</v>
      </c>
      <c r="C175" s="198" t="s">
        <v>194</v>
      </c>
      <c r="D175" s="197" t="s">
        <v>194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194</v>
      </c>
      <c r="C176" s="198" t="s">
        <v>194</v>
      </c>
      <c r="D176" s="197" t="s">
        <v>194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194</v>
      </c>
      <c r="C177" s="198" t="s">
        <v>194</v>
      </c>
      <c r="D177" s="197" t="s">
        <v>194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>
        <v>10</v>
      </c>
      <c r="D178" s="179">
        <f>B178*C178</f>
        <v>0</v>
      </c>
      <c r="E178" s="193">
        <v>150</v>
      </c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>
        <v>10</v>
      </c>
      <c r="D179" s="179">
        <f t="shared" ref="D179:D197" si="11">B179*C179</f>
        <v>0</v>
      </c>
      <c r="E179" s="193">
        <v>150</v>
      </c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>
        <v>50</v>
      </c>
      <c r="D180" s="179">
        <f t="shared" si="11"/>
        <v>0</v>
      </c>
      <c r="E180" s="193">
        <v>150</v>
      </c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>
        <v>50</v>
      </c>
      <c r="D181" s="179">
        <f t="shared" si="11"/>
        <v>0</v>
      </c>
      <c r="E181" s="193">
        <v>150</v>
      </c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>
        <v>50</v>
      </c>
      <c r="D182" s="179">
        <f t="shared" si="11"/>
        <v>0</v>
      </c>
      <c r="E182" s="193">
        <v>150</v>
      </c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>
        <v>100</v>
      </c>
      <c r="D183" s="179">
        <f t="shared" si="11"/>
        <v>0</v>
      </c>
      <c r="E183" s="193">
        <v>150</v>
      </c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>
        <v>100</v>
      </c>
      <c r="D184" s="179">
        <f t="shared" si="11"/>
        <v>0</v>
      </c>
      <c r="E184" s="193">
        <v>150</v>
      </c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>
        <v>150</v>
      </c>
      <c r="D185" s="179">
        <f t="shared" si="11"/>
        <v>0</v>
      </c>
      <c r="E185" s="193">
        <v>150</v>
      </c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>
        <v>150</v>
      </c>
      <c r="D186" s="179">
        <f t="shared" si="11"/>
        <v>0</v>
      </c>
      <c r="E186" s="193">
        <v>150</v>
      </c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>
        <v>150</v>
      </c>
      <c r="D187" s="179">
        <f t="shared" si="11"/>
        <v>0</v>
      </c>
      <c r="E187" s="193">
        <v>150</v>
      </c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>
        <v>200</v>
      </c>
      <c r="D188" s="179">
        <f t="shared" si="11"/>
        <v>0</v>
      </c>
      <c r="E188" s="193">
        <v>150</v>
      </c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>
        <v>200</v>
      </c>
      <c r="D189" s="179">
        <f t="shared" si="11"/>
        <v>0</v>
      </c>
      <c r="E189" s="193">
        <v>150</v>
      </c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>
        <v>200</v>
      </c>
      <c r="D190" s="179">
        <f t="shared" si="11"/>
        <v>0</v>
      </c>
      <c r="E190" s="193">
        <v>150</v>
      </c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>
        <v>200</v>
      </c>
      <c r="D191" s="179">
        <f t="shared" si="11"/>
        <v>0</v>
      </c>
      <c r="E191" s="193">
        <v>150</v>
      </c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22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44</v>
      </c>
      <c r="B202" s="48" t="s">
        <v>309</v>
      </c>
      <c r="C202" s="48" t="s">
        <v>310</v>
      </c>
      <c r="D202" s="36" t="s">
        <v>311</v>
      </c>
      <c r="E202" s="36" t="s">
        <v>312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194</v>
      </c>
      <c r="C203" s="198" t="s">
        <v>194</v>
      </c>
      <c r="D203" s="197" t="s">
        <v>194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194</v>
      </c>
      <c r="C204" s="198" t="s">
        <v>194</v>
      </c>
      <c r="D204" s="197" t="s">
        <v>194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194</v>
      </c>
      <c r="C205" s="198" t="s">
        <v>194</v>
      </c>
      <c r="D205" s="197" t="s">
        <v>194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194</v>
      </c>
      <c r="C206" s="198" t="s">
        <v>194</v>
      </c>
      <c r="D206" s="197" t="s">
        <v>194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194</v>
      </c>
      <c r="C207" s="198" t="s">
        <v>194</v>
      </c>
      <c r="D207" s="197" t="s">
        <v>194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194</v>
      </c>
      <c r="C208" s="198" t="s">
        <v>194</v>
      </c>
      <c r="D208" s="197" t="s">
        <v>194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23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44</v>
      </c>
      <c r="B233" s="48" t="s">
        <v>309</v>
      </c>
      <c r="C233" s="48" t="s">
        <v>310</v>
      </c>
      <c r="D233" s="36" t="s">
        <v>311</v>
      </c>
      <c r="E233" s="36" t="s">
        <v>312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194</v>
      </c>
      <c r="C234" s="198" t="s">
        <v>194</v>
      </c>
      <c r="D234" s="197" t="s">
        <v>194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194</v>
      </c>
      <c r="C235" s="198" t="s">
        <v>194</v>
      </c>
      <c r="D235" s="197" t="s">
        <v>194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194</v>
      </c>
      <c r="C236" s="198" t="s">
        <v>194</v>
      </c>
      <c r="D236" s="197" t="s">
        <v>194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194</v>
      </c>
      <c r="C237" s="198" t="s">
        <v>194</v>
      </c>
      <c r="D237" s="197" t="s">
        <v>194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194</v>
      </c>
      <c r="C238" s="198" t="s">
        <v>194</v>
      </c>
      <c r="D238" s="197" t="s">
        <v>194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194</v>
      </c>
      <c r="C239" s="198" t="s">
        <v>194</v>
      </c>
      <c r="D239" s="197" t="s">
        <v>194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24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44</v>
      </c>
      <c r="B264" s="48" t="s">
        <v>309</v>
      </c>
      <c r="C264" s="48" t="s">
        <v>310</v>
      </c>
      <c r="D264" s="36" t="s">
        <v>311</v>
      </c>
      <c r="E264" s="36" t="s">
        <v>312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194</v>
      </c>
      <c r="C265" s="198" t="s">
        <v>194</v>
      </c>
      <c r="D265" s="197" t="s">
        <v>194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194</v>
      </c>
      <c r="C266" s="198" t="s">
        <v>194</v>
      </c>
      <c r="D266" s="197" t="s">
        <v>194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194</v>
      </c>
      <c r="C267" s="198" t="s">
        <v>194</v>
      </c>
      <c r="D267" s="197" t="s">
        <v>194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194</v>
      </c>
      <c r="C268" s="198" t="s">
        <v>194</v>
      </c>
      <c r="D268" s="197" t="s">
        <v>194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194</v>
      </c>
      <c r="C269" s="198" t="s">
        <v>194</v>
      </c>
      <c r="D269" s="197" t="s">
        <v>194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194</v>
      </c>
      <c r="C270" s="198" t="s">
        <v>194</v>
      </c>
      <c r="D270" s="197" t="s">
        <v>194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25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44</v>
      </c>
      <c r="B295" s="48" t="s">
        <v>309</v>
      </c>
      <c r="C295" s="48" t="s">
        <v>310</v>
      </c>
      <c r="D295" s="36" t="s">
        <v>311</v>
      </c>
      <c r="E295" s="36" t="s">
        <v>312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194</v>
      </c>
      <c r="C296" s="198" t="s">
        <v>194</v>
      </c>
      <c r="D296" s="197" t="s">
        <v>194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194</v>
      </c>
      <c r="C297" s="198" t="s">
        <v>194</v>
      </c>
      <c r="D297" s="197" t="s">
        <v>194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194</v>
      </c>
      <c r="C298" s="198" t="s">
        <v>194</v>
      </c>
      <c r="D298" s="197" t="s">
        <v>194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194</v>
      </c>
      <c r="C299" s="198" t="s">
        <v>194</v>
      </c>
      <c r="D299" s="197" t="s">
        <v>194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194</v>
      </c>
      <c r="C300" s="198" t="s">
        <v>194</v>
      </c>
      <c r="D300" s="197" t="s">
        <v>194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194</v>
      </c>
      <c r="C301" s="198" t="s">
        <v>194</v>
      </c>
      <c r="D301" s="197" t="s">
        <v>194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7F18E8-372B-4F9B-9F0B-C2656A98C8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18F9DD-407B-4402-A290-6DE3A8134033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3.xml><?xml version="1.0" encoding="utf-8"?>
<ds:datastoreItem xmlns:ds="http://schemas.openxmlformats.org/officeDocument/2006/customXml" ds:itemID="{512BAEF1-AAC4-49E2-A6BD-04B7D7FEFD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Lou Gabrigs</cp:lastModifiedBy>
  <cp:revision/>
  <dcterms:created xsi:type="dcterms:W3CDTF">2021-02-01T08:22:39Z</dcterms:created>
  <dcterms:modified xsi:type="dcterms:W3CDTF">2025-01-08T10:21:59Z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