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DROMEL - 15440203 LE/"/>
    </mc:Choice>
  </mc:AlternateContent>
  <xr:revisionPtr revIDLastSave="39" documentId="8_{22798DEC-9112-4DE3-9957-3A612530BAB5}" xr6:coauthVersionLast="47" xr6:coauthVersionMax="47" xr10:uidLastSave="{158AFDC1-2389-48DA-9270-98031C42870C}"/>
  <bookViews>
    <workbookView xWindow="-28920" yWindow="751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6" l="1"/>
  <c r="I21" i="6" l="1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H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HG18" i="2"/>
  <c r="EX18" i="2"/>
  <c r="EA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FS20" i="2"/>
  <c r="HG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HG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H33" i="2"/>
  <c r="HG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Q35" i="2"/>
  <c r="HH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FS38" i="2"/>
  <c r="HG38" i="2"/>
  <c r="HI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HI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HG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EC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I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C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FS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H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G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FS113" i="2"/>
  <c r="EB113" i="2"/>
  <c r="EX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Q118" i="2"/>
  <c r="HH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EX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G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HI130" i="2"/>
  <c r="HG130" i="2"/>
  <c r="EX130" i="2"/>
  <c r="EB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G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FS139" i="2"/>
  <c r="EA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HH140" i="2"/>
  <c r="HG140" i="2"/>
  <c r="FR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FR145" i="2"/>
  <c r="HG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G150" i="2"/>
  <c r="FS150" i="2"/>
  <c r="EV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X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AC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EX156" i="2"/>
  <c r="AB156" i="2"/>
  <c r="DH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HI160" i="2"/>
  <c r="EY159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ED160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V163" i="2"/>
  <c r="EA163" i="2"/>
  <c r="HH163" i="2"/>
  <c r="HG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DH164" i="2"/>
  <c r="FR164" i="2"/>
  <c r="EX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B167" i="2"/>
  <c r="EY166" i="2"/>
  <c r="FR167" i="2"/>
  <c r="EA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C168" i="2"/>
  <c r="DG168" i="2"/>
  <c r="EW168" i="2"/>
  <c r="HI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D172" i="2"/>
  <c r="EB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Y175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D177" i="2"/>
  <c r="EB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EV179" i="2"/>
  <c r="EA179" i="2"/>
  <c r="HG179" i="2"/>
  <c r="HI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G185" i="2"/>
  <c r="HH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FR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D189" i="2"/>
  <c r="EV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B192" i="2"/>
  <c r="EW192" i="2"/>
  <c r="HG192" i="2"/>
  <c r="EC192" i="2"/>
  <c r="HI192" i="2"/>
  <c r="EV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DI192" i="2"/>
  <c r="FQ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D194" i="2"/>
  <c r="EX195" i="2"/>
  <c r="EY194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W197" i="2"/>
  <c r="AA197" i="2"/>
  <c r="EA197" i="2"/>
  <c r="FS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HI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W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EY200" i="2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D201" i="2"/>
  <c r="EW202" i="2"/>
  <c r="HH202" i="2"/>
  <c r="FZ6" i="2"/>
  <c r="HI202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17" i="2" a="1"/>
  <c r="BC117" i="2" s="1"/>
  <c r="GT102" i="2" a="1"/>
  <c r="GT102" i="2" s="1"/>
  <c r="GT11" i="2" a="1"/>
  <c r="GT11" i="2" s="1"/>
  <c r="CS66" i="2" a="1"/>
  <c r="CS66" i="2" s="1"/>
  <c r="CS52" i="2" a="1"/>
  <c r="CS52" i="2" s="1"/>
  <c r="CS129" i="2" a="1"/>
  <c r="CS129" i="2" s="1"/>
  <c r="CS116" i="2" a="1"/>
  <c r="CS116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84" i="2" a="1"/>
  <c r="BC84" i="2" s="1"/>
  <c r="BC31" i="2" a="1"/>
  <c r="BC31" i="2" s="1"/>
  <c r="BC151" i="2" a="1"/>
  <c r="BC151" i="2" s="1"/>
  <c r="BC83" i="2" a="1"/>
  <c r="BC83" i="2" s="1"/>
  <c r="BC38" i="2" a="1"/>
  <c r="BC38" i="2" s="1"/>
  <c r="BC18" i="2" a="1"/>
  <c r="BC18" i="2" s="1"/>
  <c r="GT21" i="2" a="1"/>
  <c r="GT21" i="2" s="1"/>
  <c r="GT15" i="2" a="1"/>
  <c r="GT15" i="2" s="1"/>
  <c r="CS185" i="2" a="1"/>
  <c r="CS185" i="2" s="1"/>
  <c r="CS56" i="2" a="1"/>
  <c r="CS56" i="2" s="1"/>
  <c r="DN6" i="2" a="1"/>
  <c r="DN6" i="2" s="1"/>
  <c r="DO6" i="2" s="1"/>
  <c r="CS24" i="2" a="1"/>
  <c r="CS24" i="2" s="1"/>
  <c r="CS72" i="2" a="1"/>
  <c r="CS72" i="2" s="1"/>
  <c r="HJ202" i="2"/>
  <c r="AX200" i="2"/>
  <c r="FY92" i="2" l="1" a="1"/>
  <c r="FY92" i="2" s="1"/>
  <c r="FY190" i="2" a="1"/>
  <c r="FY190" i="2" s="1"/>
  <c r="FY62" i="2" a="1"/>
  <c r="FY62" i="2" s="1"/>
  <c r="FY174" i="2" a="1"/>
  <c r="FY174" i="2" s="1"/>
  <c r="FY116" i="2" a="1"/>
  <c r="FY116" i="2" s="1"/>
  <c r="FY73" i="2" a="1"/>
  <c r="FY73" i="2" s="1"/>
  <c r="FY109" i="2" a="1"/>
  <c r="FY109" i="2" s="1"/>
  <c r="FY111" i="2" a="1"/>
  <c r="FY111" i="2" s="1"/>
  <c r="FY47" i="2" a="1"/>
  <c r="FY47" i="2" s="1"/>
  <c r="BC7" i="2" a="1"/>
  <c r="BC7" i="2" s="1"/>
  <c r="BC185" i="2" a="1"/>
  <c r="BC185" i="2" s="1"/>
  <c r="BC143" i="2" a="1"/>
  <c r="BC143" i="2" s="1"/>
  <c r="BC32" i="2" a="1"/>
  <c r="BC32" i="2" s="1"/>
  <c r="BC181" i="2" a="1"/>
  <c r="BC181" i="2" s="1"/>
  <c r="BC65" i="2" a="1"/>
  <c r="BC65" i="2" s="1"/>
  <c r="FD137" i="2" a="1"/>
  <c r="FD137" i="2" s="1"/>
  <c r="FR203" i="2"/>
  <c r="FD187" i="2" a="1"/>
  <c r="FD187" i="2" s="1"/>
  <c r="FD194" i="2" a="1"/>
  <c r="FD194" i="2" s="1"/>
  <c r="FD19" i="2" a="1"/>
  <c r="FD19" i="2" s="1"/>
  <c r="FD160" i="2" a="1"/>
  <c r="FD160" i="2" s="1"/>
  <c r="EI34" i="2" a="1"/>
  <c r="EI34" i="2" s="1"/>
  <c r="EI165" i="2" a="1"/>
  <c r="EI165" i="2" s="1"/>
  <c r="EI71" i="2" a="1"/>
  <c r="EI71" i="2" s="1"/>
  <c r="EI57" i="2" a="1"/>
  <c r="EI57" i="2" s="1"/>
  <c r="EY202" i="2"/>
  <c r="DN65" i="2" a="1"/>
  <c r="DN65" i="2" s="1"/>
  <c r="EI36" i="2" a="1"/>
  <c r="EI36" i="2" s="1"/>
  <c r="EI178" i="2" a="1"/>
  <c r="EI178" i="2" s="1"/>
  <c r="EI142" i="2" a="1"/>
  <c r="EI142" i="2" s="1"/>
  <c r="EI109" i="2" a="1"/>
  <c r="EI109" i="2" s="1"/>
  <c r="EI87" i="2" a="1"/>
  <c r="EI87" i="2" s="1"/>
  <c r="DN186" i="2" a="1"/>
  <c r="DN186" i="2" s="1"/>
  <c r="DN56" i="2" a="1"/>
  <c r="DN56" i="2" s="1"/>
  <c r="CS120" i="2" a="1"/>
  <c r="CS120" i="2" s="1"/>
  <c r="CS134" i="2" a="1"/>
  <c r="CS134" i="2" s="1"/>
  <c r="CS114" i="2" a="1"/>
  <c r="CS114" i="2" s="1"/>
  <c r="EI162" i="2" a="1"/>
  <c r="EI162" i="2" s="1"/>
  <c r="EI150" i="2" a="1"/>
  <c r="EI150" i="2" s="1"/>
  <c r="EI145" i="2" a="1"/>
  <c r="EI145" i="2" s="1"/>
  <c r="EI128" i="2" a="1"/>
  <c r="EI128" i="2" s="1"/>
  <c r="EI20" i="2" a="1"/>
  <c r="EI20" i="2" s="1"/>
  <c r="FY66" i="2" a="1"/>
  <c r="FY66" i="2" s="1"/>
  <c r="FY34" i="2" a="1"/>
  <c r="FY34" i="2" s="1"/>
  <c r="FY142" i="2" a="1"/>
  <c r="FY142" i="2" s="1"/>
  <c r="FY149" i="2" a="1"/>
  <c r="FY149" i="2" s="1"/>
  <c r="FY133" i="2" a="1"/>
  <c r="FY133" i="2" s="1"/>
  <c r="FY186" i="2" a="1"/>
  <c r="FY186" i="2" s="1"/>
  <c r="FY167" i="2" a="1"/>
  <c r="FY167" i="2" s="1"/>
  <c r="FY80" i="2" a="1"/>
  <c r="FY80" i="2" s="1"/>
  <c r="FY24" i="2" a="1"/>
  <c r="FY24" i="2" s="1"/>
  <c r="FY140" i="2" a="1"/>
  <c r="FY140" i="2" s="1"/>
  <c r="FY152" i="2" a="1"/>
  <c r="FY152" i="2" s="1"/>
  <c r="FY71" i="2" a="1"/>
  <c r="FY71" i="2" s="1"/>
  <c r="FY30" i="2" a="1"/>
  <c r="FY30" i="2" s="1"/>
  <c r="FY124" i="2" a="1"/>
  <c r="FY124" i="2" s="1"/>
  <c r="FY29" i="2" a="1"/>
  <c r="FY29" i="2" s="1"/>
  <c r="FY121" i="2" a="1"/>
  <c r="FY121" i="2" s="1"/>
  <c r="FY18" i="2" a="1"/>
  <c r="FY18" i="2" s="1"/>
  <c r="FY169" i="2" a="1"/>
  <c r="FY169" i="2" s="1"/>
  <c r="FY35" i="2" a="1"/>
  <c r="FY35" i="2" s="1"/>
  <c r="FD188" i="2" a="1"/>
  <c r="FD188" i="2" s="1"/>
  <c r="FD82" i="2" a="1"/>
  <c r="FD82" i="2" s="1"/>
  <c r="FD44" i="2" a="1"/>
  <c r="FD44" i="2" s="1"/>
  <c r="FD60" i="2" a="1"/>
  <c r="FD60" i="2" s="1"/>
  <c r="EI38" i="2" a="1"/>
  <c r="EI38" i="2" s="1"/>
  <c r="EI29" i="2" a="1"/>
  <c r="EI29" i="2" s="1"/>
  <c r="EI35" i="2" a="1"/>
  <c r="EI35" i="2" s="1"/>
  <c r="EI106" i="2" a="1"/>
  <c r="EI106" i="2" s="1"/>
  <c r="EI139" i="2" a="1"/>
  <c r="EI139" i="2" s="1"/>
  <c r="EI153" i="2" a="1"/>
  <c r="EI153" i="2" s="1"/>
  <c r="EI67" i="2" a="1"/>
  <c r="EI67" i="2" s="1"/>
  <c r="EI166" i="2" a="1"/>
  <c r="EI166" i="2" s="1"/>
  <c r="EI170" i="2" a="1"/>
  <c r="EI170" i="2" s="1"/>
  <c r="EI198" i="2" a="1"/>
  <c r="EI198" i="2" s="1"/>
  <c r="EI16" i="2" a="1"/>
  <c r="EI16" i="2" s="1"/>
  <c r="EI195" i="2" a="1"/>
  <c r="EI195" i="2" s="1"/>
  <c r="EI37" i="2" a="1"/>
  <c r="EI37" i="2" s="1"/>
  <c r="EI113" i="2" a="1"/>
  <c r="EI113" i="2" s="1"/>
  <c r="DN168" i="2" a="1"/>
  <c r="DN168" i="2" s="1"/>
  <c r="DN80" i="2" a="1"/>
  <c r="DN80" i="2" s="1"/>
  <c r="DN150" i="2" a="1"/>
  <c r="DN150" i="2" s="1"/>
  <c r="DN66" i="2" a="1"/>
  <c r="DN66" i="2" s="1"/>
  <c r="DN190" i="2" a="1"/>
  <c r="DN190" i="2" s="1"/>
  <c r="DN41" i="2" a="1"/>
  <c r="DN41" i="2" s="1"/>
  <c r="AH163" i="2" a="1"/>
  <c r="AH163" i="2" s="1"/>
  <c r="AH62" i="2" a="1"/>
  <c r="AH62" i="2" s="1"/>
  <c r="DN133" i="2" a="1"/>
  <c r="DN133" i="2" s="1"/>
  <c r="GT12" i="2" a="1"/>
  <c r="GT12" i="2" s="1"/>
  <c r="DN192" i="2" a="1"/>
  <c r="DN192" i="2" s="1"/>
  <c r="DN43" i="2" a="1"/>
  <c r="DN43" i="2" s="1"/>
  <c r="FY164" i="2" a="1"/>
  <c r="FY164" i="2" s="1"/>
  <c r="FY99" i="2" a="1"/>
  <c r="FY99" i="2" s="1"/>
  <c r="FY120" i="2" a="1"/>
  <c r="FY120" i="2" s="1"/>
  <c r="FY79" i="2" a="1"/>
  <c r="FY79" i="2" s="1"/>
  <c r="DN187" i="2" a="1"/>
  <c r="DN187" i="2" s="1"/>
  <c r="GT174" i="2" a="1"/>
  <c r="GT174" i="2" s="1"/>
  <c r="DN45" i="2" a="1"/>
  <c r="DN45" i="2" s="1"/>
  <c r="DN16" i="2" a="1"/>
  <c r="DN16" i="2" s="1"/>
  <c r="GT190" i="2" a="1"/>
  <c r="GT190" i="2" s="1"/>
  <c r="FD107" i="2" a="1"/>
  <c r="FD107" i="2" s="1"/>
  <c r="FY42" i="2" a="1"/>
  <c r="FY42" i="2" s="1"/>
  <c r="DN170" i="2" a="1"/>
  <c r="DN170" i="2" s="1"/>
  <c r="DN155" i="2" a="1"/>
  <c r="DN155" i="2" s="1"/>
  <c r="GT133" i="2" a="1"/>
  <c r="GT133" i="2" s="1"/>
  <c r="FY72" i="2" a="1"/>
  <c r="FY72" i="2" s="1"/>
  <c r="FY173" i="2" a="1"/>
  <c r="FY173" i="2" s="1"/>
  <c r="FY165" i="2" a="1"/>
  <c r="FY165" i="2" s="1"/>
  <c r="DN55" i="2" a="1"/>
  <c r="DN55" i="2" s="1"/>
  <c r="DN177" i="2" a="1"/>
  <c r="DN177" i="2" s="1"/>
  <c r="BX107" i="2" a="1"/>
  <c r="BX107" i="2" s="1"/>
  <c r="DN115" i="2" a="1"/>
  <c r="DN115" i="2" s="1"/>
  <c r="DN167" i="2" a="1"/>
  <c r="DN167" i="2" s="1"/>
  <c r="DN153" i="2" a="1"/>
  <c r="DN153" i="2" s="1"/>
  <c r="DN162" i="2" a="1"/>
  <c r="DN162" i="2" s="1"/>
  <c r="GT191" i="2" a="1"/>
  <c r="GT191" i="2" s="1"/>
  <c r="FD167" i="2" a="1"/>
  <c r="FD167" i="2" s="1"/>
  <c r="FY196" i="2" a="1"/>
  <c r="FY196" i="2" s="1"/>
  <c r="DN114" i="2" a="1"/>
  <c r="DN114" i="2" s="1"/>
  <c r="DN129" i="2" a="1"/>
  <c r="DN129" i="2" s="1"/>
  <c r="GT121" i="2" a="1"/>
  <c r="GT121" i="2" s="1"/>
  <c r="AH92" i="2" a="1"/>
  <c r="AH92" i="2" s="1"/>
  <c r="FY159" i="2" a="1"/>
  <c r="FY159" i="2" s="1"/>
  <c r="FY146" i="2" a="1"/>
  <c r="FY146" i="2" s="1"/>
  <c r="DN63" i="2" a="1"/>
  <c r="DN63" i="2" s="1"/>
  <c r="AH199" i="2" a="1"/>
  <c r="AH199" i="2" s="1"/>
  <c r="DN49" i="2" a="1"/>
  <c r="DN49" i="2" s="1"/>
  <c r="GT38" i="2" a="1"/>
  <c r="GT38" i="2" s="1"/>
  <c r="FD131" i="2" a="1"/>
  <c r="FD131" i="2" s="1"/>
  <c r="FY82" i="2" a="1"/>
  <c r="FY82" i="2" s="1"/>
  <c r="DN103" i="2" a="1"/>
  <c r="DN103" i="2" s="1"/>
  <c r="DN50" i="2" a="1"/>
  <c r="DN50" i="2" s="1"/>
  <c r="GT122" i="2" a="1"/>
  <c r="GT122" i="2" s="1"/>
  <c r="FY178" i="2" a="1"/>
  <c r="FY178" i="2" s="1"/>
  <c r="FY143" i="2" a="1"/>
  <c r="FY143" i="2" s="1"/>
  <c r="FY32" i="2" a="1"/>
  <c r="FY32" i="2" s="1"/>
  <c r="FS203" i="2"/>
  <c r="DN132" i="2" a="1"/>
  <c r="DN132" i="2" s="1"/>
  <c r="DN164" i="2" a="1"/>
  <c r="DN164" i="2" s="1"/>
  <c r="GT126" i="2" a="1"/>
  <c r="GT126" i="2" s="1"/>
  <c r="FD43" i="2" a="1"/>
  <c r="FD43" i="2" s="1"/>
  <c r="FY182" i="2" a="1"/>
  <c r="FY182" i="2" s="1"/>
  <c r="AH151" i="2" a="1"/>
  <c r="AH151" i="2" s="1"/>
  <c r="DN113" i="2" a="1"/>
  <c r="DN113" i="2" s="1"/>
  <c r="GT51" i="2" a="1"/>
  <c r="GT51" i="2" s="1"/>
  <c r="FD59" i="2" a="1"/>
  <c r="FD59" i="2" s="1"/>
  <c r="FY55" i="2" a="1"/>
  <c r="FY55" i="2" s="1"/>
  <c r="FY191" i="2" a="1"/>
  <c r="FY191" i="2" s="1"/>
  <c r="FY22" i="2" a="1"/>
  <c r="FY22" i="2" s="1"/>
  <c r="DN188" i="2" a="1"/>
  <c r="DN188" i="2" s="1"/>
  <c r="DN86" i="2" a="1"/>
  <c r="DN86" i="2" s="1"/>
  <c r="AH19" i="2" a="1"/>
  <c r="AH19" i="2" s="1"/>
  <c r="GT33" i="2" a="1"/>
  <c r="GT33" i="2" s="1"/>
  <c r="DN135" i="2" a="1"/>
  <c r="DN135" i="2" s="1"/>
  <c r="GT74" i="2" a="1"/>
  <c r="GT74" i="2" s="1"/>
  <c r="FD64" i="2" a="1"/>
  <c r="FD64" i="2" s="1"/>
  <c r="FY115" i="2" a="1"/>
  <c r="FY115" i="2" s="1"/>
  <c r="DN25" i="2" a="1"/>
  <c r="DN25" i="2" s="1"/>
  <c r="GT68" i="2" a="1"/>
  <c r="GT68" i="2" s="1"/>
  <c r="FD144" i="2" a="1"/>
  <c r="FD144" i="2" s="1"/>
  <c r="FY126" i="2" a="1"/>
  <c r="FY126" i="2" s="1"/>
  <c r="FY110" i="2" a="1"/>
  <c r="FY110" i="2" s="1"/>
  <c r="FY90" i="2" a="1"/>
  <c r="FY90" i="2" s="1"/>
  <c r="DN70" i="2" a="1"/>
  <c r="DN70" i="2" s="1"/>
  <c r="DN137" i="2" a="1"/>
  <c r="DN137" i="2" s="1"/>
  <c r="DN31" i="2" a="1"/>
  <c r="DN31" i="2" s="1"/>
  <c r="DN124" i="2" a="1"/>
  <c r="DN124" i="2" s="1"/>
  <c r="DN30" i="2" a="1"/>
  <c r="DN30" i="2" s="1"/>
  <c r="DN46" i="2" a="1"/>
  <c r="DN46" i="2" s="1"/>
  <c r="DN38" i="2" a="1"/>
  <c r="DN38" i="2" s="1"/>
  <c r="GT178" i="2" a="1"/>
  <c r="GT178" i="2" s="1"/>
  <c r="FD189" i="2" a="1"/>
  <c r="FD189" i="2" s="1"/>
  <c r="FY86" i="2" a="1"/>
  <c r="FY86" i="2" s="1"/>
  <c r="DN123" i="2" a="1"/>
  <c r="DN123" i="2" s="1"/>
  <c r="DN184" i="2" a="1"/>
  <c r="DN184" i="2" s="1"/>
  <c r="GT181" i="2" a="1"/>
  <c r="GT181" i="2" s="1"/>
  <c r="FD21" i="2" a="1"/>
  <c r="FD21" i="2" s="1"/>
  <c r="FY188" i="2" a="1"/>
  <c r="FY188" i="2" s="1"/>
  <c r="FY153" i="2" a="1"/>
  <c r="FY153" i="2" s="1"/>
  <c r="FY57" i="2" a="1"/>
  <c r="FY57" i="2" s="1"/>
  <c r="DN110" i="2" a="1"/>
  <c r="DN110" i="2" s="1"/>
  <c r="AH166" i="2" a="1"/>
  <c r="AH166" i="2" s="1"/>
  <c r="GT152" i="2" a="1"/>
  <c r="GT152" i="2" s="1"/>
  <c r="AH90" i="2" a="1"/>
  <c r="AH90" i="2" s="1"/>
  <c r="GT189" i="2" a="1"/>
  <c r="GT189" i="2" s="1"/>
  <c r="FD14" i="2" a="1"/>
  <c r="FD14" i="2" s="1"/>
  <c r="FY58" i="2" a="1"/>
  <c r="FY58" i="2" s="1"/>
  <c r="DN152" i="2" a="1"/>
  <c r="DN152" i="2" s="1"/>
  <c r="GT184" i="2" a="1"/>
  <c r="GT184" i="2" s="1"/>
  <c r="FY172" i="2" a="1"/>
  <c r="FY172" i="2" s="1"/>
  <c r="FY28" i="2" a="1"/>
  <c r="FY28" i="2" s="1"/>
  <c r="FY102" i="2" a="1"/>
  <c r="FY102" i="2" s="1"/>
  <c r="FY54" i="2" a="1"/>
  <c r="FY54" i="2" s="1"/>
  <c r="BP203" i="2"/>
  <c r="HH203" i="2"/>
  <c r="GT138" i="2" a="1"/>
  <c r="GT138" i="2" s="1"/>
  <c r="GT147" i="2" a="1"/>
  <c r="GT147" i="2" s="1"/>
  <c r="GT107" i="2" a="1"/>
  <c r="GT107" i="2" s="1"/>
  <c r="DN176" i="2" a="1"/>
  <c r="DN176" i="2" s="1"/>
  <c r="GT198" i="2" a="1"/>
  <c r="GT198" i="2" s="1"/>
  <c r="FD48" i="2" a="1"/>
  <c r="FD48" i="2" s="1"/>
  <c r="DN29" i="2" a="1"/>
  <c r="DN29" i="2" s="1"/>
  <c r="GT115" i="2" a="1"/>
  <c r="GT115" i="2" s="1"/>
  <c r="FY104" i="2" a="1"/>
  <c r="FY104" i="2" s="1"/>
  <c r="FY78" i="2" a="1"/>
  <c r="FY78" i="2" s="1"/>
  <c r="FY69" i="2" a="1"/>
  <c r="FY69" i="2" s="1"/>
  <c r="FY50" i="2" a="1"/>
  <c r="FY5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EY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133" i="2" l="1"/>
  <c r="CD182" i="2"/>
  <c r="CD91" i="2"/>
  <c r="CD97" i="2"/>
  <c r="CD13" i="2"/>
  <c r="CD63" i="2"/>
  <c r="CD77" i="2"/>
  <c r="CD60" i="2"/>
  <c r="CD65" i="2"/>
  <c r="CD177" i="2"/>
  <c r="CD36" i="2"/>
  <c r="CD28" i="2"/>
  <c r="CD61" i="2"/>
  <c r="CD126" i="2"/>
  <c r="CD49" i="2"/>
  <c r="CD124" i="2"/>
  <c r="CD121" i="2"/>
  <c r="CD31" i="2"/>
  <c r="CD21" i="2"/>
  <c r="CD129" i="2"/>
  <c r="CD80" i="2"/>
  <c r="CD46" i="2"/>
  <c r="CD167" i="2"/>
  <c r="CD117" i="2"/>
  <c r="CD33" i="2"/>
  <c r="CD143" i="2"/>
  <c r="CD197" i="2"/>
  <c r="CD154" i="2"/>
  <c r="CD29" i="2"/>
  <c r="CD186" i="2"/>
  <c r="CD166" i="2"/>
  <c r="CD48" i="2"/>
  <c r="CD107" i="2"/>
  <c r="CD57" i="2"/>
  <c r="CD141" i="2"/>
  <c r="CD79" i="2"/>
  <c r="CD104" i="2"/>
  <c r="CD10" i="2"/>
  <c r="CD146" i="2"/>
  <c r="CD51" i="2"/>
  <c r="CD6" i="2"/>
  <c r="CD42" i="2"/>
  <c r="CD82" i="2"/>
  <c r="CD180" i="2"/>
  <c r="CD99" i="2"/>
  <c r="CD147" i="2"/>
  <c r="CD52" i="2"/>
  <c r="CD190" i="2"/>
  <c r="CD185" i="2"/>
  <c r="CD90" i="2"/>
  <c r="CD47" i="2"/>
  <c r="CD3" i="2"/>
  <c r="C9" i="4" s="1"/>
  <c r="E9" i="4" s="1"/>
  <c r="F9" i="4" s="1"/>
  <c r="G9" i="4" s="1"/>
  <c r="L9" i="4" s="1"/>
  <c r="CD193" i="2"/>
  <c r="CD115" i="2"/>
  <c r="CD67" i="2"/>
  <c r="CD84" i="2"/>
  <c r="CD32" i="2"/>
  <c r="CD181" i="2"/>
  <c r="CD170" i="2"/>
  <c r="CD120" i="2"/>
  <c r="CD74" i="2"/>
  <c r="CD189" i="2"/>
  <c r="CD152" i="2"/>
  <c r="CD164" i="2"/>
  <c r="CD158" i="2"/>
  <c r="CD162" i="2"/>
  <c r="CD83" i="2"/>
  <c r="CD53" i="2"/>
  <c r="CD188" i="2"/>
  <c r="CD184" i="2"/>
  <c r="CD22" i="2"/>
  <c r="CD116" i="2"/>
  <c r="CD20" i="2"/>
  <c r="CD191" i="2"/>
  <c r="CD108" i="2"/>
  <c r="CD8" i="2"/>
  <c r="CD12" i="2"/>
  <c r="CD174" i="2"/>
  <c r="CD102" i="2"/>
  <c r="CD114" i="2"/>
  <c r="CD72" i="2"/>
  <c r="CD88" i="2"/>
  <c r="CD134" i="2"/>
  <c r="CD23" i="2"/>
  <c r="CD151" i="2"/>
  <c r="CD144" i="2"/>
  <c r="CD87" i="2"/>
  <c r="CD163" i="2"/>
  <c r="CD93" i="2"/>
  <c r="CD7" i="2"/>
  <c r="CD71" i="2"/>
  <c r="CD123" i="2"/>
  <c r="CD73" i="2"/>
  <c r="CD54" i="2"/>
  <c r="CD118" i="2"/>
  <c r="CD201" i="2"/>
  <c r="CD68" i="2"/>
  <c r="CD198" i="2"/>
  <c r="CD24" i="2"/>
  <c r="CD30" i="2"/>
  <c r="CD56" i="2"/>
  <c r="CD112" i="2"/>
  <c r="CD109" i="2"/>
  <c r="CD111" i="2"/>
  <c r="CD81" i="2"/>
  <c r="CD187" i="2"/>
  <c r="CD78" i="2"/>
  <c r="CD75" i="2"/>
  <c r="CD130" i="2"/>
  <c r="CD17" i="2"/>
  <c r="CD66" i="2"/>
  <c r="CD62" i="2"/>
  <c r="CD128" i="2"/>
  <c r="CD148" i="2"/>
  <c r="CD179" i="2"/>
  <c r="CD138" i="2"/>
  <c r="CD58" i="2"/>
  <c r="CD153" i="2"/>
  <c r="CD173" i="2"/>
  <c r="CD122" i="2"/>
  <c r="CD140" i="2"/>
  <c r="CD44" i="2"/>
  <c r="CD156" i="2"/>
  <c r="CD50" i="2"/>
  <c r="CD139" i="2"/>
  <c r="CD168" i="2"/>
  <c r="CD96" i="2"/>
  <c r="CD192" i="2"/>
  <c r="CD69" i="2"/>
  <c r="CD14" i="2"/>
  <c r="CD161" i="2"/>
  <c r="CD150" i="2"/>
  <c r="CD64" i="2"/>
  <c r="CD85" i="2"/>
  <c r="CD157" i="2"/>
  <c r="CD70" i="2"/>
  <c r="CD98" i="2"/>
  <c r="CD202" i="2"/>
  <c r="CD145" i="2"/>
  <c r="CD45" i="2"/>
  <c r="CD18" i="2"/>
  <c r="CD39" i="2"/>
  <c r="CD171" i="2"/>
  <c r="CD41" i="2"/>
  <c r="CD106" i="2"/>
  <c r="CD200" i="2"/>
  <c r="CD100" i="2"/>
  <c r="CD183" i="2"/>
  <c r="CD175" i="2"/>
  <c r="CD76" i="2"/>
  <c r="CD155" i="2"/>
  <c r="CD35" i="2"/>
  <c r="CD169" i="2"/>
  <c r="CD142" i="2"/>
  <c r="CD101" i="2"/>
  <c r="CD19" i="2"/>
  <c r="CD38" i="2"/>
  <c r="CD172" i="2"/>
  <c r="CD89" i="2"/>
  <c r="CD149" i="2"/>
  <c r="CD159" i="2"/>
  <c r="CD59" i="2"/>
  <c r="CD127" i="2"/>
  <c r="CD40" i="2"/>
  <c r="CD165" i="2"/>
  <c r="CD15" i="2"/>
  <c r="CD55" i="2"/>
  <c r="CD37" i="2"/>
  <c r="CD43" i="2"/>
  <c r="CD196" i="2"/>
  <c r="CD199" i="2"/>
  <c r="CD34" i="2"/>
  <c r="CD16" i="2"/>
  <c r="CD103" i="2"/>
  <c r="CD136" i="2"/>
  <c r="CD195" i="2"/>
  <c r="CD25" i="2"/>
  <c r="CD135" i="2"/>
  <c r="CD94" i="2"/>
  <c r="CD194" i="2"/>
  <c r="CD95" i="2"/>
  <c r="CD160" i="2"/>
  <c r="CD132" i="2"/>
  <c r="CD178" i="2"/>
  <c r="CD92" i="2"/>
  <c r="CD119" i="2"/>
  <c r="CD9" i="2"/>
  <c r="CD125" i="2"/>
  <c r="CD131" i="2"/>
  <c r="CD4" i="2"/>
  <c r="CD26" i="2"/>
  <c r="CD11" i="2"/>
  <c r="CD137" i="2"/>
  <c r="CD203" i="2"/>
  <c r="CD27" i="2"/>
  <c r="CD110" i="2"/>
  <c r="CD86" i="2"/>
  <c r="CD5" i="2"/>
  <c r="CD176" i="2"/>
  <c r="CD105" i="2"/>
  <c r="CD113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J141" i="2" l="1"/>
  <c r="FJ65" i="2"/>
  <c r="FJ156" i="2"/>
  <c r="FJ166" i="2"/>
  <c r="FJ137" i="2"/>
  <c r="FJ49" i="2"/>
  <c r="FJ56" i="2"/>
  <c r="FJ191" i="2"/>
  <c r="FJ183" i="2"/>
  <c r="FJ45" i="2"/>
  <c r="FJ85" i="2"/>
  <c r="FJ152" i="2"/>
  <c r="FJ159" i="2"/>
  <c r="FJ145" i="2"/>
  <c r="FJ163" i="2"/>
  <c r="FJ197" i="2"/>
  <c r="FJ114" i="2"/>
  <c r="FJ35" i="2"/>
  <c r="FJ104" i="2"/>
  <c r="FJ128" i="2"/>
  <c r="FJ142" i="2"/>
  <c r="FJ52" i="2"/>
  <c r="FJ64" i="2"/>
  <c r="FJ95" i="2"/>
  <c r="FJ11" i="2"/>
  <c r="FJ134" i="2"/>
  <c r="FJ127" i="2"/>
  <c r="FJ25" i="2"/>
  <c r="FJ8" i="2"/>
  <c r="FJ10" i="2"/>
  <c r="FJ96" i="2"/>
  <c r="FJ27" i="2"/>
  <c r="FJ6" i="2"/>
  <c r="FJ99" i="2"/>
  <c r="FJ112" i="2"/>
  <c r="FJ59" i="2"/>
  <c r="FJ55" i="2"/>
  <c r="FJ58" i="2"/>
  <c r="FJ164" i="2"/>
  <c r="FJ18" i="2"/>
  <c r="FJ187" i="2"/>
  <c r="FJ168" i="2"/>
  <c r="FJ138" i="2"/>
  <c r="FJ198" i="2"/>
  <c r="FJ193" i="2"/>
  <c r="FJ113" i="2"/>
  <c r="FJ143" i="2"/>
  <c r="FJ176" i="2"/>
  <c r="FJ188" i="2"/>
  <c r="FJ123" i="2"/>
  <c r="FJ115" i="2"/>
  <c r="FJ15" i="2"/>
  <c r="FJ41" i="2"/>
  <c r="FJ147" i="2"/>
  <c r="FJ97" i="2"/>
  <c r="FJ36" i="2"/>
  <c r="FJ5" i="2"/>
  <c r="FJ125" i="2"/>
  <c r="FJ129" i="2"/>
  <c r="FJ20" i="2"/>
  <c r="FJ60" i="2"/>
  <c r="FJ150" i="2"/>
  <c r="FJ172" i="2"/>
  <c r="FJ120" i="2"/>
  <c r="FJ87" i="2"/>
  <c r="FJ121" i="2"/>
  <c r="FJ69" i="2"/>
  <c r="FJ90" i="2"/>
  <c r="FJ162" i="2"/>
  <c r="FJ51" i="2"/>
  <c r="FJ200" i="2"/>
  <c r="FJ47" i="2"/>
  <c r="FJ124" i="2"/>
  <c r="FJ101" i="2"/>
  <c r="FJ66" i="2"/>
  <c r="FJ133" i="2"/>
  <c r="FJ160" i="2"/>
  <c r="FJ151" i="2"/>
  <c r="FJ157" i="2"/>
  <c r="FJ148" i="2"/>
  <c r="FJ92" i="2"/>
  <c r="FJ201" i="2"/>
  <c r="FJ131" i="2"/>
  <c r="FJ177" i="2"/>
  <c r="FJ149" i="2"/>
  <c r="FJ196" i="2"/>
  <c r="FJ173" i="2"/>
  <c r="FJ29" i="2"/>
  <c r="FJ105" i="2"/>
  <c r="FJ155" i="2"/>
  <c r="FJ102" i="2"/>
  <c r="FJ132" i="2"/>
  <c r="FJ84" i="2"/>
  <c r="FJ4" i="2"/>
  <c r="FJ178" i="2"/>
  <c r="FJ110" i="2"/>
  <c r="FJ81" i="2"/>
  <c r="FJ165" i="2"/>
  <c r="FJ144" i="2"/>
  <c r="FJ88" i="2"/>
  <c r="FJ203" i="2"/>
  <c r="FJ76" i="2"/>
  <c r="FJ70" i="2"/>
  <c r="FJ91" i="2"/>
  <c r="FJ98" i="2"/>
  <c r="FJ195" i="2"/>
  <c r="FJ117" i="2"/>
  <c r="FJ77" i="2"/>
  <c r="FJ13" i="2"/>
  <c r="FJ146" i="2"/>
  <c r="FJ32" i="2"/>
  <c r="FJ109" i="2"/>
  <c r="FJ153" i="2"/>
  <c r="FJ86" i="2"/>
  <c r="FJ71" i="2"/>
  <c r="FJ107" i="2"/>
  <c r="FJ111" i="2"/>
  <c r="FJ79" i="2"/>
  <c r="FJ185" i="2"/>
  <c r="FJ40" i="2"/>
  <c r="FJ202" i="2"/>
  <c r="FJ189" i="2"/>
  <c r="FJ186" i="2"/>
  <c r="FJ9" i="2"/>
  <c r="FJ37" i="2"/>
  <c r="FJ22" i="2"/>
  <c r="FJ39" i="2"/>
  <c r="FJ171" i="2"/>
  <c r="FJ46" i="2"/>
  <c r="FJ24" i="2"/>
  <c r="FJ170" i="2"/>
  <c r="FJ82" i="2"/>
  <c r="FJ50" i="2"/>
  <c r="FJ179" i="2"/>
  <c r="FJ126" i="2"/>
  <c r="FJ182" i="2"/>
  <c r="FJ119" i="2"/>
  <c r="FJ106" i="2"/>
  <c r="FJ174" i="2"/>
  <c r="FJ30" i="2"/>
  <c r="FJ38" i="2"/>
  <c r="FJ68" i="2"/>
  <c r="FJ181" i="2"/>
  <c r="FJ33" i="2"/>
  <c r="FJ93" i="2"/>
  <c r="FJ61" i="2"/>
  <c r="FJ130" i="2"/>
  <c r="FJ62" i="2"/>
  <c r="FJ3" i="2"/>
  <c r="C13" i="4" s="1"/>
  <c r="E13" i="4" s="1"/>
  <c r="F13" i="4" s="1"/>
  <c r="G13" i="4" s="1"/>
  <c r="L13" i="4" s="1"/>
  <c r="FJ48" i="2"/>
  <c r="FJ17" i="2"/>
  <c r="FJ7" i="2"/>
  <c r="FJ53" i="2"/>
  <c r="FJ118" i="2"/>
  <c r="FJ122" i="2"/>
  <c r="FJ80" i="2"/>
  <c r="FJ23" i="2"/>
  <c r="FJ63" i="2"/>
  <c r="FJ136" i="2"/>
  <c r="FJ167" i="2"/>
  <c r="FJ75" i="2"/>
  <c r="FJ154" i="2"/>
  <c r="FJ194" i="2"/>
  <c r="FJ57" i="2"/>
  <c r="FJ67" i="2"/>
  <c r="FJ44" i="2"/>
  <c r="FJ169" i="2"/>
  <c r="FJ16" i="2"/>
  <c r="FJ83" i="2"/>
  <c r="FJ26" i="2"/>
  <c r="FJ14" i="2"/>
  <c r="FJ19" i="2"/>
  <c r="FJ199" i="2"/>
  <c r="FJ139" i="2"/>
  <c r="FJ100" i="2"/>
  <c r="FJ190" i="2"/>
  <c r="FJ43" i="2"/>
  <c r="FJ103" i="2"/>
  <c r="FJ89" i="2"/>
  <c r="FJ184" i="2"/>
  <c r="FJ54" i="2"/>
  <c r="FJ180" i="2"/>
  <c r="FJ72" i="2"/>
  <c r="FJ175" i="2"/>
  <c r="FJ192" i="2"/>
  <c r="FJ31" i="2"/>
  <c r="FJ94" i="2"/>
  <c r="FJ108" i="2"/>
  <c r="FJ78" i="2"/>
  <c r="FJ116" i="2"/>
  <c r="FJ34" i="2"/>
  <c r="FJ12" i="2"/>
  <c r="FJ28" i="2"/>
  <c r="FJ135" i="2"/>
  <c r="FJ161" i="2"/>
  <c r="FJ158" i="2"/>
  <c r="FJ74" i="2"/>
  <c r="FJ42" i="2"/>
  <c r="FJ140" i="2"/>
  <c r="FJ73" i="2"/>
  <c r="FJ21" i="2"/>
  <c r="DT121" i="2"/>
  <c r="DT186" i="2"/>
  <c r="DT98" i="2"/>
  <c r="DT74" i="2"/>
  <c r="DT88" i="2"/>
  <c r="DT34" i="2"/>
  <c r="DT54" i="2"/>
  <c r="DT200" i="2"/>
  <c r="DT27" i="2"/>
  <c r="DT149" i="2"/>
  <c r="DT21" i="2"/>
  <c r="DT194" i="2"/>
  <c r="DT175" i="2"/>
  <c r="DT81" i="2"/>
  <c r="DT162" i="2"/>
  <c r="DT187" i="2"/>
  <c r="DT167" i="2"/>
  <c r="DT63" i="2"/>
  <c r="DT31" i="2"/>
  <c r="DT46" i="2"/>
  <c r="DT163" i="2"/>
  <c r="DT129" i="2"/>
  <c r="DT128" i="2"/>
  <c r="DT202" i="2"/>
  <c r="DT115" i="2"/>
  <c r="DT165" i="2"/>
  <c r="DT170" i="2"/>
  <c r="DT101" i="2"/>
  <c r="DT192" i="2"/>
  <c r="DT160" i="2"/>
  <c r="DT12" i="2"/>
  <c r="DT3" i="2"/>
  <c r="C11" i="4" s="1"/>
  <c r="E11" i="4" s="1"/>
  <c r="F11" i="4" s="1"/>
  <c r="G11" i="4" s="1"/>
  <c r="L11" i="4" s="1"/>
  <c r="DT106" i="2"/>
  <c r="DT151" i="2"/>
  <c r="DT156" i="2"/>
  <c r="DT10" i="2"/>
  <c r="DT166" i="2"/>
  <c r="DT177" i="2"/>
  <c r="DT109" i="2"/>
  <c r="DT112" i="2"/>
  <c r="DT126" i="2"/>
  <c r="DT72" i="2"/>
  <c r="DT118" i="2"/>
  <c r="DT100" i="2"/>
  <c r="DT184" i="2"/>
  <c r="DT58" i="2"/>
  <c r="DT50" i="2"/>
  <c r="DT93" i="2"/>
  <c r="DT135" i="2"/>
  <c r="DT69" i="2"/>
  <c r="DT29" i="2"/>
  <c r="DT164" i="2"/>
  <c r="DT102" i="2"/>
  <c r="DT140" i="2"/>
  <c r="DT26" i="2"/>
  <c r="DT59" i="2"/>
  <c r="DT147" i="2"/>
  <c r="DT176" i="2"/>
  <c r="DT136" i="2"/>
  <c r="DT15" i="2"/>
  <c r="DT180" i="2"/>
  <c r="DT143" i="2"/>
  <c r="DT119" i="2"/>
  <c r="DT168" i="2"/>
  <c r="DT61" i="2"/>
  <c r="DT153" i="2"/>
  <c r="DT197" i="2"/>
  <c r="DT37" i="2"/>
  <c r="DT33" i="2"/>
  <c r="DT108" i="2"/>
  <c r="DT154" i="2"/>
  <c r="DT148" i="2"/>
  <c r="DT181" i="2"/>
  <c r="DT127" i="2"/>
  <c r="DT107" i="2"/>
  <c r="DT174" i="2"/>
  <c r="DT203" i="2"/>
  <c r="DT145" i="2"/>
  <c r="DT110" i="2"/>
  <c r="DT18" i="2"/>
  <c r="DT91" i="2"/>
  <c r="DT173" i="2"/>
  <c r="DT198" i="2"/>
  <c r="DT56" i="2"/>
  <c r="DT39" i="2"/>
  <c r="DT48" i="2"/>
  <c r="DT131" i="2"/>
  <c r="DT152" i="2"/>
  <c r="DT20" i="2"/>
  <c r="DT130" i="2"/>
  <c r="DT185" i="2"/>
  <c r="DT17" i="2"/>
  <c r="DT172" i="2"/>
  <c r="DT89" i="2"/>
  <c r="DT9" i="2"/>
  <c r="DT25" i="2"/>
  <c r="DT57" i="2"/>
  <c r="DT65" i="2"/>
  <c r="DT183" i="2"/>
  <c r="DT150" i="2"/>
  <c r="DT49" i="2"/>
  <c r="DT105" i="2"/>
  <c r="DT95" i="2"/>
  <c r="DT82" i="2"/>
  <c r="DT67" i="2"/>
  <c r="DT189" i="2"/>
  <c r="DT40" i="2"/>
  <c r="DT51" i="2"/>
  <c r="DT83" i="2"/>
  <c r="DT45" i="2"/>
  <c r="DT78" i="2"/>
  <c r="DT86" i="2"/>
  <c r="DT114" i="2"/>
  <c r="DT70" i="2"/>
  <c r="DT76" i="2"/>
  <c r="DT43" i="2"/>
  <c r="DT122" i="2"/>
  <c r="DT28" i="2"/>
  <c r="DT196" i="2"/>
  <c r="DT193" i="2"/>
  <c r="DT64" i="2"/>
  <c r="DT96" i="2"/>
  <c r="DT55" i="2"/>
  <c r="DT137" i="2"/>
  <c r="DT199" i="2"/>
  <c r="DT8" i="2"/>
  <c r="DT16" i="2"/>
  <c r="DT38" i="2"/>
  <c r="DT5" i="2"/>
  <c r="DT159" i="2"/>
  <c r="DT97" i="2"/>
  <c r="DT191" i="2"/>
  <c r="DT179" i="2"/>
  <c r="DT171" i="2"/>
  <c r="DT73" i="2"/>
  <c r="DT47" i="2"/>
  <c r="DT32" i="2"/>
  <c r="DT133" i="2"/>
  <c r="DT42" i="2"/>
  <c r="DT139" i="2"/>
  <c r="DT13" i="2"/>
  <c r="DT14" i="2"/>
  <c r="DT79" i="2"/>
  <c r="DT94" i="2"/>
  <c r="DT19" i="2"/>
  <c r="DT22" i="2"/>
  <c r="DT41" i="2"/>
  <c r="DT75" i="2"/>
  <c r="DT132" i="2"/>
  <c r="DT92" i="2"/>
  <c r="DT124" i="2"/>
  <c r="DT80" i="2"/>
  <c r="DT188" i="2"/>
  <c r="DT87" i="2"/>
  <c r="DT142" i="2"/>
  <c r="DT77" i="2"/>
  <c r="DT60" i="2"/>
  <c r="DT169" i="2"/>
  <c r="DT123" i="2"/>
  <c r="DT36" i="2"/>
  <c r="DT113" i="2"/>
  <c r="DT120" i="2"/>
  <c r="DT141" i="2"/>
  <c r="DT11" i="2"/>
  <c r="DT146" i="2"/>
  <c r="DT24" i="2"/>
  <c r="DT125" i="2"/>
  <c r="DT30" i="2"/>
  <c r="DT134" i="2"/>
  <c r="DT104" i="2"/>
  <c r="DT178" i="2"/>
  <c r="DT62" i="2"/>
  <c r="DT4" i="2"/>
  <c r="DT23" i="2"/>
  <c r="DT68" i="2"/>
  <c r="DT201" i="2"/>
  <c r="DT138" i="2"/>
  <c r="DT90" i="2"/>
  <c r="DT195" i="2"/>
  <c r="DT85" i="2"/>
  <c r="DT53" i="2"/>
  <c r="DT116" i="2"/>
  <c r="DT66" i="2"/>
  <c r="DT144" i="2"/>
  <c r="DT158" i="2"/>
  <c r="DT7" i="2"/>
  <c r="DT190" i="2"/>
  <c r="DT44" i="2"/>
  <c r="DT155" i="2"/>
  <c r="DT111" i="2"/>
  <c r="DT71" i="2"/>
  <c r="DT35" i="2"/>
  <c r="DT103" i="2"/>
  <c r="DT99" i="2"/>
  <c r="DT182" i="2"/>
  <c r="DT117" i="2"/>
  <c r="DT52" i="2"/>
  <c r="DT6" i="2"/>
  <c r="DT84" i="2"/>
  <c r="DT161" i="2"/>
  <c r="DT157" i="2"/>
  <c r="AN12" i="2"/>
  <c r="AN187" i="2"/>
  <c r="AN193" i="2"/>
  <c r="AN164" i="2"/>
  <c r="AN100" i="2"/>
  <c r="AN184" i="2"/>
  <c r="AN73" i="2"/>
  <c r="AN175" i="2"/>
  <c r="AN94" i="2"/>
  <c r="AN110" i="2"/>
  <c r="AN69" i="2"/>
  <c r="AN125" i="2"/>
  <c r="AN196" i="2"/>
  <c r="AN75" i="2"/>
  <c r="AN139" i="2"/>
  <c r="AN165" i="2"/>
  <c r="AN173" i="2"/>
  <c r="AN120" i="2"/>
  <c r="AN134" i="2"/>
  <c r="AN142" i="2"/>
  <c r="AN107" i="2"/>
  <c r="AN81" i="2"/>
  <c r="AN21" i="2"/>
  <c r="AN96" i="2"/>
  <c r="AN20" i="2"/>
  <c r="AN35" i="2"/>
  <c r="AN3" i="2"/>
  <c r="C7" i="4" s="1"/>
  <c r="E7" i="4" s="1"/>
  <c r="F7" i="4" s="1"/>
  <c r="G7" i="4" s="1"/>
  <c r="L7" i="4" s="1"/>
  <c r="AN56" i="2"/>
  <c r="AN79" i="2"/>
  <c r="AN28" i="2"/>
  <c r="AN172" i="2"/>
  <c r="AN83" i="2"/>
  <c r="AN4" i="2"/>
  <c r="AN131" i="2"/>
  <c r="AN91" i="2"/>
  <c r="AN117" i="2"/>
  <c r="AN97" i="2"/>
  <c r="AN112" i="2"/>
  <c r="AN160" i="2"/>
  <c r="AN72" i="2"/>
  <c r="AN133" i="2"/>
  <c r="AN47" i="2"/>
  <c r="AN45" i="2"/>
  <c r="AN48" i="2"/>
  <c r="AN192" i="2"/>
  <c r="AN189" i="2"/>
  <c r="AN63" i="2"/>
  <c r="AN158" i="2"/>
  <c r="AN182" i="2"/>
  <c r="AN163" i="2"/>
  <c r="AN70" i="2"/>
  <c r="AN130" i="2"/>
  <c r="AN141" i="2"/>
  <c r="AN119" i="2"/>
  <c r="AN53" i="2"/>
  <c r="AN43" i="2"/>
  <c r="AN62" i="2"/>
  <c r="AN98" i="2"/>
  <c r="AN186" i="2"/>
  <c r="AN103" i="2"/>
  <c r="AN51" i="2"/>
  <c r="AN76" i="2"/>
  <c r="AN129" i="2"/>
  <c r="AN104" i="2"/>
  <c r="AN199" i="2"/>
  <c r="AN108" i="2"/>
  <c r="AN55" i="2"/>
  <c r="AN188" i="2"/>
  <c r="AN59" i="2"/>
  <c r="AN77" i="2"/>
  <c r="AN194" i="2"/>
  <c r="AN176" i="2"/>
  <c r="AN13" i="2"/>
  <c r="AN52" i="2"/>
  <c r="AN101" i="2"/>
  <c r="AN87" i="2"/>
  <c r="AN42" i="2"/>
  <c r="AN127" i="2"/>
  <c r="AN19" i="2"/>
  <c r="AN144" i="2"/>
  <c r="AN128" i="2"/>
  <c r="AN8" i="2"/>
  <c r="AN37" i="2"/>
  <c r="AN169" i="2"/>
  <c r="AN54" i="2"/>
  <c r="AN135" i="2"/>
  <c r="AN124" i="2"/>
  <c r="AN58" i="2"/>
  <c r="AN190" i="2"/>
  <c r="AN195" i="2"/>
  <c r="AN90" i="2"/>
  <c r="AN92" i="2"/>
  <c r="AN136" i="2"/>
  <c r="AN27" i="2"/>
  <c r="AN61" i="2"/>
  <c r="AN23" i="2"/>
  <c r="AN154" i="2"/>
  <c r="AN113" i="2"/>
  <c r="AN5" i="2"/>
  <c r="AN7" i="2"/>
  <c r="AN167" i="2"/>
  <c r="AN68" i="2"/>
  <c r="AN180" i="2"/>
  <c r="AN156" i="2"/>
  <c r="AN121" i="2"/>
  <c r="AN74" i="2"/>
  <c r="AN157" i="2"/>
  <c r="AN111" i="2"/>
  <c r="AN140" i="2"/>
  <c r="AN93" i="2"/>
  <c r="AN84" i="2"/>
  <c r="AN153" i="2"/>
  <c r="AN143" i="2"/>
  <c r="AN64" i="2"/>
  <c r="AN171" i="2"/>
  <c r="AN106" i="2"/>
  <c r="AN82" i="2"/>
  <c r="AN183" i="2"/>
  <c r="AN114" i="2"/>
  <c r="AN122" i="2"/>
  <c r="AN10" i="2"/>
  <c r="AN147" i="2"/>
  <c r="AN109" i="2"/>
  <c r="AN150" i="2"/>
  <c r="AN177" i="2"/>
  <c r="AN57" i="2"/>
  <c r="AN95" i="2"/>
  <c r="AN9" i="2"/>
  <c r="AN174" i="2"/>
  <c r="AN170" i="2"/>
  <c r="AN6" i="2"/>
  <c r="AN30" i="2"/>
  <c r="AN115" i="2"/>
  <c r="AN40" i="2"/>
  <c r="AN22" i="2"/>
  <c r="AN203" i="2"/>
  <c r="AN41" i="2"/>
  <c r="AN24" i="2"/>
  <c r="AN105" i="2"/>
  <c r="AN34" i="2"/>
  <c r="AN67" i="2"/>
  <c r="AN71" i="2"/>
  <c r="AN89" i="2"/>
  <c r="AN132" i="2"/>
  <c r="AN25" i="2"/>
  <c r="AN26" i="2"/>
  <c r="AN185" i="2"/>
  <c r="AN145" i="2"/>
  <c r="AN126" i="2"/>
  <c r="AN146" i="2"/>
  <c r="AN38" i="2"/>
  <c r="AN202" i="2"/>
  <c r="AN36" i="2"/>
  <c r="AN44" i="2"/>
  <c r="AN49" i="2"/>
  <c r="AN118" i="2"/>
  <c r="AN29" i="2"/>
  <c r="AN148" i="2"/>
  <c r="AN166" i="2"/>
  <c r="AN18" i="2"/>
  <c r="AN33" i="2"/>
  <c r="AN123" i="2"/>
  <c r="AN152" i="2"/>
  <c r="AN197" i="2"/>
  <c r="AN85" i="2"/>
  <c r="AN151" i="2"/>
  <c r="AN88" i="2"/>
  <c r="AN66" i="2"/>
  <c r="AN15" i="2"/>
  <c r="AN32" i="2"/>
  <c r="AN86" i="2"/>
  <c r="AN16" i="2"/>
  <c r="AN155" i="2"/>
  <c r="AN178" i="2"/>
  <c r="AN138" i="2"/>
  <c r="AN198" i="2"/>
  <c r="AN179" i="2"/>
  <c r="AN162" i="2"/>
  <c r="AN181" i="2"/>
  <c r="AN191" i="2"/>
  <c r="AN78" i="2"/>
  <c r="AN116" i="2"/>
  <c r="AN137" i="2"/>
  <c r="AN31" i="2"/>
  <c r="AN17" i="2"/>
  <c r="AN102" i="2"/>
  <c r="AN46" i="2"/>
  <c r="AN149" i="2"/>
  <c r="AN80" i="2"/>
  <c r="AN99" i="2"/>
  <c r="AN14" i="2"/>
  <c r="AN161" i="2"/>
  <c r="AN65" i="2"/>
  <c r="AN200" i="2"/>
  <c r="AN50" i="2"/>
  <c r="AN60" i="2"/>
  <c r="AN39" i="2"/>
  <c r="AN168" i="2"/>
  <c r="AN159" i="2"/>
  <c r="AN201" i="2"/>
  <c r="AN11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BI64" i="2" l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I138" i="2" s="1"/>
  <c r="BS112" i="2"/>
  <c r="BE114" i="2"/>
  <c r="BI135" i="2" l="1"/>
  <c r="BI40" i="2"/>
  <c r="BI192" i="2"/>
  <c r="BI83" i="2"/>
  <c r="BI128" i="2"/>
  <c r="BI33" i="2"/>
  <c r="BI134" i="2"/>
  <c r="BI22" i="2"/>
  <c r="BI120" i="2"/>
  <c r="BI139" i="2"/>
  <c r="BI53" i="2"/>
  <c r="BI145" i="2"/>
  <c r="BI147" i="2"/>
  <c r="BI82" i="2"/>
  <c r="BI69" i="2"/>
  <c r="BI42" i="2"/>
  <c r="BI47" i="2"/>
  <c r="BI29" i="2"/>
  <c r="BI158" i="2"/>
  <c r="BI203" i="2"/>
  <c r="BI177" i="2"/>
  <c r="BI163" i="2"/>
  <c r="BI15" i="2"/>
  <c r="BI161" i="2"/>
  <c r="BI23" i="2"/>
  <c r="BI98" i="2"/>
  <c r="BI7" i="2"/>
  <c r="BI144" i="2"/>
  <c r="BI169" i="2"/>
  <c r="BI150" i="2"/>
  <c r="BI132" i="2"/>
  <c r="BI89" i="2"/>
  <c r="BI142" i="2"/>
  <c r="BI140" i="2"/>
  <c r="BI148" i="2"/>
  <c r="BI4" i="2"/>
  <c r="BI50" i="2"/>
  <c r="BI57" i="2"/>
  <c r="BI190" i="2"/>
  <c r="BI30" i="2"/>
  <c r="BI43" i="2"/>
  <c r="BI159" i="2"/>
  <c r="BI72" i="2"/>
  <c r="BI77" i="2"/>
  <c r="BI101" i="2"/>
  <c r="BI96" i="2"/>
  <c r="BI156" i="2"/>
  <c r="BI170" i="2"/>
  <c r="BI141" i="2"/>
  <c r="BI111" i="2"/>
  <c r="BI81" i="2"/>
  <c r="BI48" i="2"/>
  <c r="BI39" i="2"/>
  <c r="BI78" i="2"/>
  <c r="BI12" i="2"/>
  <c r="BI185" i="2"/>
  <c r="BI44" i="2"/>
  <c r="BI143" i="2"/>
  <c r="BI184" i="2"/>
  <c r="BI124" i="2"/>
  <c r="BI123" i="2"/>
  <c r="BI105" i="2"/>
  <c r="BI92" i="2"/>
  <c r="BI88" i="2"/>
  <c r="BI183" i="2"/>
  <c r="BI73" i="2"/>
  <c r="BI9" i="2"/>
  <c r="BI152" i="2"/>
  <c r="BI26" i="2"/>
  <c r="BI34" i="2"/>
  <c r="BI37" i="2"/>
  <c r="BI195" i="2"/>
  <c r="BI165" i="2"/>
  <c r="BI125" i="2"/>
  <c r="BI60" i="2"/>
  <c r="BI116" i="2"/>
  <c r="BI66" i="2"/>
  <c r="BI164" i="2"/>
  <c r="BI129" i="2"/>
  <c r="BI168" i="2"/>
  <c r="BI93" i="2"/>
  <c r="BI5" i="2"/>
  <c r="BI199" i="2"/>
  <c r="BI14" i="2"/>
  <c r="BI107" i="2"/>
  <c r="BI102" i="2"/>
  <c r="BI63" i="2"/>
  <c r="BI55" i="2"/>
  <c r="BI16" i="2"/>
  <c r="BI160" i="2"/>
  <c r="BI179" i="2"/>
  <c r="BI17" i="2"/>
  <c r="BI109" i="2"/>
  <c r="BI28" i="2"/>
  <c r="BI38" i="2"/>
  <c r="BI58" i="2"/>
  <c r="BI61" i="2"/>
  <c r="BI19" i="2"/>
  <c r="BI198" i="2"/>
  <c r="BI122" i="2"/>
  <c r="BI115" i="2"/>
  <c r="BI110" i="2"/>
  <c r="BI84" i="2"/>
  <c r="BI13" i="2"/>
  <c r="BI65" i="2"/>
  <c r="BI24" i="2"/>
  <c r="BI174" i="2"/>
  <c r="BI157" i="2"/>
  <c r="BI52" i="2"/>
  <c r="BI25" i="2"/>
  <c r="BI146" i="2"/>
  <c r="BI136" i="2"/>
  <c r="BI130" i="2"/>
  <c r="BI85" i="2"/>
  <c r="BI20" i="2"/>
  <c r="BI35" i="2"/>
  <c r="BI99" i="2"/>
  <c r="BI175" i="2"/>
  <c r="BI68" i="2"/>
  <c r="BI127" i="2"/>
  <c r="BI126" i="2"/>
  <c r="BI201" i="2"/>
  <c r="BI167" i="2"/>
  <c r="BI10" i="2"/>
  <c r="BI121" i="2"/>
  <c r="BI151" i="2"/>
  <c r="BI197" i="2"/>
  <c r="BI176" i="2"/>
  <c r="BI80" i="2"/>
  <c r="BI178" i="2"/>
  <c r="BI106" i="2"/>
  <c r="BI41" i="2"/>
  <c r="BI202" i="2"/>
  <c r="BI182" i="2"/>
  <c r="BI171" i="2"/>
  <c r="BI6" i="2"/>
  <c r="BI3" i="2"/>
  <c r="C8" i="4" s="1"/>
  <c r="E8" i="4" s="1"/>
  <c r="F8" i="4" s="1"/>
  <c r="G8" i="4" s="1"/>
  <c r="L8" i="4" s="1"/>
  <c r="BI95" i="2"/>
  <c r="BI86" i="2"/>
  <c r="BI200" i="2"/>
  <c r="BI112" i="2"/>
  <c r="BI114" i="2"/>
  <c r="BI59" i="2"/>
  <c r="BI56" i="2"/>
  <c r="BI173" i="2"/>
  <c r="BI180" i="2"/>
  <c r="BI108" i="2"/>
  <c r="BI8" i="2"/>
  <c r="BI149" i="2"/>
  <c r="BI21" i="2"/>
  <c r="BI71" i="2"/>
  <c r="BI193" i="2"/>
  <c r="BI46" i="2"/>
  <c r="BI54" i="2"/>
  <c r="BI154" i="2"/>
  <c r="BI49" i="2"/>
  <c r="BI79" i="2"/>
  <c r="BI166" i="2"/>
  <c r="BI100" i="2"/>
  <c r="BI18" i="2"/>
  <c r="BI118" i="2"/>
  <c r="BI70" i="2"/>
  <c r="BI189" i="2"/>
  <c r="BI36" i="2"/>
  <c r="BI187" i="2"/>
  <c r="BI162" i="2"/>
  <c r="BI74" i="2"/>
  <c r="BI104" i="2"/>
  <c r="BI117" i="2"/>
  <c r="BI133" i="2"/>
  <c r="BI76" i="2"/>
  <c r="BI194" i="2"/>
  <c r="BI103" i="2"/>
  <c r="BI67" i="2"/>
  <c r="BI62" i="2"/>
  <c r="BI153" i="2"/>
  <c r="BI196" i="2"/>
  <c r="BI191" i="2"/>
  <c r="BI155" i="2"/>
  <c r="BI119" i="2"/>
  <c r="BI51" i="2"/>
  <c r="BI131" i="2"/>
  <c r="BI137" i="2"/>
  <c r="BI31" i="2"/>
  <c r="BI94" i="2"/>
  <c r="BI91" i="2"/>
  <c r="BI32" i="2"/>
  <c r="BI97" i="2"/>
  <c r="BI90" i="2"/>
  <c r="BI181" i="2"/>
  <c r="BI172" i="2"/>
  <c r="BI113" i="2"/>
  <c r="BI11" i="2"/>
  <c r="BI45" i="2"/>
  <c r="BI27" i="2"/>
  <c r="BI75" i="2"/>
  <c r="BI87" i="2"/>
  <c r="BI186" i="2"/>
  <c r="BI188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<sst xmlns="http://schemas.openxmlformats.org/spreadsheetml/2006/main" count="1187" uniqueCount="332">
  <si>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</si>
  <si>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</si>
  <si>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</si>
  <si>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</si>
  <si>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</si>
  <si>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</si>
  <si>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</si>
  <si>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</si>
  <si>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</si>
  <si>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</si>
  <si>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</si>
  <si>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</si>
  <si>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</si>
  <si>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</si>
  <si>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</si>
  <si>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</si>
  <si>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</si>
  <si>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</si>
  <si>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</si>
  <si>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</si>
  <si>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</si>
  <si>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</si>
  <si>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</si>
  <si>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</si>
  <si>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</si>
  <si>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</si>
  <si>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</si>
  <si>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</si>
  <si>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</si>
  <si>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</si>
  <si>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</si>
  <si>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</si>
  <si>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</si>
  <si>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</si>
  <si>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</si>
  <si>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</si>
  <si>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</si>
  <si>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</si>
  <si>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</si>
  <si>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</si>
  <si>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</si>
  <si>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</si>
  <si>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</si>
  <si>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</si>
  <si>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</si>
  <si>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</si>
  <si>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</si>
  <si>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</si>
  <si>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</si>
  <si>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</si>
  <si>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</si>
  <si>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</si>
  <si>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</si>
  <si>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</si>
  <si>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</si>
  <si>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</si>
  <si>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</si>
  <si>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</si>
  <si>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</si>
  <si>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</si>
  <si>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</si>
  <si>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</si>
  <si>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</si>
  <si>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</si>
  <si>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</si>
  <si>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</si>
  <si>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</si>
  <si>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</si>
  <si>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</si>
  <si>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</si>
  <si>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</si>
  <si>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</si>
  <si>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</si>
  <si>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</si>
  <si>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</si>
  <si>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</si>
  <si>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</si>
  <si>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</si>
  <si>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</si>
  <si>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</si>
  <si>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</si>
  <si>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</si>
  <si>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</si>
  <si>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</si>
  <si>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</si>
  <si>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</si>
  <si>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</si>
  <si>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</si>
  <si>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</si>
  <si>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</si>
  <si>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</si>
  <si>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</si>
  <si>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</si>
  <si>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</si>
  <si>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</si>
  <si>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</si>
  <si>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</si>
  <si>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</si>
  <si>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</si>
  <si>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</si>
  <si>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</si>
  <si>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</si>
  <si>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</si>
  <si>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</si>
  <si>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</si>
  <si>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</si>
  <si>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</si>
  <si>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</si>
  <si>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</si>
  <si>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</si>
  <si>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</si>
  <si>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</si>
  <si>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</si>
  <si>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</si>
  <si>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</si>
  <si>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</si>
  <si>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</si>
  <si>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</si>
  <si>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</si>
  <si>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</si>
  <si>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</si>
  <si>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</si>
  <si>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</si>
  <si>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</si>
  <si>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</si>
  <si>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</si>
  <si>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</si>
  <si>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</si>
  <si>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</si>
  <si>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</si>
  <si>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</si>
  <si>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</si>
  <si>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</si>
  <si>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</si>
  <si>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</si>
  <si>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</si>
  <si>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</si>
  <si>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</si>
  <si>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</si>
  <si>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</si>
  <si>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</si>
  <si>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</si>
  <si>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</si>
  <si>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</si>
  <si>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</si>
  <si>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</si>
  <si>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</si>
  <si>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</si>
  <si>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</si>
  <si>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</si>
  <si>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</si>
  <si>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</si>
  <si>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</si>
  <si>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</si>
  <si>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</si>
  <si>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</si>
  <si>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</si>
  <si>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</si>
  <si>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</si>
  <si>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</si>
  <si>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</si>
  <si>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</si>
  <si>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</si>
  <si>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</si>
  <si>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</si>
  <si>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</si>
  <si>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</si>
  <si>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</si>
  <si>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</si>
  <si>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</si>
  <si>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</si>
  <si>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</si>
  <si>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</si>
  <si>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</si>
  <si>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</si>
  <si>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</si>
  <si>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</si>
  <si>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</si>
  <si>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</si>
  <si>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</si>
  <si>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</si>
  <si>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</si>
  <si>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</si>
  <si>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</si>
  <si>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</si>
  <si>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</si>
  <si>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</si>
  <si>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</si>
  <si>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</si>
  <si>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</si>
  <si>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</si>
  <si>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</si>
  <si>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</si>
  <si>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</si>
  <si>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</si>
  <si>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</si>
  <si>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</si>
  <si>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</si>
  <si>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</si>
  <si>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</si>
  <si>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</si>
  <si>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</si>
  <si>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</si>
  <si>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</si>
  <si>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</si>
  <si>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</si>
  <si>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</si>
  <si>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</si>
  <si>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</si>
  <si>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</si>
  <si>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</si>
  <si>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</si>
  <si>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</si>
  <si>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</si>
  <si>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</si>
  <si>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</si>
  <si>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</si>
  <si>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</si>
  <si>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</si>
  <si>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</si>
  <si>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</si>
  <si>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</si>
  <si>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</si>
  <si>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</si>
  <si>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</si>
  <si>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</si>
  <si>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</si>
  <si>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</si>
  <si>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</si>
  <si>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</si>
  <si>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</si>
  <si>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</si>
  <si>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</si>
  <si>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</si>
  <si>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</si>
  <si>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</si>
  <si>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</si>
  <si>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</si>
  <si>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</si>
  <si>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</si>
  <si>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</si>
  <si>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</si>
  <si>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</si>
  <si>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</si>
  <si>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</si>
  <si>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</si>
  <si>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</si>
  <si>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</si>
  <si>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</si>
  <si>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</si>
  <si>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</si>
  <si>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</si>
  <si>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</si>
  <si>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</si>
  <si>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</si>
  <si>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</si>
  <si>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</si>
  <si>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</si>
  <si>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</si>
  <si>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</si>
  <si>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</si>
  <si>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</si>
  <si>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</si>
  <si>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</si>
  <si>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</si>
  <si>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</si>
  <si>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</si>
  <si>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</si>
  <si>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</si>
  <si>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</si>
  <si>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</si>
  <si>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</si>
  <si>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</si>
  <si>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</si>
  <si>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</si>
  <si>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</si>
  <si>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</si>
  <si>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</si>
  <si>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</si>
  <si>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</si>
  <si>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</si>
  <si>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</si>
  <si>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</si>
  <si>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</si>
  <si>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</si>
  <si>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</si>
  <si>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</si>
  <si>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</si>
  <si>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</si>
  <si>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</si>
  <si>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</si>
  <si>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</si>
  <si>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</si>
  <si>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</si>
  <si>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</si>
  <si>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</si>
  <si>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</si>
  <si>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</si>
  <si>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</si>
  <si>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</si>
  <si>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</si>
  <si>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</si>
  <si>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</si>
  <si>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</si>
  <si>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</si>
  <si>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</si>
  <si>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</si>
  <si>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</si>
  <si>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</si>
  <si>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</si>
  <si>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</si>
  <si>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</si>
  <si>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</si>
  <si>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</si>
  <si>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</si>
  <si>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</si>
  <si>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</si>
  <si>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</si>
  <si>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</si>
  <si>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</si>
  <si>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</si>
  <si>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</si>
  <si>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</si>
  <si>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</si>
  <si>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ONF_P.N_F2</t>
  </si>
  <si>
    <t>ONF_F3_C&amp;N plains</t>
  </si>
  <si>
    <t>YK For Com_Red Cedar_F16</t>
  </si>
  <si>
    <t>Piqué-Nicolau et al., 2011</t>
  </si>
  <si>
    <t>CHR_F4</t>
  </si>
  <si>
    <t>CHS_F3_plantation</t>
  </si>
  <si>
    <t>ONF_CHP_F2</t>
  </si>
  <si>
    <t>ONF_F3_1100 st/ha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</si>
</sst>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0" fillId="0" borderId="0" xfId="0" applyNumberForma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7.3800406658039828</c:v>
                </c:pt>
                <c:pt idx="2">
                  <c:v>14.430122778312859</c:v>
                </c:pt>
                <c:pt idx="3">
                  <c:v>21.373644840990689</c:v>
                </c:pt>
                <c:pt idx="4">
                  <c:v>28.251480809573795</c:v>
                </c:pt>
                <c:pt idx="5">
                  <c:v>35.082156100738764</c:v>
                </c:pt>
                <c:pt idx="6">
                  <c:v>41.876238385615665</c:v>
                </c:pt>
                <c:pt idx="7">
                  <c:v>48.640540233177099</c:v>
                </c:pt>
                <c:pt idx="8">
                  <c:v>55.379806866672531</c:v>
                </c:pt>
                <c:pt idx="9">
                  <c:v>62.097526085554399</c:v>
                </c:pt>
                <c:pt idx="10">
                  <c:v>68.796365153350322</c:v>
                </c:pt>
                <c:pt idx="11">
                  <c:v>75.47842701139993</c:v>
                </c:pt>
                <c:pt idx="12">
                  <c:v>82.145410317563559</c:v>
                </c:pt>
                <c:pt idx="13">
                  <c:v>88.79871447595167</c:v>
                </c:pt>
                <c:pt idx="14">
                  <c:v>95.439511367710338</c:v>
                </c:pt>
                <c:pt idx="15">
                  <c:v>102.06879597606302</c:v>
                </c:pt>
                <c:pt idx="16">
                  <c:v>108.68742311436408</c:v>
                </c:pt>
                <c:pt idx="17">
                  <c:v>115.29613470502277</c:v>
                </c:pt>
                <c:pt idx="18">
                  <c:v>121.89558045466629</c:v>
                </c:pt>
                <c:pt idx="19">
                  <c:v>128.48633380310281</c:v>
                </c:pt>
                <c:pt idx="20">
                  <c:v>135.06890441882061</c:v>
                </c:pt>
                <c:pt idx="21">
                  <c:v>141.64374812436762</c:v>
                </c:pt>
                <c:pt idx="22">
                  <c:v>148.21127487761666</c:v>
                </c:pt>
                <c:pt idx="23">
                  <c:v>154.77185526087118</c:v>
                </c:pt>
                <c:pt idx="24">
                  <c:v>161.32582580958686</c:v>
                </c:pt>
                <c:pt idx="25">
                  <c:v>167.87349342794758</c:v>
                </c:pt>
                <c:pt idx="26">
                  <c:v>174.41513907806188</c:v>
                </c:pt>
                <c:pt idx="27">
                  <c:v>180.95102088562683</c:v>
                </c:pt>
                <c:pt idx="28">
                  <c:v>187.48137677255966</c:v>
                </c:pt>
                <c:pt idx="29">
                  <c:v>194.00642670297006</c:v>
                </c:pt>
                <c:pt idx="30">
                  <c:v>200.52637461064015</c:v>
                </c:pt>
                <c:pt idx="31">
                  <c:v>207.04141006228784</c:v>
                </c:pt>
                <c:pt idx="32">
                  <c:v>213.55170970018628</c:v>
                </c:pt>
                <c:pt idx="33">
                  <c:v>220.05743849939086</c:v>
                </c:pt>
                <c:pt idx="34">
                  <c:v>226.55875086829255</c:v>
                </c:pt>
                <c:pt idx="35">
                  <c:v>233.05579161605704</c:v>
                </c:pt>
                <c:pt idx="36">
                  <c:v>239.5486968063905</c:v>
                </c:pt>
                <c:pt idx="37">
                  <c:v>246.03759451377718</c:v>
                </c:pt>
                <c:pt idx="38">
                  <c:v>252.5226054956606</c:v>
                </c:pt>
                <c:pt idx="39">
                  <c:v>259.00384379188023</c:v>
                </c:pt>
                <c:pt idx="40">
                  <c:v>265.48141726089602</c:v>
                </c:pt>
                <c:pt idx="41">
                  <c:v>271.95542806088224</c:v>
                </c:pt>
                <c:pt idx="42">
                  <c:v>278.42597308256319</c:v>
                </c:pt>
                <c:pt idx="43">
                  <c:v>284.89314433966507</c:v>
                </c:pt>
                <c:pt idx="44">
                  <c:v>291.35702932202412</c:v>
                </c:pt>
                <c:pt idx="45">
                  <c:v>297.8177113156882</c:v>
                </c:pt>
                <c:pt idx="46">
                  <c:v>304.27526969376351</c:v>
                </c:pt>
                <c:pt idx="47">
                  <c:v>310.72978018125599</c:v>
                </c:pt>
                <c:pt idx="48">
                  <c:v>317.1813150967381</c:v>
                </c:pt>
                <c:pt idx="49">
                  <c:v>323.62994357330712</c:v>
                </c:pt>
                <c:pt idx="50">
                  <c:v>330.0757317609972</c:v>
                </c:pt>
                <c:pt idx="51">
                  <c:v>336.51874301254134</c:v>
                </c:pt>
                <c:pt idx="52">
                  <c:v>247.01200248677006</c:v>
                </c:pt>
                <c:pt idx="53">
                  <c:v>259.43488785150095</c:v>
                </c:pt>
                <c:pt idx="54">
                  <c:v>271.84433604206578</c:v>
                </c:pt>
                <c:pt idx="55">
                  <c:v>284.24104711596163</c:v>
                </c:pt>
                <c:pt idx="56">
                  <c:v>296.6256550515152</c:v>
                </c:pt>
                <c:pt idx="57">
                  <c:v>308.99873654266725</c:v>
                </c:pt>
                <c:pt idx="58">
                  <c:v>321.36081831054946</c:v>
                </c:pt>
                <c:pt idx="59">
                  <c:v>333.71238323059265</c:v>
                </c:pt>
                <c:pt idx="60">
                  <c:v>346.05387550468822</c:v>
                </c:pt>
                <c:pt idx="61">
                  <c:v>358.3857050566765</c:v>
                </c:pt>
                <c:pt idx="62">
                  <c:v>370.70825129105378</c:v>
                </c:pt>
                <c:pt idx="63">
                  <c:v>383.02186632567759</c:v>
                </c:pt>
                <c:pt idx="64">
                  <c:v>278.73116194548425</c:v>
                </c:pt>
                <c:pt idx="65">
                  <c:v>290.09879353244492</c:v>
                </c:pt>
                <c:pt idx="66">
                  <c:v>301.4564733796521</c:v>
                </c:pt>
                <c:pt idx="67">
                  <c:v>312.80462944093028</c:v>
                </c:pt>
                <c:pt idx="68">
                  <c:v>324.1436560691223</c:v>
                </c:pt>
                <c:pt idx="69">
                  <c:v>335.47391776262225</c:v>
                </c:pt>
                <c:pt idx="70">
                  <c:v>346.7957523790833</c:v>
                </c:pt>
                <c:pt idx="71">
                  <c:v>358.10947390735413</c:v>
                </c:pt>
                <c:pt idx="72">
                  <c:v>369.41537487070042</c:v>
                </c:pt>
                <c:pt idx="73">
                  <c:v>380.71372842036959</c:v>
                </c:pt>
                <c:pt idx="74">
                  <c:v>392.00479016759505</c:v>
                </c:pt>
                <c:pt idx="75">
                  <c:v>403.28879979346425</c:v>
                </c:pt>
                <c:pt idx="76">
                  <c:v>320.09055988993907</c:v>
                </c:pt>
                <c:pt idx="77">
                  <c:v>330.51376496417566</c:v>
                </c:pt>
                <c:pt idx="78">
                  <c:v>340.9297203238948</c:v>
                </c:pt>
                <c:pt idx="79">
                  <c:v>351.33867878828346</c:v>
                </c:pt>
                <c:pt idx="80">
                  <c:v>361.74087696659825</c:v>
                </c:pt>
                <c:pt idx="81">
                  <c:v>372.13653674377588</c:v>
                </c:pt>
                <c:pt idx="82">
                  <c:v>382.52586659131663</c:v>
                </c:pt>
                <c:pt idx="83">
                  <c:v>392.90906272827596</c:v>
                </c:pt>
                <c:pt idx="84">
                  <c:v>403.28631015309378</c:v>
                </c:pt>
                <c:pt idx="85">
                  <c:v>413.6577835636549</c:v>
                </c:pt>
                <c:pt idx="86">
                  <c:v>424.02364818024301</c:v>
                </c:pt>
                <c:pt idx="87">
                  <c:v>434.38406048380944</c:v>
                </c:pt>
                <c:pt idx="88">
                  <c:v>351.58422801050841</c:v>
                </c:pt>
                <c:pt idx="89">
                  <c:v>360.99635900937443</c:v>
                </c:pt>
                <c:pt idx="90">
                  <c:v>370.40312470931332</c:v>
                </c:pt>
                <c:pt idx="91">
                  <c:v>379.80468065192116</c:v>
                </c:pt>
                <c:pt idx="92">
                  <c:v>389.20117404606736</c:v>
                </c:pt>
                <c:pt idx="93">
                  <c:v>398.59274440905824</c:v>
                </c:pt>
                <c:pt idx="94">
                  <c:v>407.97952414419888</c:v>
                </c:pt>
                <c:pt idx="95">
                  <c:v>417.36163906241222</c:v>
                </c:pt>
                <c:pt idx="96">
                  <c:v>426.73920885449638</c:v>
                </c:pt>
                <c:pt idx="97">
                  <c:v>436.11234751969567</c:v>
                </c:pt>
                <c:pt idx="98">
                  <c:v>445.48116375549813</c:v>
                </c:pt>
                <c:pt idx="99">
                  <c:v>454.84576131292738</c:v>
                </c:pt>
                <c:pt idx="100">
                  <c:v>238.64812478518766</c:v>
                </c:pt>
                <c:pt idx="101">
                  <c:v>245.25745220730889</c:v>
                </c:pt>
                <c:pt idx="102">
                  <c:v>251.86273322597432</c:v>
                </c:pt>
                <c:pt idx="103">
                  <c:v>258.46408908205132</c:v>
                </c:pt>
                <c:pt idx="104">
                  <c:v>265.06163430905343</c:v>
                </c:pt>
                <c:pt idx="105">
                  <c:v>271.65547726567394</c:v>
                </c:pt>
                <c:pt idx="106">
                  <c:v>278.2457206138526</c:v>
                </c:pt>
                <c:pt idx="107">
                  <c:v>284.83246174913438</c:v>
                </c:pt>
                <c:pt idx="108">
                  <c:v>291.41579318909641</c:v>
                </c:pt>
                <c:pt idx="109">
                  <c:v>297.99580292480601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1.8891398896951692</c:v>
                </c:pt>
                <c:pt idx="2">
                  <c:v>2.3011457530182922</c:v>
                </c:pt>
                <c:pt idx="3">
                  <c:v>2.8033526931140025</c:v>
                </c:pt>
                <c:pt idx="4">
                  <c:v>3.4155801990054346</c:v>
                </c:pt>
                <c:pt idx="5">
                  <c:v>4.1620173816876562</c:v>
                </c:pt>
                <c:pt idx="6">
                  <c:v>5.0721893843985804</c:v>
                </c:pt>
                <c:pt idx="7">
                  <c:v>6.1821381512840219</c:v>
                </c:pt>
                <c:pt idx="8">
                  <c:v>7.5358652279626872</c:v>
                </c:pt>
                <c:pt idx="9">
                  <c:v>9.187094895961657</c:v>
                </c:pt>
                <c:pt idx="10">
                  <c:v>11.201428946241828</c:v>
                </c:pt>
                <c:pt idx="11">
                  <c:v>13.658980306740689</c:v>
                </c:pt>
                <c:pt idx="12">
                  <c:v>16.65759220594968</c:v>
                </c:pt>
                <c:pt idx="13">
                  <c:v>20.316773375974538</c:v>
                </c:pt>
                <c:pt idx="14">
                  <c:v>24.7825089501127</c:v>
                </c:pt>
                <c:pt idx="15">
                  <c:v>30.233142386586664</c:v>
                </c:pt>
                <c:pt idx="16">
                  <c:v>36.886567414865773</c:v>
                </c:pt>
                <c:pt idx="17">
                  <c:v>45.009022445795274</c:v>
                </c:pt>
                <c:pt idx="18">
                  <c:v>54.925845305900829</c:v>
                </c:pt>
                <c:pt idx="19">
                  <c:v>67.034626237248631</c:v>
                </c:pt>
                <c:pt idx="20">
                  <c:v>81.821295138730591</c:v>
                </c:pt>
                <c:pt idx="21">
                  <c:v>99.879799044317551</c:v>
                </c:pt>
                <c:pt idx="22">
                  <c:v>121.93617277711394</c:v>
                </c:pt>
                <c:pt idx="23">
                  <c:v>148.87798563430445</c:v>
                </c:pt>
                <c:pt idx="24">
                  <c:v>181.79036725780301</c:v>
                </c:pt>
                <c:pt idx="25">
                  <c:v>134.6826564598318</c:v>
                </c:pt>
                <c:pt idx="26">
                  <c:v>152.11458245926272</c:v>
                </c:pt>
                <c:pt idx="27">
                  <c:v>169.49892180197631</c:v>
                </c:pt>
                <c:pt idx="28">
                  <c:v>186.84124553823835</c:v>
                </c:pt>
                <c:pt idx="29">
                  <c:v>204.14600406345403</c:v>
                </c:pt>
                <c:pt idx="30">
                  <c:v>221.41683060637737</c:v>
                </c:pt>
                <c:pt idx="31">
                  <c:v>189.80229109216677</c:v>
                </c:pt>
                <c:pt idx="32">
                  <c:v>207.07194925804288</c:v>
                </c:pt>
                <c:pt idx="33">
                  <c:v>224.30833758345966</c:v>
                </c:pt>
                <c:pt idx="34">
                  <c:v>241.51437268190762</c:v>
                </c:pt>
                <c:pt idx="35">
                  <c:v>258.69252137024819</c:v>
                </c:pt>
                <c:pt idx="36">
                  <c:v>275.84489594318421</c:v>
                </c:pt>
                <c:pt idx="37">
                  <c:v>292.97332447200637</c:v>
                </c:pt>
                <c:pt idx="38">
                  <c:v>310.0794037824773</c:v>
                </c:pt>
                <c:pt idx="39">
                  <c:v>256.96722342594791</c:v>
                </c:pt>
                <c:pt idx="40">
                  <c:v>273.64403918646235</c:v>
                </c:pt>
                <c:pt idx="41">
                  <c:v>290.2980182153845</c:v>
                </c:pt>
                <c:pt idx="42">
                  <c:v>306.93065490611383</c:v>
                </c:pt>
                <c:pt idx="43">
                  <c:v>323.54326844776637</c:v>
                </c:pt>
                <c:pt idx="44">
                  <c:v>340.13703149677923</c:v>
                </c:pt>
                <c:pt idx="45">
                  <c:v>356.71299295782404</c:v>
                </c:pt>
                <c:pt idx="46">
                  <c:v>373.2720963073013</c:v>
                </c:pt>
                <c:pt idx="47">
                  <c:v>304.83589169242236</c:v>
                </c:pt>
                <c:pt idx="48">
                  <c:v>320.32396328505172</c:v>
                </c:pt>
                <c:pt idx="49">
                  <c:v>335.79546883173754</c:v>
                </c:pt>
                <c:pt idx="50">
                  <c:v>351.2512790044596</c:v>
                </c:pt>
                <c:pt idx="51">
                  <c:v>366.6921815995218</c:v>
                </c:pt>
                <c:pt idx="52">
                  <c:v>382.11889265679474</c:v>
                </c:pt>
                <c:pt idx="53">
                  <c:v>397.53206568923684</c:v>
                </c:pt>
                <c:pt idx="54">
                  <c:v>412.93229940614214</c:v>
                </c:pt>
                <c:pt idx="55">
                  <c:v>333.50842697735885</c:v>
                </c:pt>
                <c:pt idx="56">
                  <c:v>346.397341358522</c:v>
                </c:pt>
                <c:pt idx="57">
                  <c:v>359.2757284135393</c:v>
                </c:pt>
                <c:pt idx="58">
                  <c:v>372.14401871558738</c:v>
                </c:pt>
                <c:pt idx="59">
                  <c:v>385.00261062621888</c:v>
                </c:pt>
                <c:pt idx="60">
                  <c:v>397.85187372325157</c:v>
                </c:pt>
                <c:pt idx="61">
                  <c:v>410.69215176264447</c:v>
                </c:pt>
                <c:pt idx="62">
                  <c:v>423.52376525060163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1.6629135351629694</c:v>
                </c:pt>
                <c:pt idx="2">
                  <c:v>2.0394986404730653</c:v>
                </c:pt>
                <c:pt idx="3">
                  <c:v>2.5016981639683027</c:v>
                </c:pt>
                <c:pt idx="4">
                  <c:v>3.0690475861088822</c:v>
                </c:pt>
                <c:pt idx="5">
                  <c:v>3.7655553203960284</c:v>
                </c:pt>
                <c:pt idx="6">
                  <c:v>4.620730129858849</c:v>
                </c:pt>
                <c:pt idx="7">
                  <c:v>5.6708452338404918</c:v>
                </c:pt>
                <c:pt idx="8">
                  <c:v>6.9604937801488651</c:v>
                </c:pt>
                <c:pt idx="9">
                  <c:v>8.5445030187238782</c:v>
                </c:pt>
                <c:pt idx="10">
                  <c:v>10.490290112571428</c:v>
                </c:pt>
                <c:pt idx="11">
                  <c:v>12.880761743209531</c:v>
                </c:pt>
                <c:pt idx="12">
                  <c:v>15.817883353868957</c:v>
                </c:pt>
                <c:pt idx="13">
                  <c:v>19.427073063172671</c:v>
                </c:pt>
                <c:pt idx="14">
                  <c:v>23.86261125618579</c:v>
                </c:pt>
                <c:pt idx="15">
                  <c:v>29.314301198559079</c:v>
                </c:pt>
                <c:pt idx="16">
                  <c:v>36.015670671520411</c:v>
                </c:pt>
                <c:pt idx="17">
                  <c:v>44.254071993898854</c:v>
                </c:pt>
                <c:pt idx="18">
                  <c:v>54.383120846304308</c:v>
                </c:pt>
                <c:pt idx="19">
                  <c:v>66.838016698153481</c:v>
                </c:pt>
                <c:pt idx="20">
                  <c:v>82.154413870364976</c:v>
                </c:pt>
                <c:pt idx="21">
                  <c:v>100.99166790864717</c:v>
                </c:pt>
                <c:pt idx="22">
                  <c:v>124.16147385767211</c:v>
                </c:pt>
                <c:pt idx="23">
                  <c:v>152.66314968238711</c:v>
                </c:pt>
                <c:pt idx="24">
                  <c:v>187.72710992596788</c:v>
                </c:pt>
                <c:pt idx="25">
                  <c:v>230.86843461387113</c:v>
                </c:pt>
                <c:pt idx="26">
                  <c:v>209.10991296045651</c:v>
                </c:pt>
                <c:pt idx="27">
                  <c:v>234.45283176280745</c:v>
                </c:pt>
                <c:pt idx="28">
                  <c:v>259.73321764902869</c:v>
                </c:pt>
                <c:pt idx="29">
                  <c:v>284.95801116402544</c:v>
                </c:pt>
                <c:pt idx="30">
                  <c:v>310.13282285408201</c:v>
                </c:pt>
                <c:pt idx="31">
                  <c:v>273.80306989453715</c:v>
                </c:pt>
                <c:pt idx="32">
                  <c:v>299.89038593700792</c:v>
                </c:pt>
                <c:pt idx="33">
                  <c:v>325.92716281690332</c:v>
                </c:pt>
                <c:pt idx="34">
                  <c:v>351.91800244848019</c:v>
                </c:pt>
                <c:pt idx="35">
                  <c:v>377.86677161777294</c:v>
                </c:pt>
                <c:pt idx="36">
                  <c:v>341.7046004046386</c:v>
                </c:pt>
                <c:pt idx="37">
                  <c:v>367.66948850577074</c:v>
                </c:pt>
                <c:pt idx="38">
                  <c:v>393.59436441512338</c:v>
                </c:pt>
                <c:pt idx="39">
                  <c:v>419.48223162186986</c:v>
                </c:pt>
                <c:pt idx="40">
                  <c:v>445.33569288953009</c:v>
                </c:pt>
                <c:pt idx="41">
                  <c:v>408.20215164877021</c:v>
                </c:pt>
                <c:pt idx="42">
                  <c:v>432.96552861089191</c:v>
                </c:pt>
                <c:pt idx="43">
                  <c:v>457.69850052779265</c:v>
                </c:pt>
                <c:pt idx="44">
                  <c:v>482.40293981428914</c:v>
                </c:pt>
                <c:pt idx="45">
                  <c:v>507.08051163078659</c:v>
                </c:pt>
                <c:pt idx="46">
                  <c:v>468.51010101032102</c:v>
                </c:pt>
                <c:pt idx="47">
                  <c:v>491.66009421788505</c:v>
                </c:pt>
                <c:pt idx="48">
                  <c:v>514.78698270351845</c:v>
                </c:pt>
                <c:pt idx="49">
                  <c:v>537.89194944128337</c:v>
                </c:pt>
                <c:pt idx="50">
                  <c:v>560.97606758452764</c:v>
                </c:pt>
                <c:pt idx="51">
                  <c:v>521.17049813666802</c:v>
                </c:pt>
                <c:pt idx="52">
                  <c:v>542.9502184292927</c:v>
                </c:pt>
                <c:pt idx="53">
                  <c:v>564.71160275299542</c:v>
                </c:pt>
                <c:pt idx="54">
                  <c:v>586.45545643538037</c:v>
                </c:pt>
                <c:pt idx="55">
                  <c:v>608.18252027448943</c:v>
                </c:pt>
                <c:pt idx="56">
                  <c:v>566.68902956027807</c:v>
                </c:pt>
                <c:pt idx="57">
                  <c:v>586.67500447098348</c:v>
                </c:pt>
                <c:pt idx="58">
                  <c:v>606.64680010041536</c:v>
                </c:pt>
                <c:pt idx="59">
                  <c:v>626.60494853896626</c:v>
                </c:pt>
                <c:pt idx="60">
                  <c:v>646.54994524942197</c:v>
                </c:pt>
                <c:pt idx="61">
                  <c:v>610.156899385065</c:v>
                </c:pt>
                <c:pt idx="62">
                  <c:v>628.57810887677101</c:v>
                </c:pt>
                <c:pt idx="63">
                  <c:v>646.9881526823724</c:v>
                </c:pt>
                <c:pt idx="64">
                  <c:v>665.38739298377664</c:v>
                </c:pt>
                <c:pt idx="65">
                  <c:v>683.77617031768239</c:v>
                </c:pt>
                <c:pt idx="66">
                  <c:v>653.12241592892133</c:v>
                </c:pt>
                <c:pt idx="67">
                  <c:v>670.64238263183177</c:v>
                </c:pt>
                <c:pt idx="68">
                  <c:v>688.15294413479262</c:v>
                </c:pt>
                <c:pt idx="69">
                  <c:v>705.65437325672008</c:v>
                </c:pt>
                <c:pt idx="70">
                  <c:v>723.14692819265429</c:v>
                </c:pt>
                <c:pt idx="71">
                  <c:v>694.71703608163637</c:v>
                </c:pt>
                <c:pt idx="72">
                  <c:v>711.12173819796135</c:v>
                </c:pt>
                <c:pt idx="73">
                  <c:v>727.51870929218273</c:v>
                </c:pt>
                <c:pt idx="74">
                  <c:v>743.90814800234227</c:v>
                </c:pt>
                <c:pt idx="75">
                  <c:v>760.29024350806378</c:v>
                </c:pt>
                <c:pt idx="76">
                  <c:v>732.10850308988836</c:v>
                </c:pt>
                <c:pt idx="77">
                  <c:v>746.52977195775156</c:v>
                </c:pt>
                <c:pt idx="78">
                  <c:v>760.94537716944069</c:v>
                </c:pt>
                <c:pt idx="79">
                  <c:v>775.35544105311146</c:v>
                </c:pt>
                <c:pt idx="80">
                  <c:v>789.76008102290427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6.6781857673671192</c:v>
                </c:pt>
                <c:pt idx="2">
                  <c:v>13.055228415803034</c:v>
                </c:pt>
                <c:pt idx="3">
                  <c:v>19.335016953263111</c:v>
                </c:pt>
                <c:pt idx="4">
                  <c:v>25.554855793864139</c:v>
                </c:pt>
                <c:pt idx="5">
                  <c:v>31.731652521003408</c:v>
                </c:pt>
                <c:pt idx="6">
                  <c:v>37.875051926162044</c:v>
                </c:pt>
                <c:pt idx="7">
                  <c:v>43.991271633486654</c:v>
                </c:pt>
                <c:pt idx="8">
                  <c:v>50.084642463666967</c:v>
                </c:pt>
                <c:pt idx="9">
                  <c:v>56.158347625002428</c:v>
                </c:pt>
                <c:pt idx="10">
                  <c:v>62.214821447652639</c:v>
                </c:pt>
                <c:pt idx="11">
                  <c:v>68.255983222109236</c:v>
                </c:pt>
                <c:pt idx="12">
                  <c:v>74.283383261649178</c:v>
                </c:pt>
                <c:pt idx="13">
                  <c:v>80.298298759769324</c:v>
                </c:pt>
                <c:pt idx="14">
                  <c:v>86.301799256688639</c:v>
                </c:pt>
                <c:pt idx="15">
                  <c:v>92.294792843281513</c:v>
                </c:pt>
                <c:pt idx="16">
                  <c:v>98.278059681653431</c:v>
                </c:pt>
                <c:pt idx="17">
                  <c:v>104.25227690178356</c:v>
                </c:pt>
                <c:pt idx="18">
                  <c:v>110.21803747111635</c:v>
                </c:pt>
                <c:pt idx="19">
                  <c:v>116.17586475069392</c:v>
                </c:pt>
                <c:pt idx="20">
                  <c:v>122.12622389941782</c:v>
                </c:pt>
                <c:pt idx="21">
                  <c:v>128.06953093264028</c:v>
                </c:pt>
                <c:pt idx="22">
                  <c:v>134.00616000642185</c:v>
                </c:pt>
                <c:pt idx="23">
                  <c:v>139.93644933994054</c:v>
                </c:pt>
                <c:pt idx="24">
                  <c:v>145.86070607885378</c:v>
                </c:pt>
                <c:pt idx="25">
                  <c:v>151.77921032525984</c:v>
                </c:pt>
                <c:pt idx="26">
                  <c:v>157.69221850471524</c:v>
                </c:pt>
                <c:pt idx="27">
                  <c:v>163.59996620067969</c:v>
                </c:pt>
                <c:pt idx="28">
                  <c:v>169.50267055723825</c:v>
                </c:pt>
                <c:pt idx="29">
                  <c:v>175.40053232893237</c:v>
                </c:pt>
                <c:pt idx="30">
                  <c:v>181.29373763991188</c:v>
                </c:pt>
                <c:pt idx="31">
                  <c:v>187.18245950194489</c:v>
                </c:pt>
                <c:pt idx="32">
                  <c:v>193.06685913105227</c:v>
                </c:pt>
                <c:pt idx="33">
                  <c:v>198.94708709494088</c:v>
                </c:pt>
                <c:pt idx="34">
                  <c:v>204.82328431744494</c:v>
                </c:pt>
                <c:pt idx="35">
                  <c:v>210.69558296147815</c:v>
                </c:pt>
                <c:pt idx="36">
                  <c:v>216.56410720823988</c:v>
                </c:pt>
                <c:pt idx="37">
                  <c:v>222.42897394740962</c:v>
                </c:pt>
                <c:pt idx="38">
                  <c:v>228.29029339062734</c:v>
                </c:pt>
                <c:pt idx="39">
                  <c:v>234.14816961857983</c:v>
                </c:pt>
                <c:pt idx="40">
                  <c:v>240.00270107039773</c:v>
                </c:pt>
                <c:pt idx="41">
                  <c:v>245.85398098273421</c:v>
                </c:pt>
                <c:pt idx="42">
                  <c:v>251.70209778480128</c:v>
                </c:pt>
                <c:pt idx="43">
                  <c:v>257.54713545472373</c:v>
                </c:pt>
                <c:pt idx="44">
                  <c:v>263.3891738418094</c:v>
                </c:pt>
                <c:pt idx="45">
                  <c:v>269.22828895869691</c:v>
                </c:pt>
                <c:pt idx="46">
                  <c:v>183.28092945768654</c:v>
                </c:pt>
                <c:pt idx="47">
                  <c:v>193.08094602527055</c:v>
                </c:pt>
                <c:pt idx="48">
                  <c:v>202.86939452373306</c:v>
                </c:pt>
                <c:pt idx="49">
                  <c:v>212.64691234113602</c:v>
                </c:pt>
                <c:pt idx="50">
                  <c:v>222.41407339771004</c:v>
                </c:pt>
                <c:pt idx="51">
                  <c:v>232.17139703641922</c:v>
                </c:pt>
                <c:pt idx="52">
                  <c:v>241.91935533881721</c:v>
                </c:pt>
                <c:pt idx="53">
                  <c:v>251.65837919865317</c:v>
                </c:pt>
                <c:pt idx="54">
                  <c:v>261.38886340508333</c:v>
                </c:pt>
                <c:pt idx="55">
                  <c:v>271.11117092861588</c:v>
                </c:pt>
                <c:pt idx="56">
                  <c:v>280.82563655953862</c:v>
                </c:pt>
                <c:pt idx="57">
                  <c:v>290.5325700161398</c:v>
                </c:pt>
                <c:pt idx="58">
                  <c:v>300.23225861548934</c:v>
                </c:pt>
                <c:pt idx="59">
                  <c:v>309.92496958078249</c:v>
                </c:pt>
                <c:pt idx="60">
                  <c:v>319.61095204475924</c:v>
                </c:pt>
                <c:pt idx="61">
                  <c:v>236.02841190851601</c:v>
                </c:pt>
                <c:pt idx="62">
                  <c:v>244.83100261582658</c:v>
                </c:pt>
                <c:pt idx="63">
                  <c:v>253.62640270716403</c:v>
                </c:pt>
                <c:pt idx="64">
                  <c:v>262.41489695067054</c:v>
                </c:pt>
                <c:pt idx="65">
                  <c:v>271.19674946374869</c:v>
                </c:pt>
                <c:pt idx="66">
                  <c:v>279.97220584550934</c:v>
                </c:pt>
                <c:pt idx="67">
                  <c:v>288.74149502764107</c:v>
                </c:pt>
                <c:pt idx="68">
                  <c:v>297.50483088848608</c:v>
                </c:pt>
                <c:pt idx="69">
                  <c:v>306.26241366684576</c:v>
                </c:pt>
                <c:pt idx="70">
                  <c:v>315.0144312055026</c:v>
                </c:pt>
                <c:pt idx="71">
                  <c:v>323.76106004922798</c:v>
                </c:pt>
                <c:pt idx="72">
                  <c:v>332.50246641785844</c:v>
                </c:pt>
                <c:pt idx="73">
                  <c:v>341.23880707163499</c:v>
                </c:pt>
                <c:pt idx="74">
                  <c:v>349.97023008324396</c:v>
                </c:pt>
                <c:pt idx="75">
                  <c:v>358.69687552874581</c:v>
                </c:pt>
                <c:pt idx="76">
                  <c:v>270.23138830061589</c:v>
                </c:pt>
                <c:pt idx="77">
                  <c:v>278.38234296829404</c:v>
                </c:pt>
                <c:pt idx="78">
                  <c:v>286.52794345240267</c:v>
                </c:pt>
                <c:pt idx="79">
                  <c:v>294.6683635821874</c:v>
                </c:pt>
                <c:pt idx="80">
                  <c:v>302.80376678924273</c:v>
                </c:pt>
                <c:pt idx="81">
                  <c:v>310.93430699825154</c:v>
                </c:pt>
                <c:pt idx="82">
                  <c:v>319.0601294196162</c:v>
                </c:pt>
                <c:pt idx="83">
                  <c:v>327.18137125706522</c:v>
                </c:pt>
                <c:pt idx="84">
                  <c:v>335.29816234128407</c:v>
                </c:pt>
                <c:pt idx="85">
                  <c:v>343.41062569894484</c:v>
                </c:pt>
                <c:pt idx="86">
                  <c:v>351.51887806512553</c:v>
                </c:pt>
                <c:pt idx="87">
                  <c:v>359.62303034595283</c:v>
                </c:pt>
                <c:pt idx="88">
                  <c:v>367.72318803734152</c:v>
                </c:pt>
                <c:pt idx="89">
                  <c:v>375.81945160489227</c:v>
                </c:pt>
                <c:pt idx="90">
                  <c:v>383.91191682932634</c:v>
                </c:pt>
                <c:pt idx="91">
                  <c:v>306.96009774119119</c:v>
                </c:pt>
                <c:pt idx="92">
                  <c:v>314.64255146133451</c:v>
                </c:pt>
                <c:pt idx="93">
                  <c:v>322.32084752710665</c:v>
                </c:pt>
                <c:pt idx="94">
                  <c:v>329.99509904448831</c:v>
                </c:pt>
                <c:pt idx="95">
                  <c:v>337.66541342459681</c:v>
                </c:pt>
                <c:pt idx="96">
                  <c:v>345.33189279612753</c:v>
                </c:pt>
                <c:pt idx="97">
                  <c:v>352.99463437923288</c:v>
                </c:pt>
                <c:pt idx="98">
                  <c:v>360.65373082522109</c:v>
                </c:pt>
                <c:pt idx="99">
                  <c:v>368.30927052587504</c:v>
                </c:pt>
                <c:pt idx="100">
                  <c:v>375.96133789569586</c:v>
                </c:pt>
                <c:pt idx="101">
                  <c:v>263.67033735534534</c:v>
                </c:pt>
                <c:pt idx="102">
                  <c:v>270.35035100055001</c:v>
                </c:pt>
                <c:pt idx="103">
                  <c:v>277.02665075523413</c:v>
                </c:pt>
                <c:pt idx="104">
                  <c:v>283.6993388660099</c:v>
                </c:pt>
                <c:pt idx="105">
                  <c:v>290.36851237106686</c:v>
                </c:pt>
                <c:pt idx="106">
                  <c:v>297.03426348170086</c:v>
                </c:pt>
                <c:pt idx="107">
                  <c:v>303.69667992777153</c:v>
                </c:pt>
                <c:pt idx="108">
                  <c:v>310.35584527123336</c:v>
                </c:pt>
                <c:pt idx="109">
                  <c:v>317.01183919132581</c:v>
                </c:pt>
                <c:pt idx="110">
                  <c:v>323.66473774454056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3.8233698435564936</c:v>
                </c:pt>
                <c:pt idx="2">
                  <c:v>5.0143447024552055</c:v>
                </c:pt>
                <c:pt idx="3">
                  <c:v>6.5777791593694097</c:v>
                </c:pt>
                <c:pt idx="4">
                  <c:v>8.6305867471824591</c:v>
                </c:pt>
                <c:pt idx="5">
                  <c:v>11.326506127324572</c:v>
                </c:pt>
                <c:pt idx="6">
                  <c:v>14.867737022558529</c:v>
                </c:pt>
                <c:pt idx="7">
                  <c:v>19.520263549281974</c:v>
                </c:pt>
                <c:pt idx="8">
                  <c:v>25.634036574850594</c:v>
                </c:pt>
                <c:pt idx="9">
                  <c:v>33.669559888898441</c:v>
                </c:pt>
                <c:pt idx="10">
                  <c:v>44.232917251258137</c:v>
                </c:pt>
                <c:pt idx="11">
                  <c:v>43.556482261270965</c:v>
                </c:pt>
                <c:pt idx="12">
                  <c:v>50.626020725038352</c:v>
                </c:pt>
                <c:pt idx="13">
                  <c:v>57.669385833792319</c:v>
                </c:pt>
                <c:pt idx="14">
                  <c:v>64.690236853334284</c:v>
                </c:pt>
                <c:pt idx="15">
                  <c:v>71.691369456276377</c:v>
                </c:pt>
                <c:pt idx="16">
                  <c:v>78.67498614892385</c:v>
                </c:pt>
                <c:pt idx="17">
                  <c:v>85.642864924402303</c:v>
                </c:pt>
                <c:pt idx="18">
                  <c:v>92.596469808359018</c:v>
                </c:pt>
                <c:pt idx="19">
                  <c:v>99.53702628039197</c:v>
                </c:pt>
                <c:pt idx="20">
                  <c:v>106.46557445890734</c:v>
                </c:pt>
                <c:pt idx="21">
                  <c:v>96.029318408580252</c:v>
                </c:pt>
                <c:pt idx="22">
                  <c:v>102.92489334118791</c:v>
                </c:pt>
                <c:pt idx="23">
                  <c:v>109.80904256658486</c:v>
                </c:pt>
                <c:pt idx="24">
                  <c:v>116.68258488725512</c:v>
                </c:pt>
                <c:pt idx="25">
                  <c:v>123.5462345177654</c:v>
                </c:pt>
                <c:pt idx="26">
                  <c:v>130.4006196460993</c:v>
                </c:pt>
                <c:pt idx="27">
                  <c:v>137.24629687643241</c:v>
                </c:pt>
                <c:pt idx="28">
                  <c:v>144.08376263156248</c:v>
                </c:pt>
                <c:pt idx="29">
                  <c:v>150.91346227207649</c:v>
                </c:pt>
                <c:pt idx="30">
                  <c:v>157.73579747435335</c:v>
                </c:pt>
                <c:pt idx="31">
                  <c:v>140.78191504089094</c:v>
                </c:pt>
                <c:pt idx="32">
                  <c:v>146.97862713380144</c:v>
                </c:pt>
                <c:pt idx="33">
                  <c:v>153.16909806574992</c:v>
                </c:pt>
                <c:pt idx="34">
                  <c:v>159.353616165066</c:v>
                </c:pt>
                <c:pt idx="35">
                  <c:v>165.53244550598095</c:v>
                </c:pt>
                <c:pt idx="36">
                  <c:v>171.70582879871174</c:v>
                </c:pt>
                <c:pt idx="37">
                  <c:v>177.87398984132099</c:v>
                </c:pt>
                <c:pt idx="38">
                  <c:v>184.03713561302411</c:v>
                </c:pt>
                <c:pt idx="39">
                  <c:v>190.1954580718909</c:v>
                </c:pt>
                <c:pt idx="40">
                  <c:v>196.34913570711549</c:v>
                </c:pt>
                <c:pt idx="41">
                  <c:v>174.14680405499124</c:v>
                </c:pt>
                <c:pt idx="42">
                  <c:v>179.77529877070916</c:v>
                </c:pt>
                <c:pt idx="43">
                  <c:v>185.39966575757094</c:v>
                </c:pt>
                <c:pt idx="44">
                  <c:v>191.02004815192012</c:v>
                </c:pt>
                <c:pt idx="45">
                  <c:v>196.6365799627647</c:v>
                </c:pt>
                <c:pt idx="46">
                  <c:v>202.24938690384752</c:v>
                </c:pt>
                <c:pt idx="47">
                  <c:v>207.85858712835793</c:v>
                </c:pt>
                <c:pt idx="48">
                  <c:v>213.46429188005413</c:v>
                </c:pt>
                <c:pt idx="49">
                  <c:v>219.06660607230086</c:v>
                </c:pt>
                <c:pt idx="50">
                  <c:v>224.66562880468175</c:v>
                </c:pt>
                <c:pt idx="51">
                  <c:v>200.71724267943128</c:v>
                </c:pt>
                <c:pt idx="52">
                  <c:v>205.65744664330236</c:v>
                </c:pt>
                <c:pt idx="53">
                  <c:v>210.59490720234439</c:v>
                </c:pt>
                <c:pt idx="54">
                  <c:v>215.52969788324845</c:v>
                </c:pt>
                <c:pt idx="55">
                  <c:v>220.46188856421978</c:v>
                </c:pt>
                <c:pt idx="56">
                  <c:v>225.39154573547674</c:v>
                </c:pt>
                <c:pt idx="57">
                  <c:v>230.3187327357314</c:v>
                </c:pt>
                <c:pt idx="58">
                  <c:v>235.24350996734219</c:v>
                </c:pt>
                <c:pt idx="59">
                  <c:v>240.16593509248011</c:v>
                </c:pt>
                <c:pt idx="60">
                  <c:v>245.08606321234674</c:v>
                </c:pt>
                <c:pt idx="61">
                  <c:v>218.91368600822582</c:v>
                </c:pt>
                <c:pt idx="62">
                  <c:v>223.4811224781939</c:v>
                </c:pt>
                <c:pt idx="63">
                  <c:v>228.04641847643322</c:v>
                </c:pt>
                <c:pt idx="64">
                  <c:v>232.60962298715472</c:v>
                </c:pt>
                <c:pt idx="65">
                  <c:v>237.17078291201813</c:v>
                </c:pt>
                <c:pt idx="66">
                  <c:v>241.72994319794586</c:v>
                </c:pt>
                <c:pt idx="67">
                  <c:v>246.28714695477595</c:v>
                </c:pt>
                <c:pt idx="68">
                  <c:v>250.84243556373681</c:v>
                </c:pt>
                <c:pt idx="69">
                  <c:v>255.39584877761911</c:v>
                </c:pt>
                <c:pt idx="70">
                  <c:v>259.94742481341973</c:v>
                </c:pt>
                <c:pt idx="71">
                  <c:v>234.07933907126559</c:v>
                </c:pt>
                <c:pt idx="72">
                  <c:v>238.14382445289721</c:v>
                </c:pt>
                <c:pt idx="73">
                  <c:v>242.20672904935159</c:v>
                </c:pt>
                <c:pt idx="74">
                  <c:v>246.26808317472839</c:v>
                </c:pt>
                <c:pt idx="75">
                  <c:v>250.32791605965608</c:v>
                </c:pt>
                <c:pt idx="76">
                  <c:v>254.38625590737027</c:v>
                </c:pt>
                <c:pt idx="77">
                  <c:v>258.44312994601995</c:v>
                </c:pt>
                <c:pt idx="78">
                  <c:v>262.49856447751262</c:v>
                </c:pt>
                <c:pt idx="79">
                  <c:v>266.55258492317927</c:v>
                </c:pt>
                <c:pt idx="80">
                  <c:v>270.60521586651066</c:v>
                </c:pt>
                <c:pt idx="81">
                  <c:v>243.77043698202598</c:v>
                </c:pt>
                <c:pt idx="82">
                  <c:v>247.60246697597574</c:v>
                </c:pt>
                <c:pt idx="83">
                  <c:v>251.43315066899413</c:v>
                </c:pt>
                <c:pt idx="84">
                  <c:v>255.26251150980488</c:v>
                </c:pt>
                <c:pt idx="85">
                  <c:v>259.0905721847592</c:v>
                </c:pt>
                <c:pt idx="86">
                  <c:v>262.91735465378332</c:v>
                </c:pt>
                <c:pt idx="87">
                  <c:v>266.74288018412</c:v>
                </c:pt>
                <c:pt idx="88">
                  <c:v>270.56716938203027</c:v>
                </c:pt>
                <c:pt idx="89">
                  <c:v>274.39024222260673</c:v>
                </c:pt>
                <c:pt idx="90">
                  <c:v>278.21211807783556</c:v>
                </c:pt>
                <c:pt idx="91">
                  <c:v>252.36679750176322</c:v>
                </c:pt>
                <c:pt idx="92">
                  <c:v>255.83394585286172</c:v>
                </c:pt>
                <c:pt idx="93">
                  <c:v>259.30003095630786</c:v>
                </c:pt>
                <c:pt idx="94">
                  <c:v>262.76506906057404</c:v>
                </c:pt>
                <c:pt idx="95">
                  <c:v>266.22907594974942</c:v>
                </c:pt>
                <c:pt idx="96">
                  <c:v>269.69206696282328</c:v>
                </c:pt>
                <c:pt idx="97">
                  <c:v>273.15405701192481</c:v>
                </c:pt>
                <c:pt idx="98">
                  <c:v>276.61506059958805</c:v>
                </c:pt>
                <c:pt idx="99">
                  <c:v>280.07509183510609</c:v>
                </c:pt>
                <c:pt idx="100">
                  <c:v>283.53416445003444</c:v>
                </c:pt>
                <c:pt idx="101">
                  <c:v>258.90015179797018</c:v>
                </c:pt>
                <c:pt idx="102">
                  <c:v>262.04168526188482</c:v>
                </c:pt>
                <c:pt idx="103">
                  <c:v>265.18236848568216</c:v>
                </c:pt>
                <c:pt idx="104">
                  <c:v>268.32221298215927</c:v>
                </c:pt>
                <c:pt idx="105">
                  <c:v>271.46122997212092</c:v>
                </c:pt>
                <c:pt idx="106">
                  <c:v>274.59943039515508</c:v>
                </c:pt>
                <c:pt idx="107">
                  <c:v>277.73682491988922</c:v>
                </c:pt>
                <c:pt idx="108">
                  <c:v>280.87342395375975</c:v>
                </c:pt>
                <c:pt idx="109">
                  <c:v>284.00923765231937</c:v>
                </c:pt>
                <c:pt idx="110">
                  <c:v>287.14427592811313</c:v>
                </c:pt>
                <c:pt idx="111">
                  <c:v>263.60261520296098</c:v>
                </c:pt>
                <c:pt idx="112">
                  <c:v>266.49549574781912</c:v>
                </c:pt>
                <c:pt idx="113">
                  <c:v>269.38766853677572</c:v>
                </c:pt>
                <c:pt idx="114">
                  <c:v>272.27914225751755</c:v>
                </c:pt>
                <c:pt idx="115">
                  <c:v>275.16992539776271</c:v>
                </c:pt>
                <c:pt idx="116">
                  <c:v>278.0600262519655</c:v>
                </c:pt>
                <c:pt idx="117">
                  <c:v>280.94945292772752</c:v>
                </c:pt>
                <c:pt idx="118">
                  <c:v>283.83821335193062</c:v>
                </c:pt>
                <c:pt idx="119">
                  <c:v>286.7263152766069</c:v>
                </c:pt>
                <c:pt idx="120">
                  <c:v>289.61376628455901</c:v>
                </c:pt>
                <c:pt idx="121">
                  <c:v>267.16151899042177</c:v>
                </c:pt>
                <c:pt idx="122">
                  <c:v>269.8062143776886</c:v>
                </c:pt>
                <c:pt idx="123">
                  <c:v>272.45032620050972</c:v>
                </c:pt>
                <c:pt idx="124">
                  <c:v>275.09386093437359</c:v>
                </c:pt>
                <c:pt idx="125">
                  <c:v>277.73682491988922</c:v>
                </c:pt>
                <c:pt idx="126">
                  <c:v>280.37922436688291</c:v>
                </c:pt>
                <c:pt idx="127">
                  <c:v>283.02106535833212</c:v>
                </c:pt>
                <c:pt idx="128">
                  <c:v>285.66235385414456</c:v>
                </c:pt>
                <c:pt idx="129">
                  <c:v>288.30309569478993</c:v>
                </c:pt>
                <c:pt idx="130">
                  <c:v>290.94329660479133</c:v>
                </c:pt>
                <c:pt idx="131">
                  <c:v>269.61596808192581</c:v>
                </c:pt>
                <c:pt idx="132">
                  <c:v>272.05089323383032</c:v>
                </c:pt>
                <c:pt idx="133">
                  <c:v>274.48532819979187</c:v>
                </c:pt>
                <c:pt idx="134">
                  <c:v>276.91927795084678</c:v>
                </c:pt>
                <c:pt idx="135">
                  <c:v>279.35274736332298</c:v>
                </c:pt>
                <c:pt idx="136">
                  <c:v>281.78574122147296</c:v>
                </c:pt>
                <c:pt idx="137">
                  <c:v>284.21826422001146</c:v>
                </c:pt>
                <c:pt idx="138">
                  <c:v>286.65032096656154</c:v>
                </c:pt>
                <c:pt idx="139">
                  <c:v>289.08191598401214</c:v>
                </c:pt>
                <c:pt idx="140">
                  <c:v>291.51305371279398</c:v>
                </c:pt>
                <c:pt idx="141">
                  <c:v>271.34709827194672</c:v>
                </c:pt>
                <c:pt idx="142">
                  <c:v>273.61050924534271</c:v>
                </c:pt>
                <c:pt idx="143">
                  <c:v>275.87349930475267</c:v>
                </c:pt>
                <c:pt idx="144">
                  <c:v>278.13607239826348</c:v>
                </c:pt>
                <c:pt idx="145">
                  <c:v>280.39823240434333</c:v>
                </c:pt>
                <c:pt idx="146">
                  <c:v>282.65998313363383</c:v>
                </c:pt>
                <c:pt idx="147">
                  <c:v>284.92132833068223</c:v>
                </c:pt>
                <c:pt idx="148">
                  <c:v>287.18227167561616</c:v>
                </c:pt>
                <c:pt idx="149">
                  <c:v>289.4428167857622</c:v>
                </c:pt>
                <c:pt idx="150">
                  <c:v>291.70296721721144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3.0393604515064205</c:v>
                </c:pt>
                <c:pt idx="2">
                  <c:v>3.4795677711350321</c:v>
                </c:pt>
                <c:pt idx="3">
                  <c:v>3.9837589500712558</c:v>
                </c:pt>
                <c:pt idx="4">
                  <c:v>4.5612650539315718</c:v>
                </c:pt>
                <c:pt idx="5">
                  <c:v>5.2227821886804113</c:v>
                </c:pt>
                <c:pt idx="6">
                  <c:v>5.9805717712453488</c:v>
                </c:pt>
                <c:pt idx="7">
                  <c:v>6.8486902613431795</c:v>
                </c:pt>
                <c:pt idx="8">
                  <c:v>7.8432526991315621</c:v>
                </c:pt>
                <c:pt idx="9">
                  <c:v>8.9827350354382265</c:v>
                </c:pt>
                <c:pt idx="10">
                  <c:v>10.288320978559449</c:v>
                </c:pt>
                <c:pt idx="11">
                  <c:v>11.784299928073212</c:v>
                </c:pt>
                <c:pt idx="12">
                  <c:v>13.498523537988332</c:v>
                </c:pt>
                <c:pt idx="13">
                  <c:v>15.46292956746686</c:v>
                </c:pt>
                <c:pt idx="14">
                  <c:v>17.714142958699508</c:v>
                </c:pt>
                <c:pt idx="15">
                  <c:v>20.294165552849098</c:v>
                </c:pt>
                <c:pt idx="16">
                  <c:v>23.251167544525455</c:v>
                </c:pt>
                <c:pt idx="17">
                  <c:v>26.640395715436366</c:v>
                </c:pt>
                <c:pt idx="18">
                  <c:v>30.525215715914673</c:v>
                </c:pt>
                <c:pt idx="19">
                  <c:v>34.978308221737791</c:v>
                </c:pt>
                <c:pt idx="20">
                  <c:v>40.083041732185485</c:v>
                </c:pt>
                <c:pt idx="21">
                  <c:v>45.935048150096925</c:v>
                </c:pt>
                <c:pt idx="22">
                  <c:v>52.644031160668163</c:v>
                </c:pt>
                <c:pt idx="23">
                  <c:v>60.335841877419888</c:v>
                </c:pt>
                <c:pt idx="24">
                  <c:v>69.154861336806178</c:v>
                </c:pt>
                <c:pt idx="25">
                  <c:v>79.266735295735387</c:v>
                </c:pt>
                <c:pt idx="26">
                  <c:v>90.861513531898709</c:v>
                </c:pt>
                <c:pt idx="27">
                  <c:v>104.15725359516928</c:v>
                </c:pt>
                <c:pt idx="28">
                  <c:v>119.40415785872376</c:v>
                </c:pt>
                <c:pt idx="29">
                  <c:v>136.88932294248647</c:v>
                </c:pt>
                <c:pt idx="30">
                  <c:v>156.94219232610644</c:v>
                </c:pt>
                <c:pt idx="31">
                  <c:v>107.50123164632545</c:v>
                </c:pt>
                <c:pt idx="32">
                  <c:v>115.13835304230435</c:v>
                </c:pt>
                <c:pt idx="33">
                  <c:v>122.76308180815255</c:v>
                </c:pt>
                <c:pt idx="34">
                  <c:v>130.37629756084036</c:v>
                </c:pt>
                <c:pt idx="35">
                  <c:v>137.97876857105169</c:v>
                </c:pt>
                <c:pt idx="36">
                  <c:v>127.44944897876276</c:v>
                </c:pt>
                <c:pt idx="37">
                  <c:v>134.47122589476353</c:v>
                </c:pt>
                <c:pt idx="38">
                  <c:v>141.48416759947003</c:v>
                </c:pt>
                <c:pt idx="39">
                  <c:v>148.48877459401754</c:v>
                </c:pt>
                <c:pt idx="40">
                  <c:v>155.48549620735272</c:v>
                </c:pt>
                <c:pt idx="41">
                  <c:v>144.69561886362825</c:v>
                </c:pt>
                <c:pt idx="42">
                  <c:v>151.40500936392922</c:v>
                </c:pt>
                <c:pt idx="43">
                  <c:v>158.10731788868642</c:v>
                </c:pt>
                <c:pt idx="44">
                  <c:v>164.80288754312872</c:v>
                </c:pt>
                <c:pt idx="45">
                  <c:v>171.49203122275779</c:v>
                </c:pt>
                <c:pt idx="46">
                  <c:v>160.14579838071174</c:v>
                </c:pt>
                <c:pt idx="47">
                  <c:v>166.25758557401886</c:v>
                </c:pt>
                <c:pt idx="48">
                  <c:v>172.36406974998775</c:v>
                </c:pt>
                <c:pt idx="49">
                  <c:v>178.46546564751853</c:v>
                </c:pt>
                <c:pt idx="50">
                  <c:v>184.56197209492402</c:v>
                </c:pt>
                <c:pt idx="51">
                  <c:v>174.39842361787248</c:v>
                </c:pt>
                <c:pt idx="52">
                  <c:v>180.20781522977668</c:v>
                </c:pt>
                <c:pt idx="53">
                  <c:v>186.01282115739264</c:v>
                </c:pt>
                <c:pt idx="54">
                  <c:v>191.8135978411749</c:v>
                </c:pt>
                <c:pt idx="55">
                  <c:v>197.61029146872465</c:v>
                </c:pt>
                <c:pt idx="56">
                  <c:v>186.88320359086833</c:v>
                </c:pt>
                <c:pt idx="57">
                  <c:v>192.10352832103396</c:v>
                </c:pt>
                <c:pt idx="58">
                  <c:v>197.32055161106891</c:v>
                </c:pt>
                <c:pt idx="59">
                  <c:v>202.5343732425579</c:v>
                </c:pt>
                <c:pt idx="60">
                  <c:v>207.74508743008121</c:v>
                </c:pt>
                <c:pt idx="61">
                  <c:v>197.61029146872457</c:v>
                </c:pt>
                <c:pt idx="62">
                  <c:v>201.95521485937357</c:v>
                </c:pt>
                <c:pt idx="63">
                  <c:v>206.29797330548081</c:v>
                </c:pt>
                <c:pt idx="64">
                  <c:v>210.63861891400839</c:v>
                </c:pt>
                <c:pt idx="65">
                  <c:v>214.97720146441895</c:v>
                </c:pt>
                <c:pt idx="66">
                  <c:v>206.29797330548072</c:v>
                </c:pt>
                <c:pt idx="67">
                  <c:v>210.63861891400833</c:v>
                </c:pt>
                <c:pt idx="68">
                  <c:v>214.97720146441893</c:v>
                </c:pt>
                <c:pt idx="69">
                  <c:v>219.31376855860893</c:v>
                </c:pt>
                <c:pt idx="70">
                  <c:v>223.64836575834181</c:v>
                </c:pt>
                <c:pt idx="71">
                  <c:v>214.68802584616799</c:v>
                </c:pt>
                <c:pt idx="72">
                  <c:v>218.73567440330328</c:v>
                </c:pt>
                <c:pt idx="73">
                  <c:v>222.78160178825965</c:v>
                </c:pt>
                <c:pt idx="74">
                  <c:v>226.82584373938437</c:v>
                </c:pt>
                <c:pt idx="75">
                  <c:v>230.86843461387113</c:v>
                </c:pt>
                <c:pt idx="76">
                  <c:v>222.78160178825965</c:v>
                </c:pt>
                <c:pt idx="77">
                  <c:v>226.24819676241668</c:v>
                </c:pt>
                <c:pt idx="78">
                  <c:v>229.71357517594777</c:v>
                </c:pt>
                <c:pt idx="79">
                  <c:v>233.17775801424864</c:v>
                </c:pt>
                <c:pt idx="80">
                  <c:v>236.64076558688865</c:v>
                </c:pt>
                <c:pt idx="81">
                  <c:v>228.84734346568385</c:v>
                </c:pt>
                <c:pt idx="82">
                  <c:v>232.60047636388106</c:v>
                </c:pt>
                <c:pt idx="83">
                  <c:v>236.35222602710692</c:v>
                </c:pt>
                <c:pt idx="84">
                  <c:v>240.10261755917998</c:v>
                </c:pt>
                <c:pt idx="85">
                  <c:v>243.85167521400328</c:v>
                </c:pt>
                <c:pt idx="86">
                  <c:v>235.77512278871259</c:v>
                </c:pt>
                <c:pt idx="87">
                  <c:v>239.23726185156889</c:v>
                </c:pt>
                <c:pt idx="88">
                  <c:v>242.69825965817122</c:v>
                </c:pt>
                <c:pt idx="89">
                  <c:v>246.15813481665387</c:v>
                </c:pt>
                <c:pt idx="90">
                  <c:v>249.61690536823664</c:v>
                </c:pt>
                <c:pt idx="91">
                  <c:v>241.83311617177449</c:v>
                </c:pt>
                <c:pt idx="92">
                  <c:v>245.58156614610607</c:v>
                </c:pt>
                <c:pt idx="93">
                  <c:v>249.32871624827706</c:v>
                </c:pt>
                <c:pt idx="94">
                  <c:v>253.07458881229704</c:v>
                </c:pt>
                <c:pt idx="95">
                  <c:v>256.81920545571342</c:v>
                </c:pt>
                <c:pt idx="96">
                  <c:v>247.31118019286521</c:v>
                </c:pt>
                <c:pt idx="97">
                  <c:v>250.76958645696223</c:v>
                </c:pt>
                <c:pt idx="98">
                  <c:v>254.22691133037677</c:v>
                </c:pt>
                <c:pt idx="99">
                  <c:v>257.68317162655029</c:v>
                </c:pt>
                <c:pt idx="100">
                  <c:v>261.13838367014256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10.456419929936711</c:v>
                </c:pt>
                <c:pt idx="2">
                  <c:v>20.459167029721723</c:v>
                </c:pt>
                <c:pt idx="3">
                  <c:v>30.315400578319224</c:v>
                </c:pt>
                <c:pt idx="4">
                  <c:v>40.081319764970452</c:v>
                </c:pt>
                <c:pt idx="5">
                  <c:v>49.782395904570798</c:v>
                </c:pt>
                <c:pt idx="6">
                  <c:v>59.433158898593696</c:v>
                </c:pt>
                <c:pt idx="7">
                  <c:v>69.042975612712198</c:v>
                </c:pt>
                <c:pt idx="8">
                  <c:v>78.618370438671249</c:v>
                </c:pt>
                <c:pt idx="9">
                  <c:v>88.164138887400284</c:v>
                </c:pt>
                <c:pt idx="10">
                  <c:v>97.683948283117005</c:v>
                </c:pt>
                <c:pt idx="11">
                  <c:v>107.18069004154528</c:v>
                </c:pt>
                <c:pt idx="12">
                  <c:v>116.6566997133511</c:v>
                </c:pt>
                <c:pt idx="13">
                  <c:v>126.1139013935974</c:v>
                </c:pt>
                <c:pt idx="14">
                  <c:v>135.55390634718643</c:v>
                </c:pt>
                <c:pt idx="15">
                  <c:v>144.97808261519626</c:v>
                </c:pt>
                <c:pt idx="16">
                  <c:v>154.3876055137076</c:v>
                </c:pt>
                <c:pt idx="17">
                  <c:v>163.78349514065653</c:v>
                </c:pt>
                <c:pt idx="18">
                  <c:v>173.16664480291877</c:v>
                </c:pt>
                <c:pt idx="19">
                  <c:v>182.53784294515813</c:v>
                </c:pt>
                <c:pt idx="20">
                  <c:v>191.89779033037416</c:v>
                </c:pt>
                <c:pt idx="21">
                  <c:v>201.24711368669179</c:v>
                </c:pt>
                <c:pt idx="22">
                  <c:v>210.58637668111251</c:v>
                </c:pt>
                <c:pt idx="23">
                  <c:v>219.91608884163847</c:v>
                </c:pt>
                <c:pt idx="24">
                  <c:v>229.2367128839384</c:v>
                </c:pt>
                <c:pt idx="25">
                  <c:v>238.54867078249427</c:v>
                </c:pt>
                <c:pt idx="26">
                  <c:v>247.85234884302153</c:v>
                </c:pt>
                <c:pt idx="27">
                  <c:v>257.14810197256651</c:v>
                </c:pt>
                <c:pt idx="28">
                  <c:v>266.43625729921371</c:v>
                </c:pt>
                <c:pt idx="29">
                  <c:v>275.71711726016053</c:v>
                </c:pt>
                <c:pt idx="30">
                  <c:v>284.99096225188504</c:v>
                </c:pt>
                <c:pt idx="31">
                  <c:v>294.25805291702977</c:v>
                </c:pt>
                <c:pt idx="32">
                  <c:v>303.51863212791704</c:v>
                </c:pt>
                <c:pt idx="33">
                  <c:v>312.77292671515772</c:v>
                </c:pt>
                <c:pt idx="34">
                  <c:v>322.02114898084585</c:v>
                </c:pt>
                <c:pt idx="35">
                  <c:v>331.26349802872716</c:v>
                </c:pt>
                <c:pt idx="36">
                  <c:v>340.50016093807625</c:v>
                </c:pt>
                <c:pt idx="37">
                  <c:v>349.73131380347536</c:v>
                </c:pt>
                <c:pt idx="38">
                  <c:v>358.95712265902421</c:v>
                </c:pt>
                <c:pt idx="39">
                  <c:v>216.41332970439461</c:v>
                </c:pt>
                <c:pt idx="40">
                  <c:v>239.17720708947249</c:v>
                </c:pt>
                <c:pt idx="41">
                  <c:v>261.89173640603332</c:v>
                </c:pt>
                <c:pt idx="42">
                  <c:v>284.56179835243455</c:v>
                </c:pt>
                <c:pt idx="43">
                  <c:v>307.1914321187167</c:v>
                </c:pt>
                <c:pt idx="44">
                  <c:v>329.78403311245108</c:v>
                </c:pt>
                <c:pt idx="45">
                  <c:v>352.3424935764595</c:v>
                </c:pt>
                <c:pt idx="46">
                  <c:v>279.36746368278273</c:v>
                </c:pt>
                <c:pt idx="47">
                  <c:v>302.4407068263049</c:v>
                </c:pt>
                <c:pt idx="48">
                  <c:v>325.47478505586827</c:v>
                </c:pt>
                <c:pt idx="49">
                  <c:v>348.47285814544199</c:v>
                </c:pt>
                <c:pt idx="50">
                  <c:v>371.43763484501079</c:v>
                </c:pt>
                <c:pt idx="51">
                  <c:v>394.3714617444582</c:v>
                </c:pt>
                <c:pt idx="52">
                  <c:v>417.27639037381169</c:v>
                </c:pt>
                <c:pt idx="53">
                  <c:v>338.09991414791068</c:v>
                </c:pt>
                <c:pt idx="54">
                  <c:v>360.80716410152644</c:v>
                </c:pt>
                <c:pt idx="55">
                  <c:v>383.48317271005044</c:v>
                </c:pt>
                <c:pt idx="56">
                  <c:v>406.13004575875283</c:v>
                </c:pt>
                <c:pt idx="57">
                  <c:v>428.74963514762658</c:v>
                </c:pt>
                <c:pt idx="58">
                  <c:v>451.34358155451793</c:v>
                </c:pt>
                <c:pt idx="59">
                  <c:v>473.91334810944858</c:v>
                </c:pt>
                <c:pt idx="60">
                  <c:v>400.6124929737191</c:v>
                </c:pt>
                <c:pt idx="61">
                  <c:v>422.94030373624128</c:v>
                </c:pt>
                <c:pt idx="62">
                  <c:v>445.24275110321702</c:v>
                </c:pt>
                <c:pt idx="63">
                  <c:v>467.52128319675768</c:v>
                </c:pt>
                <c:pt idx="64">
                  <c:v>489.77719896917915</c:v>
                </c:pt>
                <c:pt idx="65">
                  <c:v>512.01166978636945</c:v>
                </c:pt>
                <c:pt idx="66">
                  <c:v>534.22575706797772</c:v>
                </c:pt>
                <c:pt idx="67">
                  <c:v>556.42042684202681</c:v>
                </c:pt>
                <c:pt idx="68">
                  <c:v>481.48157884405776</c:v>
                </c:pt>
                <c:pt idx="69">
                  <c:v>503.50450353369575</c:v>
                </c:pt>
                <c:pt idx="70">
                  <c:v>525.50705871911032</c:v>
                </c:pt>
                <c:pt idx="71">
                  <c:v>547.49021645825394</c:v>
                </c:pt>
                <c:pt idx="72">
                  <c:v>569.45486445269285</c:v>
                </c:pt>
                <c:pt idx="73">
                  <c:v>591.40181640504818</c:v>
                </c:pt>
                <c:pt idx="74">
                  <c:v>613.3318207599699</c:v>
                </c:pt>
                <c:pt idx="75">
                  <c:v>635.24556813081563</c:v>
                </c:pt>
                <c:pt idx="76">
                  <c:v>557.9303011671384</c:v>
                </c:pt>
                <c:pt idx="77">
                  <c:v>579.49437061279025</c:v>
                </c:pt>
                <c:pt idx="78">
                  <c:v>601.0417083219902</c:v>
                </c:pt>
                <c:pt idx="79">
                  <c:v>622.57299794008793</c:v>
                </c:pt>
                <c:pt idx="80">
                  <c:v>644.08887201809068</c:v>
                </c:pt>
                <c:pt idx="81">
                  <c:v>665.58991744488594</c:v>
                </c:pt>
                <c:pt idx="82">
                  <c:v>687.07668014164062</c:v>
                </c:pt>
                <c:pt idx="83">
                  <c:v>708.54966913897795</c:v>
                </c:pt>
                <c:pt idx="84">
                  <c:v>616.28352096154731</c:v>
                </c:pt>
                <c:pt idx="85">
                  <c:v>637.3280408187228</c:v>
                </c:pt>
                <c:pt idx="86">
                  <c:v>658.35820887283887</c:v>
                </c:pt>
                <c:pt idx="87">
                  <c:v>679.37454761631727</c:v>
                </c:pt>
                <c:pt idx="88">
                  <c:v>700.3775446144391</c:v>
                </c:pt>
                <c:pt idx="89">
                  <c:v>721.36765583853776</c:v>
                </c:pt>
                <c:pt idx="90">
                  <c:v>742.34530859144991</c:v>
                </c:pt>
                <c:pt idx="91">
                  <c:v>763.31090408544162</c:v>
                </c:pt>
                <c:pt idx="92">
                  <c:v>784.2648197224903</c:v>
                </c:pt>
                <c:pt idx="93">
                  <c:v>805.2074111184703</c:v>
                </c:pt>
                <c:pt idx="94">
                  <c:v>672.99221629850854</c:v>
                </c:pt>
                <c:pt idx="95">
                  <c:v>693.37648961420962</c:v>
                </c:pt>
                <c:pt idx="96">
                  <c:v>713.74849014684048</c:v>
                </c:pt>
                <c:pt idx="97">
                  <c:v>734.10861712397957</c:v>
                </c:pt>
                <c:pt idx="98">
                  <c:v>754.45724584792481</c:v>
                </c:pt>
                <c:pt idx="99">
                  <c:v>774.79472974909584</c:v>
                </c:pt>
                <c:pt idx="100">
                  <c:v>795.1214022128637</c:v>
                </c:pt>
                <c:pt idx="101">
                  <c:v>815.43757821007432</c:v>
                </c:pt>
                <c:pt idx="102">
                  <c:v>835.74355575682057</c:v>
                </c:pt>
                <c:pt idx="103">
                  <c:v>856.03961722513759</c:v>
                </c:pt>
                <c:pt idx="104">
                  <c:v>722.77047081753142</c:v>
                </c:pt>
                <c:pt idx="105">
                  <c:v>742.57144072777692</c:v>
                </c:pt>
                <c:pt idx="106">
                  <c:v>762.36167151861753</c:v>
                </c:pt>
                <c:pt idx="107">
                  <c:v>782.14148090873778</c:v>
                </c:pt>
                <c:pt idx="108">
                  <c:v>801.91116925557162</c:v>
                </c:pt>
                <c:pt idx="109">
                  <c:v>821.67102091720653</c:v>
                </c:pt>
                <c:pt idx="110">
                  <c:v>841.42130547662589</c:v>
                </c:pt>
                <c:pt idx="111">
                  <c:v>861.16227884517014</c:v>
                </c:pt>
                <c:pt idx="112">
                  <c:v>880.89418425967813</c:v>
                </c:pt>
                <c:pt idx="113">
                  <c:v>900.61725318575793</c:v>
                </c:pt>
                <c:pt idx="114">
                  <c:v>765.32229398494985</c:v>
                </c:pt>
                <c:pt idx="115">
                  <c:v>784.98311437515633</c:v>
                </c:pt>
                <c:pt idx="116">
                  <c:v>804.63397494404364</c:v>
                </c:pt>
                <c:pt idx="117">
                  <c:v>824.27515289823998</c:v>
                </c:pt>
                <c:pt idx="118">
                  <c:v>843.90691117254892</c:v>
                </c:pt>
                <c:pt idx="119">
                  <c:v>863.52949948630805</c:v>
                </c:pt>
                <c:pt idx="120">
                  <c:v>883.14315529885516</c:v>
                </c:pt>
                <c:pt idx="121">
                  <c:v>902.74810467581119</c:v>
                </c:pt>
                <c:pt idx="122">
                  <c:v>922.34456307629682</c:v>
                </c:pt>
                <c:pt idx="123">
                  <c:v>941.93273606986043</c:v>
                </c:pt>
                <c:pt idx="124">
                  <c:v>491.57338077028345</c:v>
                </c:pt>
                <c:pt idx="125">
                  <c:v>502.63253330701883</c:v>
                </c:pt>
                <c:pt idx="126">
                  <c:v>348.67801506682321</c:v>
                </c:pt>
                <c:pt idx="127">
                  <c:v>356.31618749430459</c:v>
                </c:pt>
                <c:pt idx="128">
                  <c:v>255.82716222376891</c:v>
                </c:pt>
                <c:pt idx="129">
                  <c:v>261.46337808167078</c:v>
                </c:pt>
                <c:pt idx="130">
                  <c:v>267.09685096483059</c:v>
                </c:pt>
                <c:pt idx="131">
                  <c:v>6.88254062580301E-12</c:v>
                </c:pt>
                <c:pt idx="132">
                  <c:v>6.88254062580301E-12</c:v>
                </c:pt>
                <c:pt idx="133">
                  <c:v>6.88254062580301E-12</c:v>
                </c:pt>
                <c:pt idx="134">
                  <c:v>6.88254062580301E-12</c:v>
                </c:pt>
                <c:pt idx="135">
                  <c:v>6.88254062580301E-12</c:v>
                </c:pt>
                <c:pt idx="136">
                  <c:v>6.88254062580301E-12</c:v>
                </c:pt>
                <c:pt idx="137">
                  <c:v>6.88254062580301E-12</c:v>
                </c:pt>
                <c:pt idx="138">
                  <c:v>6.88254062580301E-12</c:v>
                </c:pt>
                <c:pt idx="139">
                  <c:v>6.88254062580301E-12</c:v>
                </c:pt>
                <c:pt idx="140">
                  <c:v>6.88254062580301E-12</c:v>
                </c:pt>
                <c:pt idx="141">
                  <c:v>6.88254062580301E-12</c:v>
                </c:pt>
                <c:pt idx="142">
                  <c:v>6.88254062580301E-12</c:v>
                </c:pt>
                <c:pt idx="143">
                  <c:v>6.88254062580301E-12</c:v>
                </c:pt>
                <c:pt idx="144">
                  <c:v>6.88254062580301E-12</c:v>
                </c:pt>
                <c:pt idx="145">
                  <c:v>6.88254062580301E-12</c:v>
                </c:pt>
                <c:pt idx="146">
                  <c:v>6.88254062580301E-12</c:v>
                </c:pt>
                <c:pt idx="147">
                  <c:v>6.88254062580301E-12</c:v>
                </c:pt>
                <c:pt idx="148">
                  <c:v>6.88254062580301E-12</c:v>
                </c:pt>
                <c:pt idx="149">
                  <c:v>6.88254062580301E-12</c:v>
                </c:pt>
                <c:pt idx="150">
                  <c:v>6.88254062580301E-12</c:v>
                </c:pt>
                <c:pt idx="151">
                  <c:v>6.88254062580301E-12</c:v>
                </c:pt>
                <c:pt idx="152">
                  <c:v>6.88254062580301E-12</c:v>
                </c:pt>
                <c:pt idx="153">
                  <c:v>6.88254062580301E-12</c:v>
                </c:pt>
                <c:pt idx="154">
                  <c:v>6.88254062580301E-12</c:v>
                </c:pt>
                <c:pt idx="155">
                  <c:v>6.88254062580301E-12</c:v>
                </c:pt>
                <c:pt idx="156">
                  <c:v>6.88254062580301E-12</c:v>
                </c:pt>
                <c:pt idx="157">
                  <c:v>6.88254062580301E-12</c:v>
                </c:pt>
                <c:pt idx="158">
                  <c:v>6.88254062580301E-12</c:v>
                </c:pt>
                <c:pt idx="159">
                  <c:v>6.88254062580301E-12</c:v>
                </c:pt>
                <c:pt idx="160">
                  <c:v>6.88254062580301E-12</c:v>
                </c:pt>
                <c:pt idx="161">
                  <c:v>6.88254062580301E-12</c:v>
                </c:pt>
                <c:pt idx="162">
                  <c:v>6.88254062580301E-12</c:v>
                </c:pt>
                <c:pt idx="163">
                  <c:v>6.88254062580301E-12</c:v>
                </c:pt>
                <c:pt idx="164">
                  <c:v>6.88254062580301E-12</c:v>
                </c:pt>
                <c:pt idx="165">
                  <c:v>6.88254062580301E-12</c:v>
                </c:pt>
                <c:pt idx="166">
                  <c:v>6.88254062580301E-12</c:v>
                </c:pt>
                <c:pt idx="167">
                  <c:v>6.88254062580301E-12</c:v>
                </c:pt>
                <c:pt idx="168">
                  <c:v>6.88254062580301E-12</c:v>
                </c:pt>
                <c:pt idx="169">
                  <c:v>6.88254062580301E-12</c:v>
                </c:pt>
                <c:pt idx="170">
                  <c:v>6.88254062580301E-12</c:v>
                </c:pt>
                <c:pt idx="171">
                  <c:v>6.88254062580301E-12</c:v>
                </c:pt>
                <c:pt idx="172">
                  <c:v>6.88254062580301E-12</c:v>
                </c:pt>
                <c:pt idx="173">
                  <c:v>6.88254062580301E-12</c:v>
                </c:pt>
                <c:pt idx="174">
                  <c:v>6.88254062580301E-12</c:v>
                </c:pt>
                <c:pt idx="175">
                  <c:v>6.88254062580301E-12</c:v>
                </c:pt>
                <c:pt idx="176">
                  <c:v>6.88254062580301E-12</c:v>
                </c:pt>
                <c:pt idx="177">
                  <c:v>6.88254062580301E-12</c:v>
                </c:pt>
                <c:pt idx="178">
                  <c:v>6.88254062580301E-12</c:v>
                </c:pt>
                <c:pt idx="179">
                  <c:v>6.88254062580301E-12</c:v>
                </c:pt>
                <c:pt idx="180">
                  <c:v>6.88254062580301E-12</c:v>
                </c:pt>
                <c:pt idx="181">
                  <c:v>6.88254062580301E-12</c:v>
                </c:pt>
                <c:pt idx="182">
                  <c:v>6.88254062580301E-12</c:v>
                </c:pt>
                <c:pt idx="183">
                  <c:v>6.88254062580301E-12</c:v>
                </c:pt>
                <c:pt idx="184">
                  <c:v>6.88254062580301E-12</c:v>
                </c:pt>
                <c:pt idx="185">
                  <c:v>6.88254062580301E-12</c:v>
                </c:pt>
                <c:pt idx="186">
                  <c:v>6.88254062580301E-12</c:v>
                </c:pt>
                <c:pt idx="187">
                  <c:v>6.88254062580301E-12</c:v>
                </c:pt>
                <c:pt idx="188">
                  <c:v>6.88254062580301E-12</c:v>
                </c:pt>
                <c:pt idx="189">
                  <c:v>6.88254062580301E-12</c:v>
                </c:pt>
                <c:pt idx="190">
                  <c:v>6.88254062580301E-12</c:v>
                </c:pt>
                <c:pt idx="191">
                  <c:v>6.88254062580301E-12</c:v>
                </c:pt>
                <c:pt idx="192">
                  <c:v>6.88254062580301E-12</c:v>
                </c:pt>
                <c:pt idx="193">
                  <c:v>6.88254062580301E-12</c:v>
                </c:pt>
                <c:pt idx="194">
                  <c:v>6.88254062580301E-12</c:v>
                </c:pt>
                <c:pt idx="195">
                  <c:v>6.88254062580301E-12</c:v>
                </c:pt>
                <c:pt idx="196">
                  <c:v>6.88254062580301E-12</c:v>
                </c:pt>
                <c:pt idx="197">
                  <c:v>6.88254062580301E-12</c:v>
                </c:pt>
                <c:pt idx="198">
                  <c:v>6.88254062580301E-12</c:v>
                </c:pt>
                <c:pt idx="199">
                  <c:v>6.88254062580301E-12</c:v>
                </c:pt>
                <c:pt idx="200">
                  <c:v>6.88254062580301E-12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8.3972210083660439</c:v>
                </c:pt>
                <c:pt idx="2">
                  <c:v>16.423146088515324</c:v>
                </c:pt>
                <c:pt idx="3">
                  <c:v>24.329161221740279</c:v>
                </c:pt>
                <c:pt idx="4">
                  <c:v>32.161261073684372</c:v>
                </c:pt>
                <c:pt idx="5">
                  <c:v>39.940291934622095</c:v>
                </c:pt>
                <c:pt idx="6">
                  <c:v>47.67814539888289</c:v>
                </c:pt>
                <c:pt idx="7">
                  <c:v>55.382487517535814</c:v>
                </c:pt>
                <c:pt idx="8">
                  <c:v>63.058657997805945</c:v>
                </c:pt>
                <c:pt idx="9">
                  <c:v>70.710581592430231</c:v>
                </c:pt>
                <c:pt idx="10">
                  <c:v>78.341259721063906</c:v>
                </c:pt>
                <c:pt idx="11">
                  <c:v>85.95305878260443</c:v>
                </c:pt>
                <c:pt idx="12">
                  <c:v>93.547890243630334</c:v>
                </c:pt>
                <c:pt idx="13">
                  <c:v>101.12732882630898</c:v>
                </c:pt>
                <c:pt idx="14">
                  <c:v>108.69269322565077</c:v>
                </c:pt>
                <c:pt idx="15">
                  <c:v>116.24510307688212</c:v>
                </c:pt>
                <c:pt idx="16">
                  <c:v>123.78552028480794</c:v>
                </c:pt>
                <c:pt idx="17">
                  <c:v>131.31477972025326</c:v>
                </c:pt>
                <c:pt idx="18">
                  <c:v>138.83361248542124</c:v>
                </c:pt>
                <c:pt idx="19">
                  <c:v>146.34266386094987</c:v>
                </c:pt>
                <c:pt idx="20">
                  <c:v>153.84250736685425</c:v>
                </c:pt>
                <c:pt idx="21">
                  <c:v>161.33365593136233</c:v>
                </c:pt>
                <c:pt idx="22">
                  <c:v>168.81657087207716</c:v>
                </c:pt>
                <c:pt idx="23">
                  <c:v>176.29166919804121</c:v>
                </c:pt>
                <c:pt idx="24">
                  <c:v>183.75932960604268</c:v>
                </c:pt>
                <c:pt idx="25">
                  <c:v>191.2198974493773</c:v>
                </c:pt>
                <c:pt idx="26">
                  <c:v>198.67368888922897</c:v>
                </c:pt>
                <c:pt idx="27">
                  <c:v>206.1209943894132</c:v>
                </c:pt>
                <c:pt idx="28">
                  <c:v>213.56208167882559</c:v>
                </c:pt>
                <c:pt idx="29">
                  <c:v>220.99719827879099</c:v>
                </c:pt>
                <c:pt idx="30">
                  <c:v>228.42657367201937</c:v>
                </c:pt>
                <c:pt idx="31">
                  <c:v>235.85042117424302</c:v>
                </c:pt>
                <c:pt idx="32">
                  <c:v>243.26893955756896</c:v>
                </c:pt>
                <c:pt idx="33">
                  <c:v>250.68231446521096</c:v>
                </c:pt>
                <c:pt idx="34">
                  <c:v>258.09071964992154</c:v>
                </c:pt>
                <c:pt idx="35">
                  <c:v>265.49431806263215</c:v>
                </c:pt>
                <c:pt idx="36">
                  <c:v>272.89326281317921</c:v>
                </c:pt>
                <c:pt idx="37">
                  <c:v>280.28769802128301</c:v>
                </c:pt>
                <c:pt idx="38">
                  <c:v>287.67775957294117</c:v>
                </c:pt>
                <c:pt idx="39">
                  <c:v>173.48522741442005</c:v>
                </c:pt>
                <c:pt idx="40">
                  <c:v>191.72346385639585</c:v>
                </c:pt>
                <c:pt idx="41">
                  <c:v>209.92131274221228</c:v>
                </c:pt>
                <c:pt idx="42">
                  <c:v>228.08276854389078</c:v>
                </c:pt>
                <c:pt idx="43">
                  <c:v>246.21113702434172</c:v>
                </c:pt>
                <c:pt idx="44">
                  <c:v>264.30919706059302</c:v>
                </c:pt>
                <c:pt idx="45">
                  <c:v>282.37931572845736</c:v>
                </c:pt>
                <c:pt idx="46">
                  <c:v>223.9215436739195</c:v>
                </c:pt>
                <c:pt idx="47">
                  <c:v>242.40543459654972</c:v>
                </c:pt>
                <c:pt idx="48">
                  <c:v>260.8572720830573</c:v>
                </c:pt>
                <c:pt idx="49">
                  <c:v>279.27964216269248</c:v>
                </c:pt>
                <c:pt idx="50">
                  <c:v>297.67476173665153</c:v>
                </c:pt>
                <c:pt idx="51">
                  <c:v>316.04455130625411</c:v>
                </c:pt>
                <c:pt idx="52">
                  <c:v>334.39068988927494</c:v>
                </c:pt>
                <c:pt idx="53">
                  <c:v>270.97057630102523</c:v>
                </c:pt>
                <c:pt idx="54">
                  <c:v>289.15966964522363</c:v>
                </c:pt>
                <c:pt idx="55">
                  <c:v>307.32319437818137</c:v>
                </c:pt>
                <c:pt idx="56">
                  <c:v>325.46287392136998</c:v>
                </c:pt>
                <c:pt idx="57">
                  <c:v>343.5802239109068</c:v>
                </c:pt>
                <c:pt idx="58">
                  <c:v>361.67658711400946</c:v>
                </c:pt>
                <c:pt idx="59">
                  <c:v>379.75316098880938</c:v>
                </c:pt>
                <c:pt idx="60">
                  <c:v>321.04347264809616</c:v>
                </c:pt>
                <c:pt idx="61">
                  <c:v>338.92723499090056</c:v>
                </c:pt>
                <c:pt idx="62">
                  <c:v>356.7902393670243</c:v>
                </c:pt>
                <c:pt idx="63">
                  <c:v>374.63367095179188</c:v>
                </c:pt>
                <c:pt idx="64">
                  <c:v>392.45859283665067</c:v>
                </c:pt>
                <c:pt idx="65">
                  <c:v>410.26596369348005</c:v>
                </c:pt>
                <c:pt idx="66">
                  <c:v>428.05665221171381</c:v>
                </c:pt>
                <c:pt idx="67">
                  <c:v>445.83144901015817</c:v>
                </c:pt>
                <c:pt idx="68">
                  <c:v>385.81461640251717</c:v>
                </c:pt>
                <c:pt idx="69">
                  <c:v>403.4527003865374</c:v>
                </c:pt>
                <c:pt idx="70">
                  <c:v>421.07411351553748</c:v>
                </c:pt>
                <c:pt idx="71">
                  <c:v>438.67965134335253</c:v>
                </c:pt>
                <c:pt idx="72">
                  <c:v>456.2700403846755</c:v>
                </c:pt>
                <c:pt idx="73">
                  <c:v>473.84594659181829</c:v>
                </c:pt>
                <c:pt idx="74">
                  <c:v>491.40798250851805</c:v>
                </c:pt>
                <c:pt idx="75">
                  <c:v>508.95671334809776</c:v>
                </c:pt>
                <c:pt idx="76">
                  <c:v>447.04063316474071</c:v>
                </c:pt>
                <c:pt idx="77">
                  <c:v>464.31007476406711</c:v>
                </c:pt>
                <c:pt idx="78">
                  <c:v>481.56582273837626</c:v>
                </c:pt>
                <c:pt idx="79">
                  <c:v>498.80843659821818</c:v>
                </c:pt>
                <c:pt idx="80">
                  <c:v>516.03843403739722</c:v>
                </c:pt>
                <c:pt idx="81">
                  <c:v>533.25629537882389</c:v>
                </c:pt>
                <c:pt idx="82">
                  <c:v>550.46246741651578</c:v>
                </c:pt>
                <c:pt idx="83">
                  <c:v>567.65736675244932</c:v>
                </c:pt>
                <c:pt idx="84">
                  <c:v>493.77174765640899</c:v>
                </c:pt>
                <c:pt idx="85">
                  <c:v>510.62436217909794</c:v>
                </c:pt>
                <c:pt idx="86">
                  <c:v>527.46523086715786</c:v>
                </c:pt>
                <c:pt idx="87">
                  <c:v>544.2947813400009</c:v>
                </c:pt>
                <c:pt idx="88">
                  <c:v>561.11341263189024</c:v>
                </c:pt>
                <c:pt idx="89">
                  <c:v>577.92149791990039</c:v>
                </c:pt>
                <c:pt idx="90">
                  <c:v>594.71938691817036</c:v>
                </c:pt>
                <c:pt idx="91">
                  <c:v>611.50740798773711</c:v>
                </c:pt>
                <c:pt idx="92">
                  <c:v>628.28587000276718</c:v>
                </c:pt>
                <c:pt idx="93">
                  <c:v>645.05506400719696</c:v>
                </c:pt>
                <c:pt idx="94">
                  <c:v>539.18393699533272</c:v>
                </c:pt>
                <c:pt idx="95">
                  <c:v>555.50718301605059</c:v>
                </c:pt>
                <c:pt idx="96">
                  <c:v>571.82038471831072</c:v>
                </c:pt>
                <c:pt idx="97">
                  <c:v>588.12386883883619</c:v>
                </c:pt>
                <c:pt idx="98">
                  <c:v>604.41794253337059</c:v>
                </c:pt>
                <c:pt idx="99">
                  <c:v>620.70289505722462</c:v>
                </c:pt>
                <c:pt idx="100">
                  <c:v>636.97899926039668</c:v>
                </c:pt>
                <c:pt idx="101">
                  <c:v>653.24651292202782</c:v>
                </c:pt>
                <c:pt idx="102">
                  <c:v>669.50567994511266</c:v>
                </c:pt>
                <c:pt idx="103">
                  <c:v>685.75673142920141</c:v>
                </c:pt>
                <c:pt idx="104">
                  <c:v>579.04481104419483</c:v>
                </c:pt>
                <c:pt idx="105">
                  <c:v>594.90046141463688</c:v>
                </c:pt>
                <c:pt idx="106">
                  <c:v>610.74732265105411</c:v>
                </c:pt>
                <c:pt idx="107">
                  <c:v>626.58565478147978</c:v>
                </c:pt>
                <c:pt idx="108">
                  <c:v>642.41570362511436</c:v>
                </c:pt>
                <c:pt idx="109">
                  <c:v>658.23770190693688</c:v>
                </c:pt>
                <c:pt idx="110">
                  <c:v>674.05187025965336</c:v>
                </c:pt>
                <c:pt idx="111">
                  <c:v>689.85841812679303</c:v>
                </c:pt>
                <c:pt idx="112">
                  <c:v>705.6575445787912</c:v>
                </c:pt>
                <c:pt idx="113">
                  <c:v>721.44943905224648</c:v>
                </c:pt>
                <c:pt idx="114">
                  <c:v>613.11800026439005</c:v>
                </c:pt>
                <c:pt idx="115">
                  <c:v>628.86102762899111</c:v>
                </c:pt>
                <c:pt idx="116">
                  <c:v>644.59590365444251</c:v>
                </c:pt>
                <c:pt idx="117">
                  <c:v>660.3228552128104</c:v>
                </c:pt>
                <c:pt idx="118">
                  <c:v>676.04209749578217</c:v>
                </c:pt>
                <c:pt idx="119">
                  <c:v>691.75383487921488</c:v>
                </c:pt>
                <c:pt idx="120">
                  <c:v>707.45826170510793</c:v>
                </c:pt>
                <c:pt idx="121">
                  <c:v>723.15556299059097</c:v>
                </c:pt>
                <c:pt idx="122">
                  <c:v>738.84591507219739</c:v>
                </c:pt>
                <c:pt idx="123">
                  <c:v>754.52948619261485</c:v>
                </c:pt>
                <c:pt idx="124">
                  <c:v>393.89715101904397</c:v>
                </c:pt>
                <c:pt idx="125">
                  <c:v>402.7543493650337</c:v>
                </c:pt>
                <c:pt idx="126">
                  <c:v>279.44397833454826</c:v>
                </c:pt>
                <c:pt idx="127">
                  <c:v>285.56232584068522</c:v>
                </c:pt>
                <c:pt idx="128">
                  <c:v>205.06272980648615</c:v>
                </c:pt>
                <c:pt idx="129">
                  <c:v>209.57813886502561</c:v>
                </c:pt>
                <c:pt idx="130">
                  <c:v>214.09130301206662</c:v>
                </c:pt>
                <c:pt idx="131">
                  <c:v>5.6225999086934742E-12</c:v>
                </c:pt>
                <c:pt idx="132">
                  <c:v>5.6225999086934742E-12</c:v>
                </c:pt>
                <c:pt idx="133">
                  <c:v>5.6225999086934742E-12</c:v>
                </c:pt>
                <c:pt idx="134">
                  <c:v>5.6225999086934742E-12</c:v>
                </c:pt>
                <c:pt idx="135">
                  <c:v>5.6225999086934742E-12</c:v>
                </c:pt>
                <c:pt idx="136">
                  <c:v>5.6225999086934742E-12</c:v>
                </c:pt>
                <c:pt idx="137">
                  <c:v>5.6225999086934742E-12</c:v>
                </c:pt>
                <c:pt idx="138">
                  <c:v>5.6225999086934742E-12</c:v>
                </c:pt>
                <c:pt idx="139">
                  <c:v>5.6225999086934742E-12</c:v>
                </c:pt>
                <c:pt idx="140">
                  <c:v>5.6225999086934742E-12</c:v>
                </c:pt>
                <c:pt idx="141">
                  <c:v>5.6225999086934742E-12</c:v>
                </c:pt>
                <c:pt idx="142">
                  <c:v>5.6225999086934742E-12</c:v>
                </c:pt>
                <c:pt idx="143">
                  <c:v>5.6225999086934742E-12</c:v>
                </c:pt>
                <c:pt idx="144">
                  <c:v>5.6225999086934742E-12</c:v>
                </c:pt>
                <c:pt idx="145">
                  <c:v>5.6225999086934742E-12</c:v>
                </c:pt>
                <c:pt idx="146">
                  <c:v>5.6225999086934742E-12</c:v>
                </c:pt>
                <c:pt idx="147">
                  <c:v>5.6225999086934742E-12</c:v>
                </c:pt>
                <c:pt idx="148">
                  <c:v>5.6225999086934742E-12</c:v>
                </c:pt>
                <c:pt idx="149">
                  <c:v>5.6225999086934742E-12</c:v>
                </c:pt>
                <c:pt idx="150">
                  <c:v>5.6225999086934742E-12</c:v>
                </c:pt>
                <c:pt idx="151">
                  <c:v>5.6225999086934742E-12</c:v>
                </c:pt>
                <c:pt idx="152">
                  <c:v>5.6225999086934742E-12</c:v>
                </c:pt>
                <c:pt idx="153">
                  <c:v>5.6225999086934742E-12</c:v>
                </c:pt>
                <c:pt idx="154">
                  <c:v>5.6225999086934742E-12</c:v>
                </c:pt>
                <c:pt idx="155">
                  <c:v>5.6225999086934742E-12</c:v>
                </c:pt>
                <c:pt idx="156">
                  <c:v>5.6225999086934742E-12</c:v>
                </c:pt>
                <c:pt idx="157">
                  <c:v>5.6225999086934742E-12</c:v>
                </c:pt>
                <c:pt idx="158">
                  <c:v>5.6225999086934742E-12</c:v>
                </c:pt>
                <c:pt idx="159">
                  <c:v>5.6225999086934742E-12</c:v>
                </c:pt>
                <c:pt idx="160">
                  <c:v>5.6225999086934742E-12</c:v>
                </c:pt>
                <c:pt idx="161">
                  <c:v>5.6225999086934742E-12</c:v>
                </c:pt>
                <c:pt idx="162">
                  <c:v>5.6225999086934742E-12</c:v>
                </c:pt>
                <c:pt idx="163">
                  <c:v>5.6225999086934742E-12</c:v>
                </c:pt>
                <c:pt idx="164">
                  <c:v>5.6225999086934742E-12</c:v>
                </c:pt>
                <c:pt idx="165">
                  <c:v>5.6225999086934742E-12</c:v>
                </c:pt>
                <c:pt idx="166">
                  <c:v>5.6225999086934742E-12</c:v>
                </c:pt>
                <c:pt idx="167">
                  <c:v>5.6225999086934742E-12</c:v>
                </c:pt>
                <c:pt idx="168">
                  <c:v>5.6225999086934742E-12</c:v>
                </c:pt>
                <c:pt idx="169">
                  <c:v>5.6225999086934742E-12</c:v>
                </c:pt>
                <c:pt idx="170">
                  <c:v>5.6225999086934742E-12</c:v>
                </c:pt>
                <c:pt idx="171">
                  <c:v>5.6225999086934742E-12</c:v>
                </c:pt>
                <c:pt idx="172">
                  <c:v>5.6225999086934742E-12</c:v>
                </c:pt>
                <c:pt idx="173">
                  <c:v>5.6225999086934742E-12</c:v>
                </c:pt>
                <c:pt idx="174">
                  <c:v>5.6225999086934742E-12</c:v>
                </c:pt>
                <c:pt idx="175">
                  <c:v>5.6225999086934742E-12</c:v>
                </c:pt>
                <c:pt idx="176">
                  <c:v>5.6225999086934742E-12</c:v>
                </c:pt>
                <c:pt idx="177">
                  <c:v>5.6225999086934742E-12</c:v>
                </c:pt>
                <c:pt idx="178">
                  <c:v>5.6225999086934742E-12</c:v>
                </c:pt>
                <c:pt idx="179">
                  <c:v>5.6225999086934742E-12</c:v>
                </c:pt>
                <c:pt idx="180">
                  <c:v>5.6225999086934742E-12</c:v>
                </c:pt>
                <c:pt idx="181">
                  <c:v>5.6225999086934742E-12</c:v>
                </c:pt>
                <c:pt idx="182">
                  <c:v>5.6225999086934742E-12</c:v>
                </c:pt>
                <c:pt idx="183">
                  <c:v>5.6225999086934742E-12</c:v>
                </c:pt>
                <c:pt idx="184">
                  <c:v>5.6225999086934742E-12</c:v>
                </c:pt>
                <c:pt idx="185">
                  <c:v>5.6225999086934742E-12</c:v>
                </c:pt>
                <c:pt idx="186">
                  <c:v>5.6225999086934742E-12</c:v>
                </c:pt>
                <c:pt idx="187">
                  <c:v>5.6225999086934742E-12</c:v>
                </c:pt>
                <c:pt idx="188">
                  <c:v>5.6225999086934742E-12</c:v>
                </c:pt>
                <c:pt idx="189">
                  <c:v>5.6225999086934742E-12</c:v>
                </c:pt>
                <c:pt idx="190">
                  <c:v>5.6225999086934742E-12</c:v>
                </c:pt>
                <c:pt idx="191">
                  <c:v>5.6225999086934742E-12</c:v>
                </c:pt>
                <c:pt idx="192">
                  <c:v>5.6225999086934742E-12</c:v>
                </c:pt>
                <c:pt idx="193">
                  <c:v>5.6225999086934742E-12</c:v>
                </c:pt>
                <c:pt idx="194">
                  <c:v>5.6225999086934742E-12</c:v>
                </c:pt>
                <c:pt idx="195">
                  <c:v>5.6225999086934742E-12</c:v>
                </c:pt>
                <c:pt idx="196">
                  <c:v>5.6225999086934742E-12</c:v>
                </c:pt>
                <c:pt idx="197">
                  <c:v>5.6225999086934742E-12</c:v>
                </c:pt>
                <c:pt idx="198">
                  <c:v>5.6225999086934742E-12</c:v>
                </c:pt>
                <c:pt idx="199">
                  <c:v>5.6225999086934742E-12</c:v>
                </c:pt>
                <c:pt idx="200">
                  <c:v>5.6225999086934742E-12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5" zoomScaleNormal="85" workbookViewId="0">
      <selection activeCell="H24" sqref="H24"/>
    </sheetView>
  </sheetViews>
  <sheetFormatPr baseColWidth="10" defaultColWidth="11.3984375" defaultRowHeight="14.25" x14ac:dyDescent="0.45"/>
  <cols>
    <col min="1" max="1" width="13.73046875" style="23" customWidth="1"/>
    <col min="2" max="2" width="36.1328125" style="23" customWidth="1"/>
    <col min="3" max="3" width="14.86328125" style="23" bestFit="1" customWidth="1"/>
    <col min="4" max="4" width="16.3984375" style="23" customWidth="1"/>
    <col min="5" max="5" width="23.265625" style="23" customWidth="1"/>
    <col min="6" max="6" width="28.86328125" style="23" bestFit="1" customWidth="1"/>
    <col min="7" max="8" width="14.73046875" style="23" customWidth="1"/>
    <col min="9" max="9" width="17" style="23" customWidth="1"/>
    <col min="10" max="10" width="13.86328125" style="23" customWidth="1"/>
    <col min="11" max="16384" width="11.3984375" style="23"/>
  </cols>
  <sheetData>
    <row r="1" spans="1:38" x14ac:dyDescent="0.4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8" t="s">
        <v>231</v>
      </c>
      <c r="B5" s="268"/>
      <c r="C5" s="24">
        <v>6.56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164</v>
      </c>
      <c r="C9" s="32">
        <v>0.21818181818181817</v>
      </c>
      <c r="D9" s="33">
        <f t="shared" ref="D9:D18" si="0">C9*$C$5</f>
        <v>1.431272727272727</v>
      </c>
      <c r="E9" s="34">
        <v>109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36</v>
      </c>
      <c r="C10" s="32">
        <v>0.16267217630853995</v>
      </c>
      <c r="D10" s="33">
        <f t="shared" si="0"/>
        <v>1.067129476584022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17</v>
      </c>
      <c r="C11" s="32">
        <v>0.15096000000000001</v>
      </c>
      <c r="D11" s="33">
        <f t="shared" si="0"/>
        <v>0.9902976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40</v>
      </c>
      <c r="C12" s="32">
        <v>0.11418732782369145</v>
      </c>
      <c r="D12" s="33">
        <f t="shared" si="0"/>
        <v>0.74906887052341586</v>
      </c>
      <c r="E12" s="34">
        <v>110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39</v>
      </c>
      <c r="C13" s="32">
        <v>0.11418732782369145</v>
      </c>
      <c r="D13" s="33">
        <f t="shared" si="0"/>
        <v>0.74906887052341586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9</v>
      </c>
      <c r="C14" s="32">
        <v>6.0330578512396697E-2</v>
      </c>
      <c r="D14" s="33">
        <f t="shared" si="0"/>
        <v>0.39576859504132234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12</v>
      </c>
      <c r="C15" s="32">
        <v>6.0330578512396697E-2</v>
      </c>
      <c r="D15" s="33">
        <f t="shared" si="0"/>
        <v>0.39576859504132234</v>
      </c>
      <c r="E15" s="34">
        <v>191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 t="s">
        <v>52</v>
      </c>
      <c r="C16" s="32">
        <v>4.0358126721763088E-2</v>
      </c>
      <c r="D16" s="33">
        <f t="shared" si="0"/>
        <v>0.26474931129476587</v>
      </c>
      <c r="E16" s="34">
        <v>130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 t="s">
        <v>102</v>
      </c>
      <c r="C17" s="32">
        <v>7.8787878787878782E-2</v>
      </c>
      <c r="D17" s="33">
        <f t="shared" si="0"/>
        <v>0.51684848484848478</v>
      </c>
      <c r="E17" s="34">
        <v>130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0.99999581267217619</v>
      </c>
      <c r="D19" s="38">
        <f>SUM(D9:D18)</f>
        <v>6.5599725311294765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331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51</v>
      </c>
      <c r="B36" s="60">
        <v>328.59</v>
      </c>
      <c r="C36" s="60">
        <v>1</v>
      </c>
      <c r="D36" s="60">
        <v>101.57999999999998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6.4429411764705877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63</v>
      </c>
      <c r="B37" s="60">
        <v>375.17</v>
      </c>
      <c r="C37" s="60">
        <v>2</v>
      </c>
      <c r="D37" s="60">
        <v>115.59000000000003</v>
      </c>
      <c r="E37" s="51">
        <v>0.6</v>
      </c>
      <c r="F37" s="51">
        <v>0.2</v>
      </c>
      <c r="G37" s="51">
        <v>0.2</v>
      </c>
      <c r="H37" s="51">
        <v>0</v>
      </c>
      <c r="I37" s="53">
        <f t="shared" ref="I37:I55" si="1">IF(A37&lt;&gt;0,(B37-(B36-D36))/(A37-A36),"")</f>
        <v>12.346666666666669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75</v>
      </c>
      <c r="B38" s="60">
        <v>395.51</v>
      </c>
      <c r="C38" s="60">
        <v>3</v>
      </c>
      <c r="D38" s="60">
        <v>93.759999999999991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11.327500000000001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87</v>
      </c>
      <c r="B39" s="60">
        <v>426.76</v>
      </c>
      <c r="C39" s="60">
        <v>4</v>
      </c>
      <c r="D39" s="60">
        <v>92.519999999999982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10.417499999999999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99</v>
      </c>
      <c r="B40" s="60">
        <v>447.35</v>
      </c>
      <c r="C40" s="60">
        <v>5</v>
      </c>
      <c r="D40" s="60">
        <v>222.86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9.4258333333333351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109</v>
      </c>
      <c r="B41" s="60">
        <v>290.11</v>
      </c>
      <c r="C41" s="60">
        <v>6</v>
      </c>
      <c r="D41" s="60">
        <v>290.11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6.5620000000000003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Pin maritime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24</v>
      </c>
      <c r="B62" s="60">
        <v>136.79</v>
      </c>
      <c r="C62" s="60">
        <v>1</v>
      </c>
      <c r="D62" s="60">
        <v>49.61999999999999</v>
      </c>
      <c r="E62" s="51">
        <v>0</v>
      </c>
      <c r="F62" s="51">
        <v>0.5</v>
      </c>
      <c r="G62" s="51">
        <v>0.5</v>
      </c>
      <c r="H62" s="51">
        <v>0</v>
      </c>
      <c r="I62" s="53">
        <f>IFERROR(B62/A62,"")</f>
        <v>5.699583333333333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30</v>
      </c>
      <c r="B63" s="60">
        <v>167.45</v>
      </c>
      <c r="C63" s="60">
        <v>2</v>
      </c>
      <c r="D63" s="60">
        <v>37.829999999999984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13.379999999999997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38</v>
      </c>
      <c r="B64" s="60">
        <v>236.48</v>
      </c>
      <c r="C64" s="60">
        <v>3</v>
      </c>
      <c r="D64" s="60">
        <v>54.399999999999977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13.357499999999998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46</v>
      </c>
      <c r="B65" s="60">
        <v>285.95999999999998</v>
      </c>
      <c r="C65" s="60">
        <v>4</v>
      </c>
      <c r="D65" s="60">
        <v>65.679999999999978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12.984999999999996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54</v>
      </c>
      <c r="B66" s="60">
        <v>317.11</v>
      </c>
      <c r="C66" s="60">
        <v>5</v>
      </c>
      <c r="D66" s="60">
        <v>72.400000000000006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12.103750000000002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62</v>
      </c>
      <c r="B67" s="60">
        <v>325.44</v>
      </c>
      <c r="C67" s="60">
        <v>6</v>
      </c>
      <c r="D67" s="60">
        <v>325.44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10.091249999999999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326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Cyprès de Provence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25</v>
      </c>
      <c r="B88" s="60">
        <v>201</v>
      </c>
      <c r="C88" s="60">
        <v>1</v>
      </c>
      <c r="D88" s="60">
        <v>42</v>
      </c>
      <c r="E88" s="51">
        <v>0.25</v>
      </c>
      <c r="F88" s="51">
        <v>0.37</v>
      </c>
      <c r="G88" s="51">
        <v>0.38</v>
      </c>
      <c r="H88" s="87">
        <v>0</v>
      </c>
      <c r="I88" s="53">
        <f>IFERROR(B88/A88,"")</f>
        <v>8.0399999999999991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30</v>
      </c>
      <c r="B89" s="60">
        <v>272</v>
      </c>
      <c r="C89" s="60">
        <v>2</v>
      </c>
      <c r="D89" s="60">
        <v>56</v>
      </c>
      <c r="E89" s="51">
        <v>0.25</v>
      </c>
      <c r="F89" s="51">
        <v>0.37</v>
      </c>
      <c r="G89" s="51">
        <v>0.38</v>
      </c>
      <c r="H89" s="87">
        <v>0</v>
      </c>
      <c r="I89" s="53">
        <f t="shared" ref="I89:I107" si="3">IF(A89&lt;&gt;0,(B89-(B88-D88))/(A89-A88),"")</f>
        <v>22.6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35</v>
      </c>
      <c r="B90" s="60">
        <v>333</v>
      </c>
      <c r="C90" s="60">
        <v>3</v>
      </c>
      <c r="D90" s="60">
        <v>56</v>
      </c>
      <c r="E90" s="87">
        <v>0.25</v>
      </c>
      <c r="F90" s="87">
        <v>0.37</v>
      </c>
      <c r="G90" s="87">
        <v>0.38</v>
      </c>
      <c r="H90" s="87">
        <v>0</v>
      </c>
      <c r="I90" s="53">
        <f t="shared" si="3"/>
        <v>23.4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40</v>
      </c>
      <c r="B91" s="60">
        <v>394</v>
      </c>
      <c r="C91" s="60">
        <v>4</v>
      </c>
      <c r="D91" s="60">
        <v>56</v>
      </c>
      <c r="E91" s="87">
        <v>0.25</v>
      </c>
      <c r="F91" s="87">
        <v>0.37</v>
      </c>
      <c r="G91" s="87">
        <v>0.38</v>
      </c>
      <c r="H91" s="87">
        <v>0</v>
      </c>
      <c r="I91" s="53">
        <f t="shared" si="3"/>
        <v>23.4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45</v>
      </c>
      <c r="B92" s="60">
        <v>450</v>
      </c>
      <c r="C92" s="60">
        <v>5</v>
      </c>
      <c r="D92" s="60">
        <v>56</v>
      </c>
      <c r="E92" s="87">
        <v>0.25</v>
      </c>
      <c r="F92" s="87">
        <v>0.37</v>
      </c>
      <c r="G92" s="87">
        <v>0.38</v>
      </c>
      <c r="H92" s="87">
        <v>0</v>
      </c>
      <c r="I92" s="53">
        <f t="shared" si="3"/>
        <v>22.4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50</v>
      </c>
      <c r="B93" s="60">
        <v>499</v>
      </c>
      <c r="C93" s="60">
        <v>6</v>
      </c>
      <c r="D93" s="60">
        <v>56</v>
      </c>
      <c r="E93" s="87">
        <v>0.6</v>
      </c>
      <c r="F93" s="87">
        <v>0.2</v>
      </c>
      <c r="G93" s="87">
        <v>0.2</v>
      </c>
      <c r="H93" s="87">
        <v>0</v>
      </c>
      <c r="I93" s="53">
        <f t="shared" si="3"/>
        <v>21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55</v>
      </c>
      <c r="B94" s="60">
        <v>542</v>
      </c>
      <c r="C94" s="60">
        <v>7</v>
      </c>
      <c r="D94" s="60">
        <v>56</v>
      </c>
      <c r="E94" s="87">
        <v>0.6</v>
      </c>
      <c r="F94" s="87">
        <v>0.2</v>
      </c>
      <c r="G94" s="87">
        <v>0.2</v>
      </c>
      <c r="H94" s="87">
        <v>0</v>
      </c>
      <c r="I94" s="53">
        <f t="shared" si="3"/>
        <v>19.8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60</v>
      </c>
      <c r="B95" s="60">
        <v>577</v>
      </c>
      <c r="C95" s="60">
        <v>8</v>
      </c>
      <c r="D95" s="60">
        <v>50</v>
      </c>
      <c r="E95" s="87">
        <v>0.6</v>
      </c>
      <c r="F95" s="87">
        <v>0.2</v>
      </c>
      <c r="G95" s="87">
        <v>0.2</v>
      </c>
      <c r="H95" s="87">
        <v>0</v>
      </c>
      <c r="I95" s="53">
        <f t="shared" si="3"/>
        <v>18.2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65</v>
      </c>
      <c r="B96" s="60">
        <v>611</v>
      </c>
      <c r="C96" s="60">
        <v>9</v>
      </c>
      <c r="D96" s="60">
        <v>44</v>
      </c>
      <c r="E96" s="87">
        <v>0.6</v>
      </c>
      <c r="F96" s="87">
        <v>0.2</v>
      </c>
      <c r="G96" s="87">
        <v>0.2</v>
      </c>
      <c r="H96" s="87">
        <v>0</v>
      </c>
      <c r="I96" s="53">
        <f t="shared" si="3"/>
        <v>16.8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70</v>
      </c>
      <c r="B97" s="60">
        <v>647</v>
      </c>
      <c r="C97" s="60">
        <v>10</v>
      </c>
      <c r="D97" s="60">
        <v>41</v>
      </c>
      <c r="E97" s="87">
        <v>0.6</v>
      </c>
      <c r="F97" s="87">
        <v>0.2</v>
      </c>
      <c r="G97" s="87">
        <v>0.2</v>
      </c>
      <c r="H97" s="87">
        <v>0</v>
      </c>
      <c r="I97" s="53">
        <f t="shared" si="3"/>
        <v>16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75</v>
      </c>
      <c r="B98" s="60">
        <v>681</v>
      </c>
      <c r="C98" s="60">
        <v>11</v>
      </c>
      <c r="D98" s="60">
        <v>39</v>
      </c>
      <c r="E98" s="87">
        <v>0.6</v>
      </c>
      <c r="F98" s="87">
        <v>0.2</v>
      </c>
      <c r="G98" s="87">
        <v>0.2</v>
      </c>
      <c r="H98" s="87">
        <v>0</v>
      </c>
      <c r="I98" s="53">
        <f t="shared" si="3"/>
        <v>15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80</v>
      </c>
      <c r="B99" s="60">
        <v>708</v>
      </c>
      <c r="C99" s="60">
        <v>12</v>
      </c>
      <c r="D99" s="60">
        <v>708</v>
      </c>
      <c r="E99" s="87">
        <v>0.6</v>
      </c>
      <c r="F99" s="87">
        <v>0.2</v>
      </c>
      <c r="G99" s="87">
        <v>0.2</v>
      </c>
      <c r="H99" s="87">
        <v>0</v>
      </c>
      <c r="I99" s="53">
        <f t="shared" si="3"/>
        <v>13.2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C109" s="23" t="s">
        <v>324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Pin de Salzmann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45</v>
      </c>
      <c r="B114" s="60">
        <v>204.61</v>
      </c>
      <c r="C114" s="50">
        <v>1</v>
      </c>
      <c r="D114" s="60">
        <v>74.240000000000009</v>
      </c>
      <c r="E114" s="51">
        <v>0.25</v>
      </c>
      <c r="F114" s="51">
        <v>0.37</v>
      </c>
      <c r="G114" s="51">
        <v>0.38</v>
      </c>
      <c r="H114" s="51">
        <v>0</v>
      </c>
      <c r="I114" s="53">
        <f>IFERROR(B114/A114,"")</f>
        <v>4.5468888888888888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60</v>
      </c>
      <c r="B115" s="60">
        <v>243.93</v>
      </c>
      <c r="C115" s="50">
        <v>2</v>
      </c>
      <c r="D115" s="60">
        <v>71.980000000000018</v>
      </c>
      <c r="E115" s="51">
        <v>0.6</v>
      </c>
      <c r="F115" s="51">
        <v>0.2</v>
      </c>
      <c r="G115" s="51">
        <v>0.2</v>
      </c>
      <c r="H115" s="51">
        <v>0</v>
      </c>
      <c r="I115" s="53">
        <f t="shared" ref="I115:I133" si="4">IF(A115&lt;&gt;0,(B115-(B114-D114))/(A115-A114),"")</f>
        <v>7.5706666666666669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75</v>
      </c>
      <c r="B116" s="60">
        <v>274.52999999999997</v>
      </c>
      <c r="C116" s="50">
        <v>3</v>
      </c>
      <c r="D116" s="60">
        <v>75.489999999999981</v>
      </c>
      <c r="E116" s="51">
        <v>0.6</v>
      </c>
      <c r="F116" s="51">
        <v>0.2</v>
      </c>
      <c r="G116" s="51">
        <v>0.2</v>
      </c>
      <c r="H116" s="51">
        <v>0</v>
      </c>
      <c r="I116" s="53">
        <f t="shared" si="4"/>
        <v>6.8386666666666658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90</v>
      </c>
      <c r="B117" s="60">
        <v>294.31</v>
      </c>
      <c r="C117" s="50">
        <v>4</v>
      </c>
      <c r="D117" s="60">
        <v>66.27000000000001</v>
      </c>
      <c r="E117" s="51">
        <v>0.6</v>
      </c>
      <c r="F117" s="51">
        <v>0.2</v>
      </c>
      <c r="G117" s="51">
        <v>0.2</v>
      </c>
      <c r="H117" s="51">
        <v>0</v>
      </c>
      <c r="I117" s="53">
        <f t="shared" si="4"/>
        <v>6.3513333333333337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100</v>
      </c>
      <c r="B118" s="60">
        <v>288.07</v>
      </c>
      <c r="C118" s="50">
        <v>5</v>
      </c>
      <c r="D118" s="60">
        <v>92.989999999999981</v>
      </c>
      <c r="E118" s="51">
        <v>0.6</v>
      </c>
      <c r="F118" s="51">
        <v>0.2</v>
      </c>
      <c r="G118" s="51">
        <v>0.2</v>
      </c>
      <c r="H118" s="51">
        <v>0</v>
      </c>
      <c r="I118" s="53">
        <f t="shared" si="4"/>
        <v>6.0030000000000001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110</v>
      </c>
      <c r="B119" s="60">
        <v>247.1</v>
      </c>
      <c r="C119" s="50">
        <v>6</v>
      </c>
      <c r="D119" s="60">
        <v>247.1</v>
      </c>
      <c r="E119" s="51">
        <v>0.6</v>
      </c>
      <c r="F119" s="51">
        <v>0.2</v>
      </c>
      <c r="G119" s="51">
        <v>0.2</v>
      </c>
      <c r="H119" s="51">
        <v>0</v>
      </c>
      <c r="I119" s="53">
        <f t="shared" si="4"/>
        <v>5.2019999999999982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C135" s="23" t="s">
        <v>327</v>
      </c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Pin pignon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10</v>
      </c>
      <c r="B140" s="60">
        <v>16.615384615384617</v>
      </c>
      <c r="C140" s="50">
        <v>1</v>
      </c>
      <c r="D140" s="60">
        <v>3</v>
      </c>
      <c r="E140" s="51">
        <v>0.25</v>
      </c>
      <c r="F140" s="51">
        <v>0.37</v>
      </c>
      <c r="G140" s="51">
        <v>0.38</v>
      </c>
      <c r="H140" s="51">
        <v>0</v>
      </c>
      <c r="I140" s="57">
        <f>IFERROR(B140/A140,"")</f>
        <v>1.6615384615384616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20</v>
      </c>
      <c r="B141" s="60">
        <v>40.999999999999993</v>
      </c>
      <c r="C141" s="50">
        <v>2</v>
      </c>
      <c r="D141" s="60">
        <v>6.8461538461538458</v>
      </c>
      <c r="E141" s="51">
        <v>0.25</v>
      </c>
      <c r="F141" s="51">
        <v>0.37</v>
      </c>
      <c r="G141" s="51">
        <v>0.38</v>
      </c>
      <c r="H141" s="51">
        <v>0</v>
      </c>
      <c r="I141" s="57">
        <f t="shared" ref="I141:I159" si="5">IF(A141&lt;&gt;0,(B141-(B140-D140))/(A141-A140),"")</f>
        <v>2.7384615384615376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30</v>
      </c>
      <c r="B142" s="60">
        <v>61.38461538461538</v>
      </c>
      <c r="C142" s="50">
        <v>3</v>
      </c>
      <c r="D142" s="60">
        <v>9.2307692307692299</v>
      </c>
      <c r="E142" s="51">
        <v>0.25</v>
      </c>
      <c r="F142" s="51">
        <v>0.37</v>
      </c>
      <c r="G142" s="51">
        <v>0.38</v>
      </c>
      <c r="H142" s="51">
        <v>0</v>
      </c>
      <c r="I142" s="57">
        <f t="shared" si="5"/>
        <v>2.7230769230769232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40</v>
      </c>
      <c r="B143" s="60">
        <v>76.846153846153854</v>
      </c>
      <c r="C143" s="50">
        <v>4</v>
      </c>
      <c r="D143" s="60">
        <v>11.153846153846153</v>
      </c>
      <c r="E143" s="51">
        <v>0.25</v>
      </c>
      <c r="F143" s="51">
        <v>0.37</v>
      </c>
      <c r="G143" s="51">
        <v>0.38</v>
      </c>
      <c r="H143" s="51">
        <v>0</v>
      </c>
      <c r="I143" s="57">
        <f t="shared" si="5"/>
        <v>2.4692307692307707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50</v>
      </c>
      <c r="B144" s="60">
        <v>88.230769230769226</v>
      </c>
      <c r="C144" s="50">
        <v>5</v>
      </c>
      <c r="D144" s="60">
        <v>11.615384615384615</v>
      </c>
      <c r="E144" s="51">
        <v>0.4</v>
      </c>
      <c r="F144" s="51">
        <v>0.2</v>
      </c>
      <c r="G144" s="51">
        <v>0.2</v>
      </c>
      <c r="H144" s="51">
        <v>0.2</v>
      </c>
      <c r="I144" s="57">
        <f t="shared" si="5"/>
        <v>2.2538461538461521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60</v>
      </c>
      <c r="B145" s="60">
        <v>96.461538461538467</v>
      </c>
      <c r="C145" s="50">
        <v>6</v>
      </c>
      <c r="D145" s="60">
        <v>12.384615384615385</v>
      </c>
      <c r="E145" s="51">
        <v>0.4</v>
      </c>
      <c r="F145" s="51">
        <v>0.2</v>
      </c>
      <c r="G145" s="51">
        <v>0.2</v>
      </c>
      <c r="H145" s="51">
        <v>0.2</v>
      </c>
      <c r="I145" s="57">
        <f t="shared" si="5"/>
        <v>1.9846153846153853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70</v>
      </c>
      <c r="B146" s="60">
        <v>102.46153846153845</v>
      </c>
      <c r="C146" s="50">
        <v>7</v>
      </c>
      <c r="D146" s="60">
        <v>12.076923076923077</v>
      </c>
      <c r="E146" s="51">
        <v>0.4</v>
      </c>
      <c r="F146" s="51">
        <v>0.2</v>
      </c>
      <c r="G146" s="51">
        <v>0.2</v>
      </c>
      <c r="H146" s="51">
        <v>0.2</v>
      </c>
      <c r="I146" s="57">
        <f t="shared" si="5"/>
        <v>1.8384615384615373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80</v>
      </c>
      <c r="B147" s="60">
        <v>106.76923076923077</v>
      </c>
      <c r="C147" s="50">
        <v>8</v>
      </c>
      <c r="D147" s="60">
        <v>12.384615384615385</v>
      </c>
      <c r="E147" s="51">
        <v>0.4</v>
      </c>
      <c r="F147" s="51">
        <v>0.2</v>
      </c>
      <c r="G147" s="51">
        <v>0.2</v>
      </c>
      <c r="H147" s="51">
        <v>0.2</v>
      </c>
      <c r="I147" s="57">
        <f>IF(A147&lt;&gt;0,(B147-(B146-D146))/(A147-A146),"")</f>
        <v>1.6384615384615402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90</v>
      </c>
      <c r="B148" s="60">
        <v>109.84615384615385</v>
      </c>
      <c r="C148" s="50">
        <v>9</v>
      </c>
      <c r="D148" s="60">
        <v>11.846153846153847</v>
      </c>
      <c r="E148" s="51">
        <v>0.4</v>
      </c>
      <c r="F148" s="51">
        <v>0.2</v>
      </c>
      <c r="G148" s="51">
        <v>0.2</v>
      </c>
      <c r="H148" s="51">
        <v>0.2</v>
      </c>
      <c r="I148" s="57">
        <f t="shared" si="5"/>
        <v>1.5461538461538467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100</v>
      </c>
      <c r="B149" s="60">
        <v>111.99999999999999</v>
      </c>
      <c r="C149" s="50">
        <v>10</v>
      </c>
      <c r="D149" s="60">
        <v>11.23076923076923</v>
      </c>
      <c r="E149" s="51">
        <v>0.4</v>
      </c>
      <c r="F149" s="51">
        <v>0.2</v>
      </c>
      <c r="G149" s="51">
        <v>0.2</v>
      </c>
      <c r="H149" s="51">
        <v>0.2</v>
      </c>
      <c r="I149" s="57">
        <f t="shared" si="5"/>
        <v>1.3999999999999986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110</v>
      </c>
      <c r="B150" s="60">
        <v>113.46153846153845</v>
      </c>
      <c r="C150" s="50">
        <v>11</v>
      </c>
      <c r="D150" s="60">
        <v>10.692307692307692</v>
      </c>
      <c r="E150" s="51">
        <v>0.4</v>
      </c>
      <c r="F150" s="51">
        <v>0.2</v>
      </c>
      <c r="G150" s="51">
        <v>0.2</v>
      </c>
      <c r="H150" s="51">
        <v>0.2</v>
      </c>
      <c r="I150" s="57">
        <f t="shared" si="5"/>
        <v>1.2692307692307694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120</v>
      </c>
      <c r="B151" s="60">
        <v>114.46153846153847</v>
      </c>
      <c r="C151" s="50">
        <v>12</v>
      </c>
      <c r="D151" s="60">
        <v>10.153846153846153</v>
      </c>
      <c r="E151" s="51">
        <v>0.4</v>
      </c>
      <c r="F151" s="51">
        <v>0.2</v>
      </c>
      <c r="G151" s="51">
        <v>0.2</v>
      </c>
      <c r="H151" s="51">
        <v>0.2</v>
      </c>
      <c r="I151" s="57">
        <f t="shared" si="5"/>
        <v>1.1692307692307708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130</v>
      </c>
      <c r="B152" s="60">
        <v>115</v>
      </c>
      <c r="C152" s="50">
        <v>13</v>
      </c>
      <c r="D152" s="60">
        <v>9.615384615384615</v>
      </c>
      <c r="E152" s="54">
        <v>0.4</v>
      </c>
      <c r="F152" s="54">
        <v>0.2</v>
      </c>
      <c r="G152" s="54">
        <v>0.2</v>
      </c>
      <c r="H152" s="54">
        <v>0.2</v>
      </c>
      <c r="I152" s="57">
        <f t="shared" si="5"/>
        <v>1.0692307692307679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140</v>
      </c>
      <c r="B153" s="60">
        <v>115.23076923076924</v>
      </c>
      <c r="C153" s="50">
        <v>14</v>
      </c>
      <c r="D153" s="60">
        <v>9.0769230769230766</v>
      </c>
      <c r="E153" s="54">
        <v>0.4</v>
      </c>
      <c r="F153" s="54">
        <v>0.2</v>
      </c>
      <c r="G153" s="54">
        <v>0.2</v>
      </c>
      <c r="H153" s="54">
        <v>0.2</v>
      </c>
      <c r="I153" s="57">
        <f t="shared" si="5"/>
        <v>0.98461538461538534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150</v>
      </c>
      <c r="B154" s="56">
        <v>115.30769230769231</v>
      </c>
      <c r="C154" s="50">
        <v>15</v>
      </c>
      <c r="D154" s="50">
        <v>115.30769230769231</v>
      </c>
      <c r="E154" s="54">
        <v>0.4</v>
      </c>
      <c r="F154" s="54">
        <v>0.2</v>
      </c>
      <c r="G154" s="54">
        <v>0.2</v>
      </c>
      <c r="H154" s="54">
        <v>0.2</v>
      </c>
      <c r="I154" s="57">
        <f t="shared" si="5"/>
        <v>0.91538461538461458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C161" s="23" t="s">
        <v>328</v>
      </c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Chêne chevelu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30</v>
      </c>
      <c r="B166" s="60">
        <v>67.307692307692307</v>
      </c>
      <c r="C166" s="60">
        <v>1</v>
      </c>
      <c r="D166" s="60">
        <v>25</v>
      </c>
      <c r="E166" s="51">
        <v>0</v>
      </c>
      <c r="F166" s="51">
        <v>0.5</v>
      </c>
      <c r="G166" s="51">
        <v>0</v>
      </c>
      <c r="H166" s="51">
        <v>0.5</v>
      </c>
      <c r="I166" s="49">
        <f>IFERROR(B166/A166,"")</f>
        <v>2.2435897435897436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35</v>
      </c>
      <c r="B167" s="60">
        <v>58.974358974358971</v>
      </c>
      <c r="C167" s="60">
        <v>2</v>
      </c>
      <c r="D167" s="60">
        <v>7.6923076923076916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3.333333333333333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40</v>
      </c>
      <c r="B168" s="60">
        <v>66.666666666666657</v>
      </c>
      <c r="C168" s="60">
        <v>3</v>
      </c>
      <c r="D168" s="60">
        <v>7.6923076923076916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3.0769230769230758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45</v>
      </c>
      <c r="B169" s="60">
        <v>73.717948717948715</v>
      </c>
      <c r="C169" s="60">
        <v>4</v>
      </c>
      <c r="D169" s="60">
        <v>7.6923076923076916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2.9487179487179502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50</v>
      </c>
      <c r="B170" s="60">
        <v>79.487179487179475</v>
      </c>
      <c r="C170" s="60">
        <v>5</v>
      </c>
      <c r="D170" s="60">
        <v>7.0512820512820511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2.6923076923076907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55</v>
      </c>
      <c r="B171" s="60">
        <v>85.256410256410248</v>
      </c>
      <c r="C171" s="60">
        <v>6</v>
      </c>
      <c r="D171" s="60">
        <v>7.0512820512820511</v>
      </c>
      <c r="E171" s="51">
        <v>0</v>
      </c>
      <c r="F171" s="51">
        <v>0.5</v>
      </c>
      <c r="G171" s="51">
        <v>0</v>
      </c>
      <c r="H171" s="51">
        <v>0.5</v>
      </c>
      <c r="I171" s="49">
        <f t="shared" si="6"/>
        <v>2.5641025641025634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60</v>
      </c>
      <c r="B172" s="60">
        <v>89.743589743589737</v>
      </c>
      <c r="C172" s="60">
        <v>7</v>
      </c>
      <c r="D172" s="60">
        <v>6.4102564102564097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2.3076923076923066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65</v>
      </c>
      <c r="B173" s="50">
        <v>92.948717948717956</v>
      </c>
      <c r="C173" s="50">
        <v>8</v>
      </c>
      <c r="D173" s="50">
        <v>5.7692307692307692</v>
      </c>
      <c r="E173" s="51">
        <v>0</v>
      </c>
      <c r="F173" s="51">
        <v>0.5</v>
      </c>
      <c r="G173" s="51">
        <v>0</v>
      </c>
      <c r="H173" s="51">
        <v>0.5</v>
      </c>
      <c r="I173" s="49">
        <f t="shared" si="6"/>
        <v>1.9230769230769256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70</v>
      </c>
      <c r="B174" s="50">
        <v>96.794871794871796</v>
      </c>
      <c r="C174" s="50">
        <v>9</v>
      </c>
      <c r="D174" s="50">
        <v>5.7692307692307692</v>
      </c>
      <c r="E174" s="51">
        <v>0</v>
      </c>
      <c r="F174" s="51">
        <v>0.5</v>
      </c>
      <c r="G174" s="51">
        <v>0</v>
      </c>
      <c r="H174" s="51">
        <v>0.5</v>
      </c>
      <c r="I174" s="49">
        <f t="shared" si="6"/>
        <v>1.9230769230769227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75</v>
      </c>
      <c r="B175" s="50">
        <v>99.999999999999986</v>
      </c>
      <c r="C175" s="50">
        <v>10</v>
      </c>
      <c r="D175" s="50">
        <v>5.1282051282051277</v>
      </c>
      <c r="E175" s="51">
        <v>0</v>
      </c>
      <c r="F175" s="51">
        <v>0.5</v>
      </c>
      <c r="G175" s="51">
        <v>0</v>
      </c>
      <c r="H175" s="51">
        <v>0.5</v>
      </c>
      <c r="I175" s="49">
        <f t="shared" si="6"/>
        <v>1.7948717948717927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80</v>
      </c>
      <c r="B176" s="50">
        <v>102.56410256410255</v>
      </c>
      <c r="C176" s="50">
        <v>11</v>
      </c>
      <c r="D176" s="50">
        <v>5.1282051282051277</v>
      </c>
      <c r="E176" s="51">
        <v>0</v>
      </c>
      <c r="F176" s="51">
        <v>0.5</v>
      </c>
      <c r="G176" s="51">
        <v>0</v>
      </c>
      <c r="H176" s="51">
        <v>0.5</v>
      </c>
      <c r="I176" s="49">
        <f t="shared" si="6"/>
        <v>1.5384615384615388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85</v>
      </c>
      <c r="B177" s="50">
        <v>105.76923076923076</v>
      </c>
      <c r="C177" s="50">
        <v>12</v>
      </c>
      <c r="D177" s="50">
        <v>5.1282051282051277</v>
      </c>
      <c r="E177" s="51">
        <v>0</v>
      </c>
      <c r="F177" s="51">
        <v>0.5</v>
      </c>
      <c r="G177" s="51">
        <v>0</v>
      </c>
      <c r="H177" s="51">
        <v>0.5</v>
      </c>
      <c r="I177" s="49">
        <f t="shared" si="6"/>
        <v>1.6666666666666656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90</v>
      </c>
      <c r="B178" s="50">
        <v>108.33333333333333</v>
      </c>
      <c r="C178" s="50">
        <v>13</v>
      </c>
      <c r="D178" s="50">
        <v>5.1282051282051277</v>
      </c>
      <c r="E178" s="51">
        <v>0</v>
      </c>
      <c r="F178" s="51">
        <v>0.5</v>
      </c>
      <c r="G178" s="51">
        <v>0</v>
      </c>
      <c r="H178" s="51">
        <v>0.5</v>
      </c>
      <c r="I178" s="49">
        <f t="shared" si="6"/>
        <v>1.5384615384615388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95</v>
      </c>
      <c r="B179" s="50">
        <v>111.53846153846153</v>
      </c>
      <c r="C179" s="50">
        <v>14</v>
      </c>
      <c r="D179" s="50">
        <v>5.7692307692307692</v>
      </c>
      <c r="E179" s="51">
        <v>0</v>
      </c>
      <c r="F179" s="51">
        <v>0.5</v>
      </c>
      <c r="G179" s="51">
        <v>0</v>
      </c>
      <c r="H179" s="51">
        <v>0.5</v>
      </c>
      <c r="I179" s="49">
        <f t="shared" si="6"/>
        <v>1.6666666666666656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>
        <v>100</v>
      </c>
      <c r="B180" s="50">
        <v>113.46153846153845</v>
      </c>
      <c r="C180" s="50">
        <v>15</v>
      </c>
      <c r="D180" s="50">
        <v>113.46153846153845</v>
      </c>
      <c r="E180" s="51">
        <v>0</v>
      </c>
      <c r="F180" s="51">
        <v>0.5</v>
      </c>
      <c r="G180" s="51">
        <v>0</v>
      </c>
      <c r="H180" s="51">
        <v>0.5</v>
      </c>
      <c r="I180" s="49">
        <f t="shared" si="6"/>
        <v>1.5384615384615388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C187" s="23" t="s">
        <v>329</v>
      </c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Chêne pubescent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60</v>
      </c>
      <c r="B192" s="60">
        <v>201.62</v>
      </c>
      <c r="C192" s="60">
        <v>1</v>
      </c>
      <c r="D192" s="60">
        <v>72.87</v>
      </c>
      <c r="E192" s="51">
        <v>0</v>
      </c>
      <c r="F192" s="51">
        <v>0.8</v>
      </c>
      <c r="G192" s="51">
        <v>0.2</v>
      </c>
      <c r="H192" s="51">
        <v>0</v>
      </c>
      <c r="I192" s="49">
        <f>IFERROR(B192/A192,"")</f>
        <v>3.3603333333333336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69</v>
      </c>
      <c r="B193" s="60">
        <v>190.79</v>
      </c>
      <c r="C193" s="60">
        <v>2</v>
      </c>
      <c r="D193" s="60">
        <v>42.22</v>
      </c>
      <c r="E193" s="51">
        <v>0</v>
      </c>
      <c r="F193" s="51">
        <v>0.8</v>
      </c>
      <c r="G193" s="51">
        <v>0.2</v>
      </c>
      <c r="H193" s="51">
        <v>0</v>
      </c>
      <c r="I193" s="49">
        <f t="shared" ref="I193:I211" si="7">IF(A193&lt;&gt;0,(B193-(B192-D192))/(A193-A192),"")</f>
        <v>6.8933333333333326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77</v>
      </c>
      <c r="B194" s="60">
        <v>202.52</v>
      </c>
      <c r="C194" s="60">
        <v>3</v>
      </c>
      <c r="D194" s="60">
        <v>33.950000000000017</v>
      </c>
      <c r="E194" s="51">
        <v>0</v>
      </c>
      <c r="F194" s="51">
        <v>0.8</v>
      </c>
      <c r="G194" s="51">
        <v>0.2</v>
      </c>
      <c r="H194" s="51">
        <v>0</v>
      </c>
      <c r="I194" s="49">
        <f t="shared" si="7"/>
        <v>6.7437500000000021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86</v>
      </c>
      <c r="B195" s="60">
        <v>229.27</v>
      </c>
      <c r="C195" s="60">
        <v>4</v>
      </c>
      <c r="D195" s="60">
        <v>37.54000000000002</v>
      </c>
      <c r="E195" s="51">
        <v>0.35</v>
      </c>
      <c r="F195" s="51">
        <v>0.2</v>
      </c>
      <c r="G195" s="51">
        <v>0.1</v>
      </c>
      <c r="H195" s="51">
        <v>0.35</v>
      </c>
      <c r="I195" s="49">
        <f t="shared" si="7"/>
        <v>6.7444444444444462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95</v>
      </c>
      <c r="B196" s="60">
        <v>252.57</v>
      </c>
      <c r="C196" s="60">
        <v>5</v>
      </c>
      <c r="D196" s="60">
        <v>42.199999999999989</v>
      </c>
      <c r="E196" s="51">
        <v>0.35</v>
      </c>
      <c r="F196" s="51">
        <v>0.2</v>
      </c>
      <c r="G196" s="51">
        <v>0.1</v>
      </c>
      <c r="H196" s="51">
        <v>0.35</v>
      </c>
      <c r="I196" s="49">
        <f t="shared" si="7"/>
        <v>6.7600000000000007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104</v>
      </c>
      <c r="B197" s="60">
        <v>271.37</v>
      </c>
      <c r="C197" s="60">
        <v>6</v>
      </c>
      <c r="D197" s="60">
        <v>39.400000000000006</v>
      </c>
      <c r="E197" s="51">
        <v>0.35</v>
      </c>
      <c r="F197" s="51">
        <v>0.2</v>
      </c>
      <c r="G197" s="51">
        <v>0.1</v>
      </c>
      <c r="H197" s="51">
        <v>0.35</v>
      </c>
      <c r="I197" s="49">
        <f t="shared" si="7"/>
        <v>6.7777777777777777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>
        <v>113</v>
      </c>
      <c r="B198" s="60">
        <v>293.89999999999998</v>
      </c>
      <c r="C198" s="60">
        <v>7</v>
      </c>
      <c r="D198" s="60">
        <v>41.639999999999986</v>
      </c>
      <c r="E198" s="51">
        <v>0.35</v>
      </c>
      <c r="F198" s="51">
        <v>0.2</v>
      </c>
      <c r="G198" s="51">
        <v>0.1</v>
      </c>
      <c r="H198" s="51">
        <v>0.35</v>
      </c>
      <c r="I198" s="49">
        <f t="shared" si="7"/>
        <v>6.8811111111111085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>
        <v>122</v>
      </c>
      <c r="B199" s="50">
        <v>315.27</v>
      </c>
      <c r="C199" s="50">
        <v>8</v>
      </c>
      <c r="D199" s="50">
        <v>45.829999999999984</v>
      </c>
      <c r="E199" s="51">
        <v>0.35</v>
      </c>
      <c r="F199" s="51">
        <v>0.2</v>
      </c>
      <c r="G199" s="51">
        <v>0.1</v>
      </c>
      <c r="H199" s="51">
        <v>0.35</v>
      </c>
      <c r="I199" s="49">
        <f t="shared" si="7"/>
        <v>7.0011111111111104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>
        <v>132</v>
      </c>
      <c r="B200" s="50">
        <v>340.57</v>
      </c>
      <c r="C200" s="50">
        <v>9</v>
      </c>
      <c r="D200" s="50">
        <v>48.699999999999989</v>
      </c>
      <c r="E200" s="51">
        <v>0.35</v>
      </c>
      <c r="F200" s="51">
        <v>0.2</v>
      </c>
      <c r="G200" s="51">
        <v>0.1</v>
      </c>
      <c r="H200" s="51">
        <v>0.35</v>
      </c>
      <c r="I200" s="49">
        <f t="shared" si="7"/>
        <v>7.1129999999999995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>
        <v>144</v>
      </c>
      <c r="B201" s="50">
        <v>379.92</v>
      </c>
      <c r="C201" s="50">
        <v>10</v>
      </c>
      <c r="D201" s="50">
        <v>60.949999999999989</v>
      </c>
      <c r="E201" s="51">
        <v>0.35</v>
      </c>
      <c r="F201" s="51">
        <v>0.2</v>
      </c>
      <c r="G201" s="51">
        <v>0.1</v>
      </c>
      <c r="H201" s="51">
        <v>0.35</v>
      </c>
      <c r="I201" s="49">
        <f t="shared" si="7"/>
        <v>7.3375000000000012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>
        <v>156</v>
      </c>
      <c r="B202" s="50">
        <v>409.2</v>
      </c>
      <c r="C202" s="50">
        <v>11</v>
      </c>
      <c r="D202" s="50">
        <v>65.69</v>
      </c>
      <c r="E202" s="51">
        <v>0.5</v>
      </c>
      <c r="F202" s="51">
        <v>0.2</v>
      </c>
      <c r="G202" s="51">
        <v>0</v>
      </c>
      <c r="H202" s="51">
        <v>0.3</v>
      </c>
      <c r="I202" s="49">
        <f t="shared" si="7"/>
        <v>7.5191666666666634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>
        <v>168</v>
      </c>
      <c r="B203" s="50">
        <v>435.65</v>
      </c>
      <c r="C203" s="50">
        <v>12</v>
      </c>
      <c r="D203" s="50">
        <v>71.37</v>
      </c>
      <c r="E203" s="51">
        <v>0.5</v>
      </c>
      <c r="F203" s="51">
        <v>0.2</v>
      </c>
      <c r="G203" s="51">
        <v>0</v>
      </c>
      <c r="H203" s="51">
        <v>0.3</v>
      </c>
      <c r="I203" s="49">
        <f t="shared" si="7"/>
        <v>7.6783333333333319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>
        <v>180</v>
      </c>
      <c r="B204" s="50">
        <v>456.54</v>
      </c>
      <c r="C204" s="50">
        <v>13</v>
      </c>
      <c r="D204" s="50">
        <v>175.59000000000003</v>
      </c>
      <c r="E204" s="51">
        <v>0.5</v>
      </c>
      <c r="F204" s="51">
        <v>0.2</v>
      </c>
      <c r="G204" s="51">
        <v>0</v>
      </c>
      <c r="H204" s="51">
        <v>0.3</v>
      </c>
      <c r="I204" s="49">
        <f t="shared" si="7"/>
        <v>7.688333333333337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>
        <v>184</v>
      </c>
      <c r="B205" s="50">
        <v>300.14</v>
      </c>
      <c r="C205" s="50">
        <v>14</v>
      </c>
      <c r="D205" s="50">
        <v>101.19999999999999</v>
      </c>
      <c r="E205" s="51">
        <v>0.5</v>
      </c>
      <c r="F205" s="51">
        <v>0.2</v>
      </c>
      <c r="G205" s="51">
        <v>0</v>
      </c>
      <c r="H205" s="51">
        <v>0.3</v>
      </c>
      <c r="I205" s="49">
        <f t="shared" si="7"/>
        <v>4.7974999999999994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>
        <v>188</v>
      </c>
      <c r="B206" s="50">
        <v>211.27</v>
      </c>
      <c r="C206" s="50">
        <v>15</v>
      </c>
      <c r="D206" s="50">
        <v>72.180000000000007</v>
      </c>
      <c r="E206" s="51">
        <v>0.5</v>
      </c>
      <c r="F206" s="51">
        <v>0.2</v>
      </c>
      <c r="G206" s="51">
        <v>0</v>
      </c>
      <c r="H206" s="51">
        <v>0.3</v>
      </c>
      <c r="I206" s="49">
        <f t="shared" si="7"/>
        <v>3.0825000000000031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>
        <v>191</v>
      </c>
      <c r="B207" s="50">
        <v>145.01</v>
      </c>
      <c r="C207" s="50">
        <v>16</v>
      </c>
      <c r="D207" s="50">
        <v>145.01</v>
      </c>
      <c r="E207" s="51">
        <v>0.45</v>
      </c>
      <c r="F207" s="51">
        <v>0.05</v>
      </c>
      <c r="G207" s="51">
        <v>0.05</v>
      </c>
      <c r="H207" s="51">
        <v>0.45</v>
      </c>
      <c r="I207" s="49">
        <f t="shared" si="7"/>
        <v>1.9733333333333292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C213" s="23" t="s">
        <v>330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>Cormier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>
        <v>38</v>
      </c>
      <c r="B218" s="60">
        <v>152.63</v>
      </c>
      <c r="C218" s="50">
        <v>1</v>
      </c>
      <c r="D218" s="60">
        <v>71.569999999999993</v>
      </c>
      <c r="E218" s="63">
        <v>0</v>
      </c>
      <c r="F218" s="63">
        <v>0.8</v>
      </c>
      <c r="G218" s="63">
        <v>0.2</v>
      </c>
      <c r="H218" s="63">
        <v>0</v>
      </c>
      <c r="I218" s="53">
        <f>IFERROR(B218/A218,"")</f>
        <v>4.016578947368421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>
        <v>45</v>
      </c>
      <c r="B219" s="60">
        <v>149.75</v>
      </c>
      <c r="C219" s="50">
        <v>2</v>
      </c>
      <c r="D219" s="60">
        <v>41.69</v>
      </c>
      <c r="E219" s="63">
        <v>0</v>
      </c>
      <c r="F219" s="63">
        <v>0.8</v>
      </c>
      <c r="G219" s="63">
        <v>0.2</v>
      </c>
      <c r="H219" s="63">
        <v>0</v>
      </c>
      <c r="I219" s="53">
        <f t="shared" ref="I219:I237" si="8">IF(A219&lt;&gt;0,(B219-(B218-D218))/(A219-A218),"")</f>
        <v>9.8128571428571423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>
        <v>52</v>
      </c>
      <c r="B220" s="60">
        <v>178.07</v>
      </c>
      <c r="C220" s="50">
        <v>3</v>
      </c>
      <c r="D220" s="60">
        <v>44.400000000000006</v>
      </c>
      <c r="E220" s="63">
        <v>0.35</v>
      </c>
      <c r="F220" s="63">
        <v>0.2</v>
      </c>
      <c r="G220" s="63">
        <v>0.1</v>
      </c>
      <c r="H220" s="63">
        <v>0.35</v>
      </c>
      <c r="I220" s="53">
        <f t="shared" si="8"/>
        <v>10.001428571428571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>
        <v>59</v>
      </c>
      <c r="B221" s="55">
        <v>202.85</v>
      </c>
      <c r="C221" s="55">
        <v>4</v>
      </c>
      <c r="D221" s="55">
        <v>41.81</v>
      </c>
      <c r="E221" s="63">
        <v>0.35</v>
      </c>
      <c r="F221" s="63">
        <v>0.2</v>
      </c>
      <c r="G221" s="63">
        <v>0.1</v>
      </c>
      <c r="H221" s="63">
        <v>0.35</v>
      </c>
      <c r="I221" s="53">
        <f t="shared" si="8"/>
        <v>9.8828571428571443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>
        <v>67</v>
      </c>
      <c r="B222" s="55">
        <v>239.06</v>
      </c>
      <c r="C222" s="55">
        <v>5</v>
      </c>
      <c r="D222" s="55">
        <v>42.550000000000011</v>
      </c>
      <c r="E222" s="63">
        <v>0.35</v>
      </c>
      <c r="F222" s="63">
        <v>0.2</v>
      </c>
      <c r="G222" s="63">
        <v>0.1</v>
      </c>
      <c r="H222" s="63">
        <v>0.35</v>
      </c>
      <c r="I222" s="53">
        <f t="shared" si="8"/>
        <v>9.7525000000000013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>
        <v>75</v>
      </c>
      <c r="B223" s="55">
        <v>273.76</v>
      </c>
      <c r="C223" s="55">
        <v>6</v>
      </c>
      <c r="D223" s="55">
        <v>43.519999999999982</v>
      </c>
      <c r="E223" s="63">
        <v>0.35</v>
      </c>
      <c r="F223" s="63">
        <v>0.2</v>
      </c>
      <c r="G223" s="63">
        <v>0.1</v>
      </c>
      <c r="H223" s="63">
        <v>0.35</v>
      </c>
      <c r="I223" s="53">
        <f t="shared" si="8"/>
        <v>9.65625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>
        <v>83</v>
      </c>
      <c r="B224" s="55">
        <v>306.11</v>
      </c>
      <c r="C224" s="55">
        <v>7</v>
      </c>
      <c r="D224" s="55">
        <v>49.980000000000018</v>
      </c>
      <c r="E224" s="63">
        <v>0.35</v>
      </c>
      <c r="F224" s="63">
        <v>0.2</v>
      </c>
      <c r="G224" s="63">
        <v>0.1</v>
      </c>
      <c r="H224" s="63">
        <v>0.35</v>
      </c>
      <c r="I224" s="53">
        <f t="shared" si="8"/>
        <v>9.4837500000000006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>
        <v>93</v>
      </c>
      <c r="B225" s="55">
        <v>348.87</v>
      </c>
      <c r="C225" s="55">
        <v>8</v>
      </c>
      <c r="D225" s="55">
        <v>67.45999999999998</v>
      </c>
      <c r="E225" s="63">
        <v>0.5</v>
      </c>
      <c r="F225" s="63">
        <v>0.2</v>
      </c>
      <c r="G225" s="63">
        <v>0</v>
      </c>
      <c r="H225" s="63">
        <v>0.3</v>
      </c>
      <c r="I225" s="53">
        <f t="shared" si="8"/>
        <v>9.2740000000000009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>
        <v>103</v>
      </c>
      <c r="B226" s="55">
        <v>371.4</v>
      </c>
      <c r="C226" s="55">
        <v>9</v>
      </c>
      <c r="D226" s="55">
        <v>67.759999999999991</v>
      </c>
      <c r="E226" s="63">
        <v>0.5</v>
      </c>
      <c r="F226" s="63">
        <v>0.2</v>
      </c>
      <c r="G226" s="63">
        <v>0</v>
      </c>
      <c r="H226" s="63">
        <v>0.3</v>
      </c>
      <c r="I226" s="53">
        <f t="shared" si="8"/>
        <v>8.9989999999999952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>
        <v>113</v>
      </c>
      <c r="B227" s="55">
        <v>391.18</v>
      </c>
      <c r="C227" s="55">
        <v>10</v>
      </c>
      <c r="D227" s="55">
        <v>68.670000000000016</v>
      </c>
      <c r="E227" s="63">
        <v>0.5</v>
      </c>
      <c r="F227" s="63">
        <v>0.2</v>
      </c>
      <c r="G227" s="63">
        <v>0</v>
      </c>
      <c r="H227" s="63">
        <v>0.3</v>
      </c>
      <c r="I227" s="53">
        <f t="shared" si="8"/>
        <v>8.7540000000000013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>
        <v>123</v>
      </c>
      <c r="B228" s="55">
        <v>409.53</v>
      </c>
      <c r="C228" s="55">
        <v>11</v>
      </c>
      <c r="D228" s="55">
        <v>203.78999999999996</v>
      </c>
      <c r="E228" s="63">
        <v>0.45</v>
      </c>
      <c r="F228" s="63">
        <v>0.05</v>
      </c>
      <c r="G228" s="63">
        <v>0.05</v>
      </c>
      <c r="H228" s="63">
        <v>0.45</v>
      </c>
      <c r="I228" s="53">
        <f t="shared" si="8"/>
        <v>8.7019999999999982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>
        <v>125</v>
      </c>
      <c r="B229" s="55">
        <v>215.44</v>
      </c>
      <c r="C229" s="55">
        <v>12</v>
      </c>
      <c r="D229" s="55">
        <v>70.609999999999985</v>
      </c>
      <c r="E229" s="63">
        <v>0.45</v>
      </c>
      <c r="F229" s="63">
        <v>0.05</v>
      </c>
      <c r="G229" s="63">
        <v>0.05</v>
      </c>
      <c r="H229" s="63">
        <v>0.45</v>
      </c>
      <c r="I229" s="53">
        <f t="shared" si="8"/>
        <v>4.8499999999999943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>
        <v>127</v>
      </c>
      <c r="B230" s="55">
        <v>151.47999999999999</v>
      </c>
      <c r="C230" s="55">
        <v>13</v>
      </c>
      <c r="D230" s="55">
        <v>46.039999999999992</v>
      </c>
      <c r="E230" s="64">
        <v>0.45</v>
      </c>
      <c r="F230" s="64">
        <v>0.05</v>
      </c>
      <c r="G230" s="64">
        <v>0.05</v>
      </c>
      <c r="H230" s="64">
        <v>0.45</v>
      </c>
      <c r="I230" s="53">
        <f t="shared" si="8"/>
        <v>3.3249999999999886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>
        <v>130</v>
      </c>
      <c r="B231" s="60">
        <v>112.75</v>
      </c>
      <c r="C231" s="88">
        <v>14</v>
      </c>
      <c r="D231" s="60">
        <v>112.75</v>
      </c>
      <c r="E231" s="54">
        <v>0.45</v>
      </c>
      <c r="F231" s="54">
        <v>0.05</v>
      </c>
      <c r="G231" s="54">
        <v>0.05</v>
      </c>
      <c r="H231" s="54">
        <v>0.45</v>
      </c>
      <c r="I231" s="53">
        <f t="shared" si="8"/>
        <v>2.4366666666666674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C239" s="23" t="s">
        <v>330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>Micocoulier de Provence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>
        <v>38</v>
      </c>
      <c r="B244" s="60">
        <v>152.63</v>
      </c>
      <c r="C244" s="60">
        <v>1</v>
      </c>
      <c r="D244" s="60">
        <v>71.569999999999993</v>
      </c>
      <c r="E244" s="51">
        <v>0</v>
      </c>
      <c r="F244" s="51">
        <v>0.8</v>
      </c>
      <c r="G244" s="51">
        <v>0.2</v>
      </c>
      <c r="H244" s="63">
        <v>0</v>
      </c>
      <c r="I244" s="53">
        <f>IFERROR(B244/A244,"")</f>
        <v>4.016578947368421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>
        <v>45</v>
      </c>
      <c r="B245" s="60">
        <v>149.75</v>
      </c>
      <c r="C245" s="60">
        <v>2</v>
      </c>
      <c r="D245" s="60">
        <v>41.69</v>
      </c>
      <c r="E245" s="63">
        <v>0</v>
      </c>
      <c r="F245" s="63">
        <v>0.8</v>
      </c>
      <c r="G245" s="63">
        <v>0.2</v>
      </c>
      <c r="H245" s="63">
        <v>0</v>
      </c>
      <c r="I245" s="53">
        <f>IF(A245&lt;&gt;0,(B245-(B244-D244))/(A245-A244),"")</f>
        <v>9.8128571428571423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>
        <v>52</v>
      </c>
      <c r="B246" s="60">
        <v>178.07</v>
      </c>
      <c r="C246" s="60">
        <v>3</v>
      </c>
      <c r="D246" s="60">
        <v>44.400000000000006</v>
      </c>
      <c r="E246" s="63">
        <v>0.35</v>
      </c>
      <c r="F246" s="63">
        <v>0.2</v>
      </c>
      <c r="G246" s="63">
        <v>0.1</v>
      </c>
      <c r="H246" s="63">
        <v>0.35</v>
      </c>
      <c r="I246" s="53">
        <f>IF(A246&lt;&gt;0,(B246-(B245-D245))/(A246-A245),"")</f>
        <v>10.001428571428571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>
        <v>59</v>
      </c>
      <c r="B247" s="60">
        <v>202.85</v>
      </c>
      <c r="C247" s="60">
        <v>4</v>
      </c>
      <c r="D247" s="60">
        <v>41.81</v>
      </c>
      <c r="E247" s="63">
        <v>0.35</v>
      </c>
      <c r="F247" s="63">
        <v>0.2</v>
      </c>
      <c r="G247" s="63">
        <v>0.1</v>
      </c>
      <c r="H247" s="63">
        <v>0.35</v>
      </c>
      <c r="I247" s="53">
        <f t="shared" ref="I247:I263" si="9">IF(A247&lt;&gt;0,(B247-(B246-D246))/(A247-A246),"")</f>
        <v>9.8828571428571443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>
        <v>67</v>
      </c>
      <c r="B248" s="60">
        <v>239.06</v>
      </c>
      <c r="C248" s="60">
        <v>5</v>
      </c>
      <c r="D248" s="60">
        <v>42.550000000000011</v>
      </c>
      <c r="E248" s="63">
        <v>0.35</v>
      </c>
      <c r="F248" s="63">
        <v>0.2</v>
      </c>
      <c r="G248" s="63">
        <v>0.1</v>
      </c>
      <c r="H248" s="63">
        <v>0.35</v>
      </c>
      <c r="I248" s="53">
        <f t="shared" si="9"/>
        <v>9.7525000000000013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>
        <v>75</v>
      </c>
      <c r="B249" s="60">
        <v>273.76</v>
      </c>
      <c r="C249" s="60">
        <v>6</v>
      </c>
      <c r="D249" s="60">
        <v>43.519999999999982</v>
      </c>
      <c r="E249" s="63">
        <v>0.35</v>
      </c>
      <c r="F249" s="63">
        <v>0.2</v>
      </c>
      <c r="G249" s="63">
        <v>0.1</v>
      </c>
      <c r="H249" s="63">
        <v>0.35</v>
      </c>
      <c r="I249" s="53">
        <f t="shared" si="9"/>
        <v>9.65625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>
        <v>83</v>
      </c>
      <c r="B250" s="60">
        <v>306.11</v>
      </c>
      <c r="C250" s="60">
        <v>7</v>
      </c>
      <c r="D250" s="60">
        <v>49.980000000000018</v>
      </c>
      <c r="E250" s="63">
        <v>0.35</v>
      </c>
      <c r="F250" s="63">
        <v>0.2</v>
      </c>
      <c r="G250" s="63">
        <v>0.1</v>
      </c>
      <c r="H250" s="63">
        <v>0.35</v>
      </c>
      <c r="I250" s="53">
        <f t="shared" si="9"/>
        <v>9.4837500000000006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>
        <v>93</v>
      </c>
      <c r="B251" s="55">
        <v>348.87</v>
      </c>
      <c r="C251" s="55">
        <v>8</v>
      </c>
      <c r="D251" s="55">
        <v>67.45999999999998</v>
      </c>
      <c r="E251" s="63">
        <v>0.5</v>
      </c>
      <c r="F251" s="63">
        <v>0.2</v>
      </c>
      <c r="G251" s="63">
        <v>0</v>
      </c>
      <c r="H251" s="63">
        <v>0.3</v>
      </c>
      <c r="I251" s="53">
        <f t="shared" si="9"/>
        <v>9.2740000000000009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>
        <v>103</v>
      </c>
      <c r="B252" s="55">
        <v>371.4</v>
      </c>
      <c r="C252" s="55">
        <v>9</v>
      </c>
      <c r="D252" s="55">
        <v>67.759999999999991</v>
      </c>
      <c r="E252" s="63">
        <v>0.5</v>
      </c>
      <c r="F252" s="63">
        <v>0.2</v>
      </c>
      <c r="G252" s="63">
        <v>0</v>
      </c>
      <c r="H252" s="63">
        <v>0.3</v>
      </c>
      <c r="I252" s="53">
        <f t="shared" si="9"/>
        <v>8.9989999999999952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>
        <v>113</v>
      </c>
      <c r="B253" s="55">
        <v>391.18</v>
      </c>
      <c r="C253" s="55">
        <v>10</v>
      </c>
      <c r="D253" s="55">
        <v>68.670000000000016</v>
      </c>
      <c r="E253" s="63">
        <v>0.5</v>
      </c>
      <c r="F253" s="63">
        <v>0.2</v>
      </c>
      <c r="G253" s="63">
        <v>0</v>
      </c>
      <c r="H253" s="63">
        <v>0.3</v>
      </c>
      <c r="I253" s="53">
        <f t="shared" si="9"/>
        <v>8.7540000000000013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>
        <v>123</v>
      </c>
      <c r="B254" s="55">
        <v>409.53</v>
      </c>
      <c r="C254" s="55">
        <v>11</v>
      </c>
      <c r="D254" s="55">
        <v>203.78999999999996</v>
      </c>
      <c r="E254" s="63">
        <v>0.45</v>
      </c>
      <c r="F254" s="63">
        <v>0.05</v>
      </c>
      <c r="G254" s="63">
        <v>0.05</v>
      </c>
      <c r="H254" s="63">
        <v>0.45</v>
      </c>
      <c r="I254" s="53">
        <f t="shared" si="9"/>
        <v>8.7019999999999982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>
        <v>125</v>
      </c>
      <c r="B255" s="55">
        <v>215.44</v>
      </c>
      <c r="C255" s="55">
        <v>12</v>
      </c>
      <c r="D255" s="55">
        <v>70.609999999999985</v>
      </c>
      <c r="E255" s="63">
        <v>0.45</v>
      </c>
      <c r="F255" s="63">
        <v>0.05</v>
      </c>
      <c r="G255" s="63">
        <v>0.05</v>
      </c>
      <c r="H255" s="63">
        <v>0.45</v>
      </c>
      <c r="I255" s="53">
        <f t="shared" si="9"/>
        <v>4.8499999999999943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>
        <v>127</v>
      </c>
      <c r="B256" s="55">
        <v>151.47999999999999</v>
      </c>
      <c r="C256" s="55">
        <v>13</v>
      </c>
      <c r="D256" s="55">
        <v>46.039999999999992</v>
      </c>
      <c r="E256" s="64">
        <v>0.45</v>
      </c>
      <c r="F256" s="64">
        <v>0.05</v>
      </c>
      <c r="G256" s="64">
        <v>0.05</v>
      </c>
      <c r="H256" s="64">
        <v>0.45</v>
      </c>
      <c r="I256" s="53">
        <f t="shared" si="9"/>
        <v>3.3249999999999886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>
        <v>130</v>
      </c>
      <c r="B257" s="60">
        <v>112.75</v>
      </c>
      <c r="C257" s="88">
        <v>14</v>
      </c>
      <c r="D257" s="60">
        <v>112.75</v>
      </c>
      <c r="E257" s="54">
        <v>0.45</v>
      </c>
      <c r="F257" s="54">
        <v>0.05</v>
      </c>
      <c r="G257" s="54">
        <v>0.05</v>
      </c>
      <c r="H257" s="54">
        <v>0.45</v>
      </c>
      <c r="I257" s="53">
        <f t="shared" si="9"/>
        <v>2.4366666666666674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8" sqref="G18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1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4" bestFit="1" customWidth="1"/>
    <col min="2" max="4" width="11.3984375" style="4"/>
    <col min="5" max="5" width="9.59765625" style="4" customWidth="1"/>
    <col min="6" max="7" width="11.3984375" style="4"/>
    <col min="8" max="8" width="10.73046875" style="4" customWidth="1"/>
    <col min="9" max="9" width="9.398437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73046875" style="4" bestFit="1" customWidth="1"/>
    <col min="25" max="25" width="14.59765625" style="4" bestFit="1" customWidth="1"/>
    <col min="26" max="26" width="12.3984375" style="4" bestFit="1" customWidth="1"/>
    <col min="27" max="27" width="9.7304687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9765625" style="4" bestFit="1" customWidth="1"/>
    <col min="36" max="36" width="9.398437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65625" style="4" bestFit="1" customWidth="1"/>
    <col min="45" max="45" width="11.73046875" style="4" bestFit="1" customWidth="1"/>
    <col min="46" max="46" width="8.3984375" style="4" bestFit="1" customWidth="1"/>
    <col min="47" max="47" width="9.3984375" style="4" bestFit="1" customWidth="1"/>
    <col min="48" max="48" width="9.7304687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9765625" style="4" bestFit="1" customWidth="1"/>
    <col min="54" max="54" width="14.265625" style="4" customWidth="1"/>
    <col min="55" max="55" width="14" style="4" customWidth="1"/>
    <col min="56" max="56" width="10.59765625" style="4" bestFit="1" customWidth="1"/>
    <col min="57" max="57" width="9.398437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65625" style="4" bestFit="1" customWidth="1"/>
    <col min="66" max="66" width="11.73046875" style="4" bestFit="1" customWidth="1"/>
    <col min="67" max="67" width="8.3984375" style="4" bestFit="1" customWidth="1"/>
    <col min="68" max="68" width="9.3984375" style="4" bestFit="1" customWidth="1"/>
    <col min="69" max="69" width="9.7304687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9765625" style="4" bestFit="1" customWidth="1"/>
    <col min="75" max="75" width="14" style="4" bestFit="1" customWidth="1"/>
    <col min="76" max="76" width="13.86328125" style="4" customWidth="1"/>
    <col min="77" max="77" width="10.59765625" style="4" bestFit="1" customWidth="1"/>
    <col min="78" max="78" width="9.3984375" style="4" bestFit="1" customWidth="1"/>
    <col min="79" max="80" width="10.59765625" style="4" bestFit="1" customWidth="1"/>
    <col min="81" max="83" width="10.59765625" style="4" customWidth="1"/>
    <col min="84" max="84" width="11.3984375" style="4"/>
    <col min="85" max="85" width="10.59765625" style="4" bestFit="1" customWidth="1"/>
    <col min="86" max="86" width="9.265625" style="4" bestFit="1" customWidth="1"/>
    <col min="87" max="87" width="11.73046875" style="4" bestFit="1" customWidth="1"/>
    <col min="88" max="88" width="8.3984375" style="4" bestFit="1" customWidth="1"/>
    <col min="89" max="89" width="9.3984375" style="4" bestFit="1" customWidth="1"/>
    <col min="90" max="90" width="9.7304687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9765625" style="4" bestFit="1" customWidth="1"/>
    <col min="99" max="99" width="9.398437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65625" style="4" bestFit="1" customWidth="1"/>
    <col min="108" max="108" width="11.73046875" style="4" bestFit="1" customWidth="1"/>
    <col min="109" max="109" width="8.3984375" style="4" bestFit="1" customWidth="1"/>
    <col min="110" max="110" width="9.3984375" style="4" bestFit="1" customWidth="1"/>
    <col min="111" max="111" width="9.7304687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9765625" style="4" bestFit="1" customWidth="1"/>
    <col min="117" max="117" width="14.265625" style="4" customWidth="1"/>
    <col min="118" max="118" width="14" style="4" bestFit="1" customWidth="1"/>
    <col min="119" max="119" width="10.59765625" style="4" bestFit="1" customWidth="1"/>
    <col min="120" max="120" width="9.398437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65625" style="4" bestFit="1" customWidth="1"/>
    <col min="129" max="129" width="11.73046875" style="4" bestFit="1" customWidth="1"/>
    <col min="130" max="130" width="8.3984375" style="4" bestFit="1" customWidth="1"/>
    <col min="131" max="131" width="9.3984375" style="4" bestFit="1" customWidth="1"/>
    <col min="132" max="132" width="9.7304687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98437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65625" style="4" bestFit="1" customWidth="1"/>
    <col min="150" max="150" width="11.73046875" style="4" bestFit="1" customWidth="1"/>
    <col min="151" max="151" width="8.3984375" style="4" bestFit="1" customWidth="1"/>
    <col min="152" max="152" width="9.3984375" style="4" bestFit="1" customWidth="1"/>
    <col min="153" max="153" width="9.7304687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9765625" style="4" bestFit="1" customWidth="1"/>
    <col min="162" max="162" width="9.398437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65625" style="4" bestFit="1" customWidth="1"/>
    <col min="171" max="171" width="11.73046875" style="4" bestFit="1" customWidth="1"/>
    <col min="172" max="172" width="8.1328125" style="4" bestFit="1" customWidth="1"/>
    <col min="173" max="173" width="9.3984375" style="4" bestFit="1" customWidth="1"/>
    <col min="174" max="174" width="9.7304687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98437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6562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7304687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9765625" style="4" bestFit="1" customWidth="1"/>
    <col min="201" max="201" width="14" style="4" customWidth="1"/>
    <col min="202" max="202" width="14.265625" style="4" customWidth="1"/>
    <col min="203" max="203" width="10.59765625" style="4" bestFit="1" customWidth="1"/>
    <col min="204" max="204" width="9.398437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65625" style="4" bestFit="1" customWidth="1"/>
    <col min="213" max="213" width="11.73046875" style="4" bestFit="1" customWidth="1"/>
    <col min="214" max="214" width="8.3984375" style="4" bestFit="1" customWidth="1"/>
    <col min="215" max="215" width="9.3984375" style="4" bestFit="1" customWidth="1"/>
    <col min="216" max="216" width="9.7304687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5.9" thickBot="1" x14ac:dyDescent="0.8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maritime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Cyprès de Provence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de Salzmann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pignon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chevelu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pubescent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Cormier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Micocoulier de Provence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215.77907571824977</v>
      </c>
      <c r="T3" s="59">
        <f>IF('Données projet'!E9&gt;30,$R$33-$H$33,LOOKUP('Données projet'!$E$9,$A$3:$A$203,R3:R203)-LOOKUP('Données projet'!$E$9,$A$3:$A$203,$H$3:$H$203))</f>
        <v>174.69390149594869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171.701352621833</v>
      </c>
      <c r="AO3" s="59">
        <f>IF('Données projet'!E10&gt;30,$AM$33-$H$33,LOOKUP('Données projet'!$E$10,$A$3:$A$203,AM3:AM203)-LOOKUP('Données projet'!$E$10,$A$3:$A$203,$H$3:$H$203))</f>
        <v>195.58435749168586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348.29124901999882</v>
      </c>
      <c r="BJ3" s="59">
        <f>IF('Données projet'!E11&gt;30,$BH$33-$H$33,LOOKUP('Données projet'!$E$11,$A$3:$A$203,BH3:BH203)-LOOKUP('Données projet'!$E$11,$A$3:$A$203,$H$3:$H$203))</f>
        <v>284.30034973939053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185.82627135915504</v>
      </c>
      <c r="CE3" s="59">
        <f>IF('Données projet'!E12&gt;30,$CC$33-$H$33,LOOKUP('Données projet'!$E$12,$A$3:$A$203,CC3:CC203)-LOOKUP('Données projet'!$E$12,$A$3:$A$203,$H$3:$H$203))</f>
        <v>155.46126452522037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150.78964413039063</v>
      </c>
      <c r="CZ3" s="59">
        <f>IF('Données projet'!E13&gt;30,$CX$33-$H$33,LOOKUP('Données projet'!$E$13,$A$3:$A$203,CX3:CX203)-LOOKUP('Données projet'!$E$13,$A$3:$A$203,$H$3:$H$203))</f>
        <v>131.90332435966184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110.10595934547638</v>
      </c>
      <c r="DU3" s="59">
        <f>IF('Données projet'!E14&gt;30,$DS$33-$H$33,LOOKUP('Données projet'!$E$14,$A$3:$A$203,DS3:DS203)-LOOKUP('Données projet'!$E$14,$A$3:$A$203,$H$3:$H$203))</f>
        <v>131.10971921141493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420.38735944595965</v>
      </c>
      <c r="EP3" s="59">
        <f>IF('Données projet'!E15&gt;30,$EN$33-$H$33,LOOKUP('Données projet'!$E$15,$A$3:$A$203,EN3:EN203)-LOOKUP('Données projet'!$E$15,$A$3:$A$203,$H$3:$H$203))</f>
        <v>200.0823542414671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415.8741608506952</v>
      </c>
      <c r="FK3" s="59">
        <f>IF('Données projet'!E16&gt;30,$FI$33-$H$33,LOOKUP('Données projet'!$E$16,$A$3:$A$203,FI3:FI203)-LOOKUP('Données projet'!$E$16,$A$3:$A$203,$H$3:$H$203))</f>
        <v>259.15848913719356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322.39807389980882</v>
      </c>
      <c r="GF3" s="59">
        <f>IF('Données projet'!E17&gt;30,$GD$33-$H$33,LOOKUP('Données projet'!$E$17,$A$3:$A$203,GD3:GD203)-LOOKUP('Données projet'!$E$17,$A$3:$A$203,$H$3:$H$203))</f>
        <v>202.59410055732792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0.36659999999999998</v>
      </c>
      <c r="D4" s="11">
        <f>IFERROR(EXP(-1.0587+0.8836*LN(C4)+0.284),0)</f>
        <v>0.18987707069727622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4.2956124755579213</v>
      </c>
      <c r="H4" s="67">
        <f t="shared" ref="H4:H67" si="1">(B4+E4+F4)*44/12+(C4+D4)*0.475*44/12</f>
        <v>294.30253089813107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6.4429411764705877</v>
      </c>
      <c r="N4" s="13">
        <f>IF('Données projet'!$A$36&gt;35,N3+M4-V3,IF(A4&lt;'Données projet'!$A$36,$K$205^A4,IF(A4='Données projet'!$A$36,'Données projet'!$B$36,N3+M4-V3)))</f>
        <v>6.4429411764705877</v>
      </c>
      <c r="O4" s="13">
        <f>N4*VLOOKUP('Données projet'!$B$9,Paramètres!$A$1:$I$89,3,0)*VLOOKUP('Données projet'!$B$9,Paramètres!$A$1:$I$89,5,0)</f>
        <v>3.0152964705882348</v>
      </c>
      <c r="P4" s="13">
        <f>EXP(-1.0587+0.8836*LN(O4)+0.284)</f>
        <v>1.2220474523614206</v>
      </c>
      <c r="Q4" s="20">
        <f t="shared" ref="Q4:Q34" si="2">(O4+P4)*0.475*44/12</f>
        <v>7.3800406658039828</v>
      </c>
      <c r="R4" s="59">
        <f t="shared" si="0"/>
        <v>300.71337399913727</v>
      </c>
      <c r="S4" s="59">
        <f ca="1">AVERAGE(OFFSET($R$3,0,0,'Données projet'!$E$9+1,1))-AVERAGE(OFFSET($H$3,0,0,'Données projet'!$E$9+1,1))</f>
        <v>215.77907571824977</v>
      </c>
      <c r="T4" s="59">
        <f>$T$3</f>
        <v>174.69390149594869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5.699583333333333</v>
      </c>
      <c r="AI4" s="13">
        <f>IF('Données projet'!$A$62&gt;35,AI3+AH4-AQ3,IF(A4&lt;'Données projet'!$A$62,$AF$205^A4,IF(A4='Données projet'!$A$62,'Données projet'!$B$62,AI3+AH4-AQ3)))</f>
        <v>1.2274456314762281</v>
      </c>
      <c r="AJ4" s="13">
        <f>AI4*VLOOKUP('Données projet'!$B$10,Paramètres!$A$1:$I$89,3,0)*VLOOKUP('Données projet'!$B$10,Paramètres!$A$1:$I$89,5,0)</f>
        <v>0.73401248762278448</v>
      </c>
      <c r="AK4" s="13">
        <f>EXP(-1.0587+0.8836*LN(AJ4)+0.284)</f>
        <v>0.35066113325482479</v>
      </c>
      <c r="AL4" s="20">
        <f t="shared" ref="AL4:AL67" si="4">(AJ4+AK4)*0.475*44/12</f>
        <v>1.8891398896951692</v>
      </c>
      <c r="AM4" s="59">
        <f t="shared" ref="AM4:AM67" si="5">AL4+(AD4+AE4)*44/12</f>
        <v>295.22247322302849</v>
      </c>
      <c r="AN4" s="59">
        <f ca="1">AVERAGE(OFFSET($AM$3,0,0,'Données projet'!$E$10+1,1))-AVERAGE(OFFSET($H$3,0,0,'Données projet'!$E$10+1,1))</f>
        <v>171.701352621833</v>
      </c>
      <c r="AO4" s="59">
        <f>$AO$3</f>
        <v>195.58435749168586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8.0399999999999991</v>
      </c>
      <c r="BD4" s="12">
        <f>IF('Données projet'!$A$88&gt;35,BD3+BC4-BL3,IF(A4&lt;'Données projet'!$A$88,$BA$205^A4,IF(A4='Données projet'!$A$88,'Données projet'!$B$88,BD3+BC4-BL3)))</f>
        <v>1.2363113100846621</v>
      </c>
      <c r="BE4" s="13">
        <f>BD4*VLOOKUP('Données projet'!$B$11,Paramètres!$A$1:$I$89,3,0)*VLOOKUP('Données projet'!$B$11,Paramètres!$A$1:$I$89,5,0)</f>
        <v>0.64288188124402434</v>
      </c>
      <c r="BF4" s="13">
        <f>EXP(-1.0587+0.8836*LN(BE4)+0.284)</f>
        <v>0.31190100975863755</v>
      </c>
      <c r="BG4" s="20">
        <f t="shared" ref="BG4:BG67" si="7">(BE4+BF4)*0.475*44/12</f>
        <v>1.6629135351629694</v>
      </c>
      <c r="BH4" s="59">
        <f t="shared" ref="BH4:BH67" si="8">BG4+(AY4+AZ4)*44/12</f>
        <v>294.99624686849626</v>
      </c>
      <c r="BI4" s="59">
        <f ca="1">AVERAGE(OFFSET($BH$3,0,0,'Données projet'!$E$11+1,1))-AVERAGE(OFFSET($H$3,0,0,'Données projet'!$E$11+1,1))</f>
        <v>348.29124901999882</v>
      </c>
      <c r="BJ4" s="59">
        <f>$BJ$3</f>
        <v>284.30034973939053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4.5468888888888888</v>
      </c>
      <c r="BY4" s="12">
        <f>IF('Données projet'!$A$114&gt;35,BY3+BX4-CG3,IF(A4&lt;'Données projet'!$A$114,$BV$205^A4,IF(A4='Données projet'!$A$114,'Données projet'!$B$114,BY3+BX4-CG3)))</f>
        <v>4.5468888888888888</v>
      </c>
      <c r="BZ4" s="13">
        <f>BY4*VLOOKUP('Données projet'!$B$12,Paramètres!$A$1:$I$89,3,0)*VLOOKUP('Données projet'!$B$12,Paramètres!$A$1:$I$89,5,0)</f>
        <v>2.7190395555555558</v>
      </c>
      <c r="CA4" s="13">
        <f>EXP(-1.0587+0.8836*LN(BZ4)+0.284)</f>
        <v>1.1153254783394413</v>
      </c>
      <c r="CB4" s="20">
        <f t="shared" ref="CB4:CB67" si="10">(BZ4+CA4)*0.475*44/12</f>
        <v>6.6781857673671192</v>
      </c>
      <c r="CC4" s="59">
        <f t="shared" ref="CC4:CC67" si="11">CB4+(BT4+BU4)*44/12</f>
        <v>300.01151910070041</v>
      </c>
      <c r="CD4" s="59">
        <f ca="1">AVERAGE(OFFSET($CC$3,0,0,'Données projet'!$E$12+1,1))-AVERAGE(OFFSET($H$3,0,0,'Données projet'!$E$12+1,1))</f>
        <v>185.82627135915504</v>
      </c>
      <c r="CE4" s="59">
        <f>$CE$3</f>
        <v>155.46126452522037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1.6615384615384616</v>
      </c>
      <c r="CT4" s="12">
        <f>IF('Données projet'!$A$140&gt;35,CT3+CS4-DB3,IF(A4&lt;'Données projet'!$A$140,$CQ$205^A4,IF(A4='Données projet'!$A$140,'Données projet'!$B$140,CT3+CS4-DB3)))</f>
        <v>1.3244971858276084</v>
      </c>
      <c r="CU4" s="17">
        <f>CT4*VLOOKUP('Données projet'!$B$13,Paramètres!$A$1:$I$89,3,0)*VLOOKUP('Données projet'!$B$13,Paramètres!$A$1:$I$89,5,0)</f>
        <v>1.5258207580734047</v>
      </c>
      <c r="CV4" s="13">
        <f>EXP(-1.0587+0.8836*LN(CU4)+0.284)</f>
        <v>0.66941551573893632</v>
      </c>
      <c r="CW4" s="20">
        <f t="shared" ref="CW4:CW67" si="13">(CU4+CV4)*0.475*44/12</f>
        <v>3.8233698435564936</v>
      </c>
      <c r="CX4" s="59">
        <f t="shared" ref="CX4:CX67" si="14">CW4+(CO4+CP4)*44/12</f>
        <v>297.15670317688983</v>
      </c>
      <c r="CY4" s="59">
        <f ca="1">AVERAGE(OFFSET($CX$3,0,0,'Données projet'!$E$13+1,1))-AVERAGE(OFFSET($H$3,0,0,'Données projet'!$E$13+1,1))</f>
        <v>150.78964413039063</v>
      </c>
      <c r="CZ4" s="59">
        <f>$CZ$3</f>
        <v>131.90332435966184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2.2435897435897436</v>
      </c>
      <c r="DO4" s="12">
        <f>IF('Données projet'!$A$166&gt;35,DO3+DN4-DW3,IF(A4&lt;'Données projet'!$A$166,$DL$205^A4,IF(A4='Données projet'!$A$166,'Données projet'!$B$166,DO3+DN4-DW3)))</f>
        <v>1.1506294620840727</v>
      </c>
      <c r="DP4" s="17">
        <f>DO4*VLOOKUP('Données projet'!$B$14,Paramètres!$A$1:$I$89,3,0)*VLOOKUP('Données projet'!$B$14,Paramètres!$A$1:$I$89,5,0)</f>
        <v>1.2026379137702727</v>
      </c>
      <c r="DQ4" s="13">
        <f>EXP(-1.0587+0.8836*LN(DP4)+0.284)</f>
        <v>0.54244942680757657</v>
      </c>
      <c r="DR4" s="20">
        <f t="shared" ref="DR4:DR67" si="16">(DP4+DQ4)*0.475*44/12</f>
        <v>3.0393604515064205</v>
      </c>
      <c r="DS4" s="59">
        <f t="shared" ref="DS4:DS67" si="17">DR4+(DJ4+DK4)*44/12</f>
        <v>296.37269378483973</v>
      </c>
      <c r="DT4" s="59">
        <f ca="1">AVERAGE(OFFSET($DS$3,0,0,'Données projet'!$E$14+1,1))-AVERAGE(OFFSET($H$3,0,0,'Données projet'!$E$14+1,1))</f>
        <v>110.10595934547638</v>
      </c>
      <c r="DU4" s="59">
        <f>$DU$3</f>
        <v>131.10971921141493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3.3603333333333336</v>
      </c>
      <c r="EJ4" s="12">
        <f>IF('Données projet'!$A$192&gt;35,EJ3+EI4-ER3,IF(A4&lt;'Données projet'!$A$192,$EG$205^A4,IF(A4='Données projet'!$A$192,'Données projet'!$B$192,EJ3+EI4-ER3)))</f>
        <v>3.3603333333333336</v>
      </c>
      <c r="EK4" s="17">
        <f>EJ4*VLOOKUP('Données projet'!$B$15,Paramètres!$A$1:$I$89,3,0)*VLOOKUP('Données projet'!$B$15,Paramètres!$A$1:$I$89,5,0)</f>
        <v>3.4073780000000005</v>
      </c>
      <c r="EL4" s="13">
        <f>EXP(-1.0587+0.8836*LN(EK4)+0.284)</f>
        <v>1.361440466803705</v>
      </c>
      <c r="EM4" s="20">
        <f t="shared" ref="EM4:EM67" si="19">(EK4+EL4)*0.475*44/12</f>
        <v>8.3056921630164542</v>
      </c>
      <c r="EN4" s="59">
        <f t="shared" ref="EN4:EN67" si="20">EM4+(EE4+EF4)*44/12</f>
        <v>301.63902549634975</v>
      </c>
      <c r="EO4" s="59">
        <f ca="1">AVERAGE(OFFSET($EN$3,0,0,'Données projet'!$E$15+1,1))-AVERAGE(OFFSET($H$3,0,0,'Données projet'!$E$15+1,1))</f>
        <v>420.38735944595965</v>
      </c>
      <c r="EP4" s="59">
        <f>$EP$3</f>
        <v>200.0823542414671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4.016578947368421</v>
      </c>
      <c r="FE4" s="12">
        <f>IF('Données projet'!$A$218&gt;35,FE3+FD4-FM3,IF(A4&lt;'Données projet'!$A$218,$FB$205^A4,IF(A4='Données projet'!$A$218,'Données projet'!$B$218,FE3+FD4-FM3)))</f>
        <v>4.016578947368421</v>
      </c>
      <c r="FF4" s="17">
        <f>FE4*VLOOKUP('Données projet'!$B$16,Paramètres!$A$1:$I$89,3,0)*VLOOKUP('Données projet'!$B$16,Paramètres!$A$1:$I$89,5,0)</f>
        <v>4.3234455789473687</v>
      </c>
      <c r="FG4" s="13">
        <f>EXP(-1.0587+0.8836*LN(FF4)+0.284)</f>
        <v>1.6802405052268201</v>
      </c>
      <c r="FH4" s="20">
        <f t="shared" ref="FH4:FH67" si="22">(FF4+FG4)*0.475*44/12</f>
        <v>10.456419929936711</v>
      </c>
      <c r="FI4" s="59">
        <f t="shared" ref="FI4:FI67" si="23">FH4+(EZ4+FA4)*44/12</f>
        <v>303.78975326327003</v>
      </c>
      <c r="FJ4" s="59">
        <f ca="1">AVERAGE(OFFSET($FI$3,0,0,'Données projet'!$E$16+1,1))-AVERAGE(OFFSET($H$3,0,0,'Données projet'!$E$16+1,1))</f>
        <v>415.8741608506952</v>
      </c>
      <c r="FK4" s="59">
        <f>$FK$3</f>
        <v>259.15848913719356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4.016578947368421</v>
      </c>
      <c r="FZ4" s="12">
        <f>IF('Données projet'!$A$244&gt;35,FZ3+FY4-GH3,IF(A4&lt;'Données projet'!$A$244,$FW$205^A4,IF(A4='Données projet'!$A$244,'Données projet'!$B$244,FZ3+FY4-GH3)))</f>
        <v>4.016578947368421</v>
      </c>
      <c r="GA4" s="17">
        <f>FZ4*VLOOKUP('Données projet'!$B$17,Paramètres!$A$1:$I$89,3,0)*VLOOKUP('Données projet'!$B$17,Paramètres!$A$1:$I$89,5,0)</f>
        <v>3.4462247368421055</v>
      </c>
      <c r="GB4" s="13">
        <f>EXP(-1.0587+0.8836*LN(GA4)+0.284)</f>
        <v>1.3751461770522744</v>
      </c>
      <c r="GC4" s="20">
        <f t="shared" ref="GC4:GC67" si="25">(GA4+GB4)*0.475*44/12</f>
        <v>8.3972210083660439</v>
      </c>
      <c r="GD4" s="59">
        <f t="shared" ref="GD4:GD67" si="26">GC4+(FU4+FV4)*44/12</f>
        <v>301.73055434169936</v>
      </c>
      <c r="GE4" s="59">
        <f ca="1">AVERAGE(OFFSET($GD$3,0,0,'Données projet'!$E$17+1,1))-AVERAGE(OFFSET($H$3,0,0,'Données projet'!$E$17+1,1))</f>
        <v>322.39807389980882</v>
      </c>
      <c r="GF4" s="59">
        <f>$GF$3</f>
        <v>202.59410055732792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5" s="11">
        <f t="shared" ref="D5:D68" si="32">IFERROR(EXP(-1.0587+0.8836*LN(C5)+0.284),0)</f>
        <v>0.35031814074723205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8.3639996829610901</v>
      </c>
      <c r="H5" s="67">
        <f t="shared" si="1"/>
        <v>295.22046076180141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6.4429411764705877</v>
      </c>
      <c r="N5" s="13">
        <f>IF('Données projet'!$A$36&gt;35,N4+M5-V4,IF(A5&lt;'Données projet'!$A$36,$K$205^A5,IF(A5='Données projet'!$A$36,'Données projet'!$B$36,N4+M5-V4)))</f>
        <v>12.885882352941175</v>
      </c>
      <c r="O5" s="13">
        <f>N5*VLOOKUP('Données projet'!$B$9,Paramètres!$A$1:$I$89,3,0)*VLOOKUP('Données projet'!$B$9,Paramètres!$A$1:$I$89,5,0)</f>
        <v>6.0305929411764696</v>
      </c>
      <c r="P5" s="13">
        <f t="shared" ref="P5:P68" si="33">EXP(-1.0587+0.8836*LN(O5)+0.284)</f>
        <v>2.2546450176634503</v>
      </c>
      <c r="Q5" s="20">
        <f t="shared" si="2"/>
        <v>14.430122778312859</v>
      </c>
      <c r="R5" s="59">
        <f t="shared" si="0"/>
        <v>307.76345611164618</v>
      </c>
      <c r="S5" s="59">
        <f ca="1">AVERAGE(OFFSET($R$3,0,0,'Données projet'!$E$9+1,1))-AVERAGE(OFFSET($H$3,0,0,'Données projet'!$E$9+1,1))</f>
        <v>215.77907571824977</v>
      </c>
      <c r="T5" s="59">
        <f t="shared" ref="T5:T68" si="34">$T$3</f>
        <v>174.69390149594869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5.699583333333333</v>
      </c>
      <c r="AI5" s="13">
        <f>IF('Données projet'!$A$62&gt;35,AI4+AH5-AQ4,IF(A5&lt;'Données projet'!$A$62,$AF$205^A5,IF(A5='Données projet'!$A$62,'Données projet'!$B$62,AI4+AH5-AQ4)))</f>
        <v>1.5066227782300763</v>
      </c>
      <c r="AJ5" s="13">
        <f>AI5*VLOOKUP('Données projet'!$B$10,Paramètres!$A$1:$I$89,3,0)*VLOOKUP('Données projet'!$B$10,Paramètres!$A$1:$I$89,5,0)</f>
        <v>0.90096042138158561</v>
      </c>
      <c r="AK5" s="13">
        <f t="shared" ref="AK5:AK68" si="35">EXP(-1.0587+0.8836*LN(AJ5)+0.284)</f>
        <v>0.42027158992078323</v>
      </c>
      <c r="AL5" s="20">
        <f t="shared" si="4"/>
        <v>2.3011457530182922</v>
      </c>
      <c r="AM5" s="59">
        <f t="shared" si="5"/>
        <v>295.63447908635163</v>
      </c>
      <c r="AN5" s="59">
        <f ca="1">AVERAGE(OFFSET($AM$3,0,0,'Données projet'!$E$10+1,1))-AVERAGE(OFFSET($H$3,0,0,'Données projet'!$E$10+1,1))</f>
        <v>171.701352621833</v>
      </c>
      <c r="AO5" s="59">
        <f t="shared" ref="AO5:AO68" si="36">$AO$3</f>
        <v>195.58435749168586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8.0399999999999991</v>
      </c>
      <c r="BD5" s="12">
        <f>IF('Données projet'!$A$88&gt;35,BD4+BC5-BL4,IF(A5&lt;'Données projet'!$A$88,$BA$205^A5,IF(A5='Données projet'!$A$88,'Données projet'!$B$88,BD4+BC5-BL4)))</f>
        <v>1.5284656554432536</v>
      </c>
      <c r="BE5" s="13">
        <f>BD5*VLOOKUP('Données projet'!$B$11,Paramètres!$A$1:$I$89,3,0)*VLOOKUP('Données projet'!$B$11,Paramètres!$A$1:$I$89,5,0)</f>
        <v>0.79480214083049205</v>
      </c>
      <c r="BF5" s="13">
        <f t="shared" ref="BF5:BF68" si="37">EXP(-1.0587+0.8836*LN(BE5)+0.284)</f>
        <v>0.37620186326887556</v>
      </c>
      <c r="BG5" s="20">
        <f t="shared" si="7"/>
        <v>2.0394986404730653</v>
      </c>
      <c r="BH5" s="59">
        <f t="shared" si="8"/>
        <v>295.3728319738064</v>
      </c>
      <c r="BI5" s="59">
        <f ca="1">AVERAGE(OFFSET($BH$3,0,0,'Données projet'!$E$11+1,1))-AVERAGE(OFFSET($H$3,0,0,'Données projet'!$E$11+1,1))</f>
        <v>348.29124901999882</v>
      </c>
      <c r="BJ5" s="59">
        <f t="shared" ref="BJ5:BJ68" si="38">$BJ$3</f>
        <v>284.30034973939053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4.5468888888888888</v>
      </c>
      <c r="BY5" s="12">
        <f>IF('Données projet'!$A$114&gt;35,BY4+BX5-CG4,IF(A5&lt;'Données projet'!$A$114,$BV$205^A5,IF(A5='Données projet'!$A$114,'Données projet'!$B$114,BY4+BX5-CG4)))</f>
        <v>9.0937777777777775</v>
      </c>
      <c r="BZ5" s="13">
        <f>BY5*VLOOKUP('Données projet'!$B$12,Paramètres!$A$1:$I$89,3,0)*VLOOKUP('Données projet'!$B$12,Paramètres!$A$1:$I$89,5,0)</f>
        <v>5.4380791111111115</v>
      </c>
      <c r="CA5" s="13">
        <f t="shared" ref="CA5:CA68" si="39">EXP(-1.0587+0.8836*LN(BZ5)+0.284)</f>
        <v>2.0577458166226879</v>
      </c>
      <c r="CB5" s="20">
        <f t="shared" si="10"/>
        <v>13.055228415803034</v>
      </c>
      <c r="CC5" s="59">
        <f t="shared" si="11"/>
        <v>306.38856174913633</v>
      </c>
      <c r="CD5" s="59">
        <f ca="1">AVERAGE(OFFSET($CC$3,0,0,'Données projet'!$E$12+1,1))-AVERAGE(OFFSET($H$3,0,0,'Données projet'!$E$12+1,1))</f>
        <v>185.82627135915504</v>
      </c>
      <c r="CE5" s="59">
        <f t="shared" ref="CE5:CE68" si="40">$CE$3</f>
        <v>155.46126452522037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1.6615384615384616</v>
      </c>
      <c r="CT5" s="12">
        <f>IF('Données projet'!$A$140&gt;35,CT4+CS5-DB4,IF(A5&lt;'Données projet'!$A$140,$CQ$205^A5,IF(A5='Données projet'!$A$140,'Données projet'!$B$140,CT4+CS5-DB4)))</f>
        <v>1.7542927952652543</v>
      </c>
      <c r="CU5" s="17">
        <f>CT5*VLOOKUP('Données projet'!$B$13,Paramètres!$A$1:$I$89,3,0)*VLOOKUP('Données projet'!$B$13,Paramètres!$A$1:$I$89,5,0)</f>
        <v>2.0209453001455726</v>
      </c>
      <c r="CV5" s="13">
        <f t="shared" ref="CV5:CV68" si="41">EXP(-1.0587+0.8836*LN(CU5)+0.284)</f>
        <v>0.85810428978086162</v>
      </c>
      <c r="CW5" s="20">
        <f t="shared" si="13"/>
        <v>5.0143447024552055</v>
      </c>
      <c r="CX5" s="59">
        <f t="shared" si="14"/>
        <v>298.34767803578853</v>
      </c>
      <c r="CY5" s="59">
        <f ca="1">AVERAGE(OFFSET($CX$3,0,0,'Données projet'!$E$13+1,1))-AVERAGE(OFFSET($H$3,0,0,'Données projet'!$E$13+1,1))</f>
        <v>150.78964413039063</v>
      </c>
      <c r="CZ5" s="59">
        <f t="shared" ref="CZ5:CZ68" si="42">$CZ$3</f>
        <v>131.90332435966184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2.2435897435897436</v>
      </c>
      <c r="DO5" s="12">
        <f>IF('Données projet'!$A$166&gt;35,DO4+DN5-DW4,IF(A5&lt;'Données projet'!$A$166,$DL$205^A5,IF(A5='Données projet'!$A$166,'Données projet'!$B$166,DO4+DN5-DW4)))</f>
        <v>1.3239481590158824</v>
      </c>
      <c r="DP5" s="17">
        <f>DO5*VLOOKUP('Données projet'!$B$14,Paramètres!$A$1:$I$89,3,0)*VLOOKUP('Données projet'!$B$14,Paramètres!$A$1:$I$89,5,0)</f>
        <v>1.3837906158034003</v>
      </c>
      <c r="DQ5" s="13">
        <f t="shared" ref="DQ5:DQ68" si="43">EXP(-1.0587+0.8836*LN(DP5)+0.284)</f>
        <v>0.61404733891527841</v>
      </c>
      <c r="DR5" s="20">
        <f t="shared" si="16"/>
        <v>3.4795677711350321</v>
      </c>
      <c r="DS5" s="59">
        <f t="shared" si="17"/>
        <v>296.81290110446832</v>
      </c>
      <c r="DT5" s="59">
        <f ca="1">AVERAGE(OFFSET($DS$3,0,0,'Données projet'!$E$14+1,1))-AVERAGE(OFFSET($H$3,0,0,'Données projet'!$E$14+1,1))</f>
        <v>110.10595934547638</v>
      </c>
      <c r="DU5" s="59">
        <f t="shared" ref="DU5:DU68" si="44">$DU$3</f>
        <v>131.10971921141493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3.3603333333333336</v>
      </c>
      <c r="EJ5" s="12">
        <f>IF('Données projet'!$A$192&gt;35,EJ4+EI5-ER4,IF(A5&lt;'Données projet'!$A$192,$EG$205^A5,IF(A5='Données projet'!$A$192,'Données projet'!$B$192,EJ4+EI5-ER4)))</f>
        <v>6.7206666666666672</v>
      </c>
      <c r="EK5" s="17">
        <f>EJ5*VLOOKUP('Données projet'!$B$15,Paramètres!$A$1:$I$89,3,0)*VLOOKUP('Données projet'!$B$15,Paramètres!$A$1:$I$89,5,0)</f>
        <v>6.8147560000000009</v>
      </c>
      <c r="EL5" s="13">
        <f t="shared" ref="EL5:EL68" si="45">EXP(-1.0587+0.8836*LN(EK5)+0.284)</f>
        <v>2.5118214185487715</v>
      </c>
      <c r="EM5" s="20">
        <f t="shared" si="19"/>
        <v>16.243789003972445</v>
      </c>
      <c r="EN5" s="59">
        <f t="shared" si="20"/>
        <v>309.57712233730575</v>
      </c>
      <c r="EO5" s="59">
        <f ca="1">AVERAGE(OFFSET($EN$3,0,0,'Données projet'!$E$15+1,1))-AVERAGE(OFFSET($H$3,0,0,'Données projet'!$E$15+1,1))</f>
        <v>420.38735944595965</v>
      </c>
      <c r="EP5" s="59">
        <f t="shared" ref="EP5:EP68" si="46">$EP$3</f>
        <v>200.0823542414671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4.016578947368421</v>
      </c>
      <c r="FE5" s="12">
        <f>IF('Données projet'!$A$218&gt;35,FE4+FD5-FM4,IF(A5&lt;'Données projet'!$A$218,$FB$205^A5,IF(A5='Données projet'!$A$218,'Données projet'!$B$218,FE4+FD5-FM4)))</f>
        <v>8.0331578947368421</v>
      </c>
      <c r="FF5" s="17">
        <f>FE5*VLOOKUP('Données projet'!$B$16,Paramètres!$A$1:$I$89,3,0)*VLOOKUP('Données projet'!$B$16,Paramètres!$A$1:$I$89,5,0)</f>
        <v>8.6468911578947374</v>
      </c>
      <c r="FG5" s="13">
        <f t="shared" ref="FG5:FG68" si="47">EXP(-1.0587+0.8836*LN(FF5)+0.284)</f>
        <v>3.0999990027110371</v>
      </c>
      <c r="FH5" s="20">
        <f t="shared" si="22"/>
        <v>20.459167029721723</v>
      </c>
      <c r="FI5" s="59">
        <f t="shared" si="23"/>
        <v>313.79250036305501</v>
      </c>
      <c r="FJ5" s="59">
        <f ca="1">AVERAGE(OFFSET($FI$3,0,0,'Données projet'!$E$16+1,1))-AVERAGE(OFFSET($H$3,0,0,'Données projet'!$E$16+1,1))</f>
        <v>415.8741608506952</v>
      </c>
      <c r="FK5" s="59">
        <f t="shared" ref="FK5:FK68" si="48">$FK$3</f>
        <v>259.15848913719356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4.016578947368421</v>
      </c>
      <c r="FZ5" s="12">
        <f>IF('Données projet'!$A$244&gt;35,FZ4+FY5-GH4,IF(A5&lt;'Données projet'!$A$244,$FW$205^A5,IF(A5='Données projet'!$A$244,'Données projet'!$B$244,FZ4+FY5-GH4)))</f>
        <v>8.0331578947368421</v>
      </c>
      <c r="GA5" s="17">
        <f>FZ5*VLOOKUP('Données projet'!$B$17,Paramètres!$A$1:$I$89,3,0)*VLOOKUP('Données projet'!$B$17,Paramètres!$A$1:$I$89,5,0)</f>
        <v>6.892449473684211</v>
      </c>
      <c r="GB5" s="13">
        <f t="shared" ref="GB5:GB68" si="49">EXP(-1.0587+0.8836*LN(GA5)+0.284)</f>
        <v>2.5371080890997084</v>
      </c>
      <c r="GC5" s="20">
        <f t="shared" si="25"/>
        <v>16.423146088515324</v>
      </c>
      <c r="GD5" s="59">
        <f t="shared" si="26"/>
        <v>309.75647942184867</v>
      </c>
      <c r="GE5" s="59">
        <f ca="1">AVERAGE(OFFSET($GD$3,0,0,'Données projet'!$E$17+1,1))-AVERAGE(OFFSET($H$3,0,0,'Données projet'!$E$17+1,1))</f>
        <v>322.39807389980882</v>
      </c>
      <c r="GF5" s="59">
        <f t="shared" ref="GF5:GF68" si="50">$GF$3</f>
        <v>202.59410055732792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1.0997999999999999</v>
      </c>
      <c r="D6" s="11">
        <f t="shared" si="32"/>
        <v>0.50125286018290338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12.359004534745219</v>
      </c>
      <c r="H6" s="67">
        <f t="shared" si="1"/>
        <v>296.1218337314852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6.4429411764705877</v>
      </c>
      <c r="N6" s="13">
        <f>IF('Données projet'!$A$36&gt;35,N5+M6-V5,IF(A6&lt;'Données projet'!$A$36,$K$205^A6,IF(A6='Données projet'!$A$36,'Données projet'!$B$36,N5+M6-V5)))</f>
        <v>19.328823529411764</v>
      </c>
      <c r="O6" s="13">
        <f>N6*VLOOKUP('Données projet'!$B$9,Paramètres!$A$1:$I$89,3,0)*VLOOKUP('Données projet'!$B$9,Paramètres!$A$1:$I$89,5,0)</f>
        <v>9.0458894117647048</v>
      </c>
      <c r="P6" s="13">
        <f t="shared" si="33"/>
        <v>3.2260597792347325</v>
      </c>
      <c r="Q6" s="20">
        <f t="shared" si="2"/>
        <v>21.373644840990689</v>
      </c>
      <c r="R6" s="59">
        <f t="shared" si="0"/>
        <v>314.70697817432398</v>
      </c>
      <c r="S6" s="59">
        <f ca="1">AVERAGE(OFFSET($R$3,0,0,'Données projet'!$E$9+1,1))-AVERAGE(OFFSET($H$3,0,0,'Données projet'!$E$9+1,1))</f>
        <v>215.77907571824977</v>
      </c>
      <c r="T6" s="59">
        <f t="shared" si="34"/>
        <v>174.69390149594869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5.699583333333333</v>
      </c>
      <c r="AI6" s="13">
        <f>IF('Données projet'!$A$62&gt;35,AI5+AH6-AQ5,IF(A6&lt;'Données projet'!$A$62,$AF$205^A6,IF(A6='Données projet'!$A$62,'Données projet'!$B$62,AI5+AH6-AQ5)))</f>
        <v>1.8492975474210851</v>
      </c>
      <c r="AJ6" s="13">
        <f>AI6*VLOOKUP('Données projet'!$B$10,Paramètres!$A$1:$I$89,3,0)*VLOOKUP('Données projet'!$B$10,Paramètres!$A$1:$I$89,5,0)</f>
        <v>1.1058799333578091</v>
      </c>
      <c r="AK6" s="13">
        <f t="shared" si="35"/>
        <v>0.50370056029616384</v>
      </c>
      <c r="AL6" s="20">
        <f t="shared" si="4"/>
        <v>2.8033526931140025</v>
      </c>
      <c r="AM6" s="59">
        <f t="shared" si="5"/>
        <v>296.13668602644731</v>
      </c>
      <c r="AN6" s="59">
        <f ca="1">AVERAGE(OFFSET($AM$3,0,0,'Données projet'!$E$10+1,1))-AVERAGE(OFFSET($H$3,0,0,'Données projet'!$E$10+1,1))</f>
        <v>171.701352621833</v>
      </c>
      <c r="AO6" s="59">
        <f t="shared" si="36"/>
        <v>195.58435749168586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8.0399999999999991</v>
      </c>
      <c r="BD6" s="12">
        <f>IF('Données projet'!$A$88&gt;35,BD5+BC6-BL5,IF(A6&lt;'Données projet'!$A$88,$BA$205^A6,IF(A6='Données projet'!$A$88,'Données projet'!$B$88,BD5+BC6-BL5)))</f>
        <v>1.8896593769004606</v>
      </c>
      <c r="BE6" s="13">
        <f>BD6*VLOOKUP('Données projet'!$B$11,Paramètres!$A$1:$I$89,3,0)*VLOOKUP('Données projet'!$B$11,Paramètres!$A$1:$I$89,5,0)</f>
        <v>0.98262287598823961</v>
      </c>
      <c r="BF6" s="13">
        <f t="shared" si="37"/>
        <v>0.4537588449504989</v>
      </c>
      <c r="BG6" s="20">
        <f t="shared" si="7"/>
        <v>2.5016981639683027</v>
      </c>
      <c r="BH6" s="59">
        <f t="shared" si="8"/>
        <v>295.8350314973016</v>
      </c>
      <c r="BI6" s="59">
        <f ca="1">AVERAGE(OFFSET($BH$3,0,0,'Données projet'!$E$11+1,1))-AVERAGE(OFFSET($H$3,0,0,'Données projet'!$E$11+1,1))</f>
        <v>348.29124901999882</v>
      </c>
      <c r="BJ6" s="59">
        <f t="shared" si="38"/>
        <v>284.30034973939053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4.5468888888888888</v>
      </c>
      <c r="BY6" s="12">
        <f>IF('Données projet'!$A$114&gt;35,BY5+BX6-CG5,IF(A6&lt;'Données projet'!$A$114,$BV$205^A6,IF(A6='Données projet'!$A$114,'Données projet'!$B$114,BY5+BX6-CG5)))</f>
        <v>13.640666666666666</v>
      </c>
      <c r="BZ6" s="13">
        <f>BY6*VLOOKUP('Données projet'!$B$12,Paramètres!$A$1:$I$89,3,0)*VLOOKUP('Données projet'!$B$12,Paramètres!$A$1:$I$89,5,0)</f>
        <v>8.1571186666666673</v>
      </c>
      <c r="CA6" s="13">
        <f t="shared" si="39"/>
        <v>2.9443264739628709</v>
      </c>
      <c r="CB6" s="20">
        <f t="shared" si="10"/>
        <v>19.335016953263111</v>
      </c>
      <c r="CC6" s="59">
        <f t="shared" si="11"/>
        <v>312.66835028659642</v>
      </c>
      <c r="CD6" s="59">
        <f ca="1">AVERAGE(OFFSET($CC$3,0,0,'Données projet'!$E$12+1,1))-AVERAGE(OFFSET($H$3,0,0,'Données projet'!$E$12+1,1))</f>
        <v>185.82627135915504</v>
      </c>
      <c r="CE6" s="59">
        <f t="shared" si="40"/>
        <v>155.46126452522037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1.6615384615384616</v>
      </c>
      <c r="CT6" s="12">
        <f>IF('Données projet'!$A$140&gt;35,CT5+CS6-DB5,IF(A6&lt;'Données projet'!$A$140,$CQ$205^A6,IF(A6='Données projet'!$A$140,'Données projet'!$B$140,CT5+CS6-DB5)))</f>
        <v>2.3235558704464783</v>
      </c>
      <c r="CU6" s="17">
        <f>CT6*VLOOKUP('Données projet'!$B$13,Paramètres!$A$1:$I$89,3,0)*VLOOKUP('Données projet'!$B$13,Paramètres!$A$1:$I$89,5,0)</f>
        <v>2.6767363627543426</v>
      </c>
      <c r="CV6" s="13">
        <f t="shared" si="41"/>
        <v>1.0999789440606296</v>
      </c>
      <c r="CW6" s="20">
        <f t="shared" si="13"/>
        <v>6.5777791593694097</v>
      </c>
      <c r="CX6" s="59">
        <f t="shared" si="14"/>
        <v>299.91111249270273</v>
      </c>
      <c r="CY6" s="59">
        <f ca="1">AVERAGE(OFFSET($CX$3,0,0,'Données projet'!$E$13+1,1))-AVERAGE(OFFSET($H$3,0,0,'Données projet'!$E$13+1,1))</f>
        <v>150.78964413039063</v>
      </c>
      <c r="CZ6" s="59">
        <f t="shared" si="42"/>
        <v>131.90332435966184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2.2435897435897436</v>
      </c>
      <c r="DO6" s="12">
        <f>IF('Données projet'!$A$166&gt;35,DO5+DN6-DW5,IF(A6&lt;'Données projet'!$A$166,$DL$205^A6,IF(A6='Données projet'!$A$166,'Données projet'!$B$166,DO5+DN6-DW5)))</f>
        <v>1.523373758035643</v>
      </c>
      <c r="DP6" s="17">
        <f>DO6*VLOOKUP('Données projet'!$B$14,Paramètres!$A$1:$I$89,3,0)*VLOOKUP('Données projet'!$B$14,Paramètres!$A$1:$I$89,5,0)</f>
        <v>1.5922302518988543</v>
      </c>
      <c r="DQ6" s="13">
        <f t="shared" si="43"/>
        <v>0.6950954610607184</v>
      </c>
      <c r="DR6" s="20">
        <f t="shared" si="16"/>
        <v>3.9837589500712558</v>
      </c>
      <c r="DS6" s="59">
        <f t="shared" si="17"/>
        <v>297.31709228340458</v>
      </c>
      <c r="DT6" s="59">
        <f ca="1">AVERAGE(OFFSET($DS$3,0,0,'Données projet'!$E$14+1,1))-AVERAGE(OFFSET($H$3,0,0,'Données projet'!$E$14+1,1))</f>
        <v>110.10595934547638</v>
      </c>
      <c r="DU6" s="59">
        <f t="shared" si="44"/>
        <v>131.10971921141493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3.3603333333333336</v>
      </c>
      <c r="EJ6" s="12">
        <f>IF('Données projet'!$A$192&gt;35,EJ5+EI6-ER5,IF(A6&lt;'Données projet'!$A$192,$EG$205^A6,IF(A6='Données projet'!$A$192,'Données projet'!$B$192,EJ5+EI6-ER5)))</f>
        <v>10.081000000000001</v>
      </c>
      <c r="EK6" s="17">
        <f>EJ6*VLOOKUP('Données projet'!$B$15,Paramètres!$A$1:$I$89,3,0)*VLOOKUP('Données projet'!$B$15,Paramètres!$A$1:$I$89,5,0)</f>
        <v>10.222134000000002</v>
      </c>
      <c r="EL6" s="13">
        <f t="shared" si="45"/>
        <v>3.594040741454803</v>
      </c>
      <c r="EM6" s="20">
        <f t="shared" si="19"/>
        <v>24.063171008033788</v>
      </c>
      <c r="EN6" s="59">
        <f t="shared" si="20"/>
        <v>317.39650434136712</v>
      </c>
      <c r="EO6" s="59">
        <f ca="1">AVERAGE(OFFSET($EN$3,0,0,'Données projet'!$E$15+1,1))-AVERAGE(OFFSET($H$3,0,0,'Données projet'!$E$15+1,1))</f>
        <v>420.38735944595965</v>
      </c>
      <c r="EP6" s="59">
        <f t="shared" si="46"/>
        <v>200.0823542414671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4.016578947368421</v>
      </c>
      <c r="FE6" s="12">
        <f>IF('Données projet'!$A$218&gt;35,FE5+FD6-FM5,IF(A6&lt;'Données projet'!$A$218,$FB$205^A6,IF(A6='Données projet'!$A$218,'Données projet'!$B$218,FE5+FD6-FM5)))</f>
        <v>12.049736842105263</v>
      </c>
      <c r="FF6" s="17">
        <f>FE6*VLOOKUP('Données projet'!$B$16,Paramètres!$A$1:$I$89,3,0)*VLOOKUP('Données projet'!$B$16,Paramètres!$A$1:$I$89,5,0)</f>
        <v>12.970336736842105</v>
      </c>
      <c r="FG6" s="13">
        <f t="shared" si="47"/>
        <v>4.4356348870732401</v>
      </c>
      <c r="FH6" s="20">
        <f t="shared" si="22"/>
        <v>30.315400578319224</v>
      </c>
      <c r="FI6" s="59">
        <f t="shared" si="23"/>
        <v>323.64873391165253</v>
      </c>
      <c r="FJ6" s="59">
        <f ca="1">AVERAGE(OFFSET($FI$3,0,0,'Données projet'!$E$16+1,1))-AVERAGE(OFFSET($H$3,0,0,'Données projet'!$E$16+1,1))</f>
        <v>415.8741608506952</v>
      </c>
      <c r="FK6" s="59">
        <f t="shared" si="48"/>
        <v>259.15848913719356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4.016578947368421</v>
      </c>
      <c r="FZ6" s="12">
        <f>IF('Données projet'!$A$244&gt;35,FZ5+FY6-GH5,IF(A6&lt;'Données projet'!$A$244,$FW$205^A6,IF(A6='Données projet'!$A$244,'Données projet'!$B$244,FZ5+FY6-GH5)))</f>
        <v>12.049736842105263</v>
      </c>
      <c r="GA6" s="17">
        <f>FZ6*VLOOKUP('Données projet'!$B$17,Paramètres!$A$1:$I$89,3,0)*VLOOKUP('Données projet'!$B$17,Paramètres!$A$1:$I$89,5,0)</f>
        <v>10.338674210526317</v>
      </c>
      <c r="GB6" s="13">
        <f t="shared" si="49"/>
        <v>3.6302221847312599</v>
      </c>
      <c r="GC6" s="20">
        <f t="shared" si="25"/>
        <v>24.329161221740279</v>
      </c>
      <c r="GD6" s="59">
        <f t="shared" si="26"/>
        <v>317.66249455507358</v>
      </c>
      <c r="GE6" s="59">
        <f ca="1">AVERAGE(OFFSET($GD$3,0,0,'Données projet'!$E$17+1,1))-AVERAGE(OFFSET($H$3,0,0,'Données projet'!$E$17+1,1))</f>
        <v>322.39807389980882</v>
      </c>
      <c r="GF6" s="59">
        <f t="shared" si="50"/>
        <v>202.59410055732792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7" s="11">
        <f t="shared" si="32"/>
        <v>0.64632764391155073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16.308774795106711</v>
      </c>
      <c r="H7" s="67">
        <f t="shared" si="1"/>
        <v>297.01300064647927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6.4429411764705877</v>
      </c>
      <c r="N7" s="13">
        <f>IF('Données projet'!$A$36&gt;35,N6+M7-V6,IF(A7&lt;'Données projet'!$A$36,$K$205^A7,IF(A7='Données projet'!$A$36,'Données projet'!$B$36,N6+M7-V6)))</f>
        <v>25.771764705882351</v>
      </c>
      <c r="O7" s="13">
        <f>N7*VLOOKUP('Données projet'!$B$9,Paramètres!$A$1:$I$89,3,0)*VLOOKUP('Données projet'!$B$9,Paramètres!$A$1:$I$89,5,0)</f>
        <v>12.061185882352939</v>
      </c>
      <c r="P7" s="13">
        <f t="shared" si="33"/>
        <v>4.1597600370195753</v>
      </c>
      <c r="Q7" s="20">
        <f t="shared" si="2"/>
        <v>28.251480809573795</v>
      </c>
      <c r="R7" s="59">
        <f t="shared" si="0"/>
        <v>321.58481414290713</v>
      </c>
      <c r="S7" s="59">
        <f ca="1">AVERAGE(OFFSET($R$3,0,0,'Données projet'!$E$9+1,1))-AVERAGE(OFFSET($H$3,0,0,'Données projet'!$E$9+1,1))</f>
        <v>215.77907571824977</v>
      </c>
      <c r="T7" s="59">
        <f t="shared" si="34"/>
        <v>174.69390149594869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5.699583333333333</v>
      </c>
      <c r="AI7" s="13">
        <f>IF('Données projet'!$A$62&gt;35,AI6+AH7-AQ6,IF(A7&lt;'Données projet'!$A$62,$AF$205^A7,IF(A7='Données projet'!$A$62,'Données projet'!$B$62,AI6+AH7-AQ6)))</f>
        <v>2.2699121958817137</v>
      </c>
      <c r="AJ7" s="13">
        <f>AI7*VLOOKUP('Données projet'!$B$10,Paramètres!$A$1:$I$89,3,0)*VLOOKUP('Données projet'!$B$10,Paramètres!$A$1:$I$89,5,0)</f>
        <v>1.3574074931372648</v>
      </c>
      <c r="AK7" s="13">
        <f t="shared" si="35"/>
        <v>0.60369118571753033</v>
      </c>
      <c r="AL7" s="20">
        <f t="shared" si="4"/>
        <v>3.4155801990054346</v>
      </c>
      <c r="AM7" s="59">
        <f t="shared" si="5"/>
        <v>296.74891353233875</v>
      </c>
      <c r="AN7" s="59">
        <f ca="1">AVERAGE(OFFSET($AM$3,0,0,'Données projet'!$E$10+1,1))-AVERAGE(OFFSET($H$3,0,0,'Données projet'!$E$10+1,1))</f>
        <v>171.701352621833</v>
      </c>
      <c r="AO7" s="59">
        <f t="shared" si="36"/>
        <v>195.58435749168586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8.0399999999999991</v>
      </c>
      <c r="BD7" s="12">
        <f>IF('Données projet'!$A$88&gt;35,BD6+BC7-BL6,IF(A7&lt;'Données projet'!$A$88,$BA$205^A7,IF(A7='Données projet'!$A$88,'Données projet'!$B$88,BD6+BC7-BL6)))</f>
        <v>2.3362072598695751</v>
      </c>
      <c r="BE7" s="13">
        <f>BD7*VLOOKUP('Données projet'!$B$11,Paramètres!$A$1:$I$89,3,0)*VLOOKUP('Données projet'!$B$11,Paramètres!$A$1:$I$89,5,0)</f>
        <v>1.2148277751321792</v>
      </c>
      <c r="BF7" s="13">
        <f t="shared" si="37"/>
        <v>0.54730481019349475</v>
      </c>
      <c r="BG7" s="20">
        <f t="shared" si="7"/>
        <v>3.0690475861088822</v>
      </c>
      <c r="BH7" s="59">
        <f t="shared" si="8"/>
        <v>296.40238091944218</v>
      </c>
      <c r="BI7" s="59">
        <f ca="1">AVERAGE(OFFSET($BH$3,0,0,'Données projet'!$E$11+1,1))-AVERAGE(OFFSET($H$3,0,0,'Données projet'!$E$11+1,1))</f>
        <v>348.29124901999882</v>
      </c>
      <c r="BJ7" s="59">
        <f t="shared" si="38"/>
        <v>284.30034973939053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4.5468888888888888</v>
      </c>
      <c r="BY7" s="12">
        <f>IF('Données projet'!$A$114&gt;35,BY6+BX7-CG6,IF(A7&lt;'Données projet'!$A$114,$BV$205^A7,IF(A7='Données projet'!$A$114,'Données projet'!$B$114,BY6+BX7-CG6)))</f>
        <v>18.187555555555555</v>
      </c>
      <c r="BZ7" s="13">
        <f>BY7*VLOOKUP('Données projet'!$B$12,Paramètres!$A$1:$I$89,3,0)*VLOOKUP('Données projet'!$B$12,Paramètres!$A$1:$I$89,5,0)</f>
        <v>10.876158222222223</v>
      </c>
      <c r="CA7" s="13">
        <f t="shared" si="39"/>
        <v>3.7964862527236964</v>
      </c>
      <c r="CB7" s="20">
        <f t="shared" si="10"/>
        <v>25.554855793864139</v>
      </c>
      <c r="CC7" s="59">
        <f t="shared" si="11"/>
        <v>318.88818912719745</v>
      </c>
      <c r="CD7" s="59">
        <f ca="1">AVERAGE(OFFSET($CC$3,0,0,'Données projet'!$E$12+1,1))-AVERAGE(OFFSET($H$3,0,0,'Données projet'!$E$12+1,1))</f>
        <v>185.82627135915504</v>
      </c>
      <c r="CE7" s="59">
        <f t="shared" si="40"/>
        <v>155.46126452522037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1.6615384615384616</v>
      </c>
      <c r="CT7" s="12">
        <f>IF('Données projet'!$A$140&gt;35,CT6+CS7-DB6,IF(A7&lt;'Données projet'!$A$140,$CQ$205^A7,IF(A7='Données projet'!$A$140,'Données projet'!$B$140,CT6+CS7-DB6)))</f>
        <v>3.0775432115195795</v>
      </c>
      <c r="CU7" s="17">
        <f>CT7*VLOOKUP('Données projet'!$B$13,Paramètres!$A$1:$I$89,3,0)*VLOOKUP('Données projet'!$B$13,Paramètres!$A$1:$I$89,5,0)</f>
        <v>3.5453297796705554</v>
      </c>
      <c r="CV7" s="13">
        <f t="shared" si="41"/>
        <v>1.4100310321088469</v>
      </c>
      <c r="CW7" s="20">
        <f t="shared" si="13"/>
        <v>8.6305867471824591</v>
      </c>
      <c r="CX7" s="59">
        <f t="shared" si="14"/>
        <v>301.96392008051578</v>
      </c>
      <c r="CY7" s="59">
        <f ca="1">AVERAGE(OFFSET($CX$3,0,0,'Données projet'!$E$13+1,1))-AVERAGE(OFFSET($H$3,0,0,'Données projet'!$E$13+1,1))</f>
        <v>150.78964413039063</v>
      </c>
      <c r="CZ7" s="59">
        <f t="shared" si="42"/>
        <v>131.90332435966184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2.2435897435897436</v>
      </c>
      <c r="DO7" s="12">
        <f>IF('Données projet'!$A$166&gt;35,DO6+DN7-DW6,IF(A7&lt;'Données projet'!$A$166,$DL$205^A7,IF(A7='Données projet'!$A$166,'Données projet'!$B$166,DO6+DN7-DW6)))</f>
        <v>1.752838727761544</v>
      </c>
      <c r="DP7" s="17">
        <f>DO7*VLOOKUP('Données projet'!$B$14,Paramètres!$A$1:$I$89,3,0)*VLOOKUP('Données projet'!$B$14,Paramètres!$A$1:$I$89,5,0)</f>
        <v>1.832067038256366</v>
      </c>
      <c r="DQ7" s="13">
        <f t="shared" si="43"/>
        <v>0.78684112668042205</v>
      </c>
      <c r="DR7" s="20">
        <f t="shared" si="16"/>
        <v>4.5612650539315718</v>
      </c>
      <c r="DS7" s="59">
        <f t="shared" si="17"/>
        <v>297.89459838726486</v>
      </c>
      <c r="DT7" s="59">
        <f ca="1">AVERAGE(OFFSET($DS$3,0,0,'Données projet'!$E$14+1,1))-AVERAGE(OFFSET($H$3,0,0,'Données projet'!$E$14+1,1))</f>
        <v>110.10595934547638</v>
      </c>
      <c r="DU7" s="59">
        <f t="shared" si="44"/>
        <v>131.10971921141493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3.3603333333333336</v>
      </c>
      <c r="EJ7" s="12">
        <f>IF('Données projet'!$A$192&gt;35,EJ6+EI7-ER6,IF(A7&lt;'Données projet'!$A$192,$EG$205^A7,IF(A7='Données projet'!$A$192,'Données projet'!$B$192,EJ6+EI7-ER6)))</f>
        <v>13.441333333333334</v>
      </c>
      <c r="EK7" s="17">
        <f>EJ7*VLOOKUP('Données projet'!$B$15,Paramètres!$A$1:$I$89,3,0)*VLOOKUP('Données projet'!$B$15,Paramètres!$A$1:$I$89,5,0)</f>
        <v>13.629512000000002</v>
      </c>
      <c r="EL7" s="13">
        <f t="shared" si="45"/>
        <v>4.6342436503982958</v>
      </c>
      <c r="EM7" s="20">
        <f t="shared" si="19"/>
        <v>31.8093744244437</v>
      </c>
      <c r="EN7" s="59">
        <f t="shared" si="20"/>
        <v>325.14270775777703</v>
      </c>
      <c r="EO7" s="59">
        <f ca="1">AVERAGE(OFFSET($EN$3,0,0,'Données projet'!$E$15+1,1))-AVERAGE(OFFSET($H$3,0,0,'Données projet'!$E$15+1,1))</f>
        <v>420.38735944595965</v>
      </c>
      <c r="EP7" s="59">
        <f t="shared" si="46"/>
        <v>200.0823542414671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4.016578947368421</v>
      </c>
      <c r="FE7" s="12">
        <f>IF('Données projet'!$A$218&gt;35,FE6+FD7-FM6,IF(A7&lt;'Données projet'!$A$218,$FB$205^A7,IF(A7='Données projet'!$A$218,'Données projet'!$B$218,FE6+FD7-FM6)))</f>
        <v>16.066315789473684</v>
      </c>
      <c r="FF7" s="17">
        <f>FE7*VLOOKUP('Données projet'!$B$16,Paramètres!$A$1:$I$89,3,0)*VLOOKUP('Données projet'!$B$16,Paramètres!$A$1:$I$89,5,0)</f>
        <v>17.293782315789475</v>
      </c>
      <c r="FG7" s="13">
        <f t="shared" si="47"/>
        <v>5.7194156353897379</v>
      </c>
      <c r="FH7" s="20">
        <f t="shared" si="22"/>
        <v>40.081319764970452</v>
      </c>
      <c r="FI7" s="59">
        <f t="shared" si="23"/>
        <v>333.41465309830375</v>
      </c>
      <c r="FJ7" s="59">
        <f ca="1">AVERAGE(OFFSET($FI$3,0,0,'Données projet'!$E$16+1,1))-AVERAGE(OFFSET($H$3,0,0,'Données projet'!$E$16+1,1))</f>
        <v>415.8741608506952</v>
      </c>
      <c r="FK7" s="59">
        <f t="shared" si="48"/>
        <v>259.15848913719356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4.016578947368421</v>
      </c>
      <c r="FZ7" s="12">
        <f>IF('Données projet'!$A$244&gt;35,FZ6+FY7-GH6,IF(A7&lt;'Données projet'!$A$244,$FW$205^A7,IF(A7='Données projet'!$A$244,'Données projet'!$B$244,FZ6+FY7-GH6)))</f>
        <v>16.066315789473684</v>
      </c>
      <c r="GA7" s="17">
        <f>FZ7*VLOOKUP('Données projet'!$B$17,Paramètres!$A$1:$I$89,3,0)*VLOOKUP('Données projet'!$B$17,Paramètres!$A$1:$I$89,5,0)</f>
        <v>13.784898947368422</v>
      </c>
      <c r="GB7" s="13">
        <f t="shared" si="49"/>
        <v>4.6808968844120802</v>
      </c>
      <c r="GC7" s="20">
        <f t="shared" si="25"/>
        <v>32.161261073684372</v>
      </c>
      <c r="GD7" s="59">
        <f t="shared" si="26"/>
        <v>325.4945944070177</v>
      </c>
      <c r="GE7" s="59">
        <f ca="1">AVERAGE(OFFSET($GD$3,0,0,'Données projet'!$E$17+1,1))-AVERAGE(OFFSET($H$3,0,0,'Données projet'!$E$17+1,1))</f>
        <v>322.39807389980882</v>
      </c>
      <c r="GF7" s="59">
        <f t="shared" si="50"/>
        <v>202.59410055732792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1.833</v>
      </c>
      <c r="D8" s="11">
        <f t="shared" si="32"/>
        <v>0.78719516670652923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20.226067953524087</v>
      </c>
      <c r="H8" s="67">
        <f t="shared" si="1"/>
        <v>297.89683991534719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6.4429411764705877</v>
      </c>
      <c r="N8" s="13">
        <f>IF('Données projet'!$A$36&gt;35,N7+M8-V7,IF(A8&lt;'Données projet'!$A$36,$K$205^A8,IF(A8='Données projet'!$A$36,'Données projet'!$B$36,N7+M8-V7)))</f>
        <v>32.214705882352938</v>
      </c>
      <c r="O8" s="13">
        <f>N8*VLOOKUP('Données projet'!$B$9,Paramètres!$A$1:$I$89,3,0)*VLOOKUP('Données projet'!$B$9,Paramètres!$A$1:$I$89,5,0)</f>
        <v>15.076482352941174</v>
      </c>
      <c r="P8" s="13">
        <f t="shared" si="33"/>
        <v>5.0663823938944823</v>
      </c>
      <c r="Q8" s="20">
        <f t="shared" si="2"/>
        <v>35.082156100738764</v>
      </c>
      <c r="R8" s="59">
        <f t="shared" si="0"/>
        <v>328.41548943407207</v>
      </c>
      <c r="S8" s="59">
        <f ca="1">AVERAGE(OFFSET($R$3,0,0,'Données projet'!$E$9+1,1))-AVERAGE(OFFSET($H$3,0,0,'Données projet'!$E$9+1,1))</f>
        <v>215.77907571824977</v>
      </c>
      <c r="T8" s="59">
        <f t="shared" si="34"/>
        <v>174.69390149594869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5.699583333333333</v>
      </c>
      <c r="AI8" s="13">
        <f>IF('Données projet'!$A$62&gt;35,AI7+AH8-AQ7,IF(A8&lt;'Données projet'!$A$62,$AF$205^A8,IF(A8='Données projet'!$A$62,'Données projet'!$B$62,AI7+AH8-AQ7)))</f>
        <v>2.7861938086696214</v>
      </c>
      <c r="AJ8" s="13">
        <f>AI8*VLOOKUP('Données projet'!$B$10,Paramètres!$A$1:$I$89,3,0)*VLOOKUP('Données projet'!$B$10,Paramètres!$A$1:$I$89,5,0)</f>
        <v>1.6661438975844338</v>
      </c>
      <c r="AK8" s="13">
        <f t="shared" si="35"/>
        <v>0.72353115410225877</v>
      </c>
      <c r="AL8" s="20">
        <f t="shared" si="4"/>
        <v>4.1620173816876562</v>
      </c>
      <c r="AM8" s="59">
        <f t="shared" si="5"/>
        <v>297.49535071502095</v>
      </c>
      <c r="AN8" s="59">
        <f ca="1">AVERAGE(OFFSET($AM$3,0,0,'Données projet'!$E$10+1,1))-AVERAGE(OFFSET($H$3,0,0,'Données projet'!$E$10+1,1))</f>
        <v>171.701352621833</v>
      </c>
      <c r="AO8" s="59">
        <f t="shared" si="36"/>
        <v>195.58435749168586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8.0399999999999991</v>
      </c>
      <c r="BD8" s="12">
        <f>IF('Données projet'!$A$88&gt;35,BD7+BC8-BL7,IF(A8&lt;'Données projet'!$A$88,$BA$205^A8,IF(A8='Données projet'!$A$88,'Données projet'!$B$88,BD7+BC8-BL7)))</f>
        <v>2.8882794580786531</v>
      </c>
      <c r="BE8" s="13">
        <f>BD8*VLOOKUP('Données projet'!$B$11,Paramètres!$A$1:$I$89,3,0)*VLOOKUP('Données projet'!$B$11,Paramètres!$A$1:$I$89,5,0)</f>
        <v>1.5019053182008997</v>
      </c>
      <c r="BF8" s="13">
        <f t="shared" si="37"/>
        <v>0.6601360140839011</v>
      </c>
      <c r="BG8" s="20">
        <f t="shared" si="7"/>
        <v>3.7655553203960284</v>
      </c>
      <c r="BH8" s="59">
        <f t="shared" si="8"/>
        <v>297.09888865372932</v>
      </c>
      <c r="BI8" s="59">
        <f ca="1">AVERAGE(OFFSET($BH$3,0,0,'Données projet'!$E$11+1,1))-AVERAGE(OFFSET($H$3,0,0,'Données projet'!$E$11+1,1))</f>
        <v>348.29124901999882</v>
      </c>
      <c r="BJ8" s="59">
        <f t="shared" si="38"/>
        <v>284.30034973939053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4.5468888888888888</v>
      </c>
      <c r="BY8" s="12">
        <f>IF('Données projet'!$A$114&gt;35,BY7+BX8-CG7,IF(A8&lt;'Données projet'!$A$114,$BV$205^A8,IF(A8='Données projet'!$A$114,'Données projet'!$B$114,BY7+BX8-CG7)))</f>
        <v>22.734444444444442</v>
      </c>
      <c r="BZ8" s="13">
        <f>BY8*VLOOKUP('Données projet'!$B$12,Paramètres!$A$1:$I$89,3,0)*VLOOKUP('Données projet'!$B$12,Paramètres!$A$1:$I$89,5,0)</f>
        <v>13.595197777777777</v>
      </c>
      <c r="CA8" s="13">
        <f t="shared" si="39"/>
        <v>4.623932856291165</v>
      </c>
      <c r="CB8" s="20">
        <f t="shared" si="10"/>
        <v>31.731652521003408</v>
      </c>
      <c r="CC8" s="59">
        <f t="shared" si="11"/>
        <v>325.06498585433673</v>
      </c>
      <c r="CD8" s="59">
        <f ca="1">AVERAGE(OFFSET($CC$3,0,0,'Données projet'!$E$12+1,1))-AVERAGE(OFFSET($H$3,0,0,'Données projet'!$E$12+1,1))</f>
        <v>185.82627135915504</v>
      </c>
      <c r="CE8" s="59">
        <f t="shared" si="40"/>
        <v>155.46126452522037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1.6615384615384616</v>
      </c>
      <c r="CT8" s="12">
        <f>IF('Données projet'!$A$140&gt;35,CT7+CS8-DB7,IF(A8&lt;'Données projet'!$A$140,$CQ$205^A8,IF(A8='Données projet'!$A$140,'Données projet'!$B$140,CT7+CS8-DB7)))</f>
        <v>4.0761973229205433</v>
      </c>
      <c r="CU8" s="17">
        <f>CT8*VLOOKUP('Données projet'!$B$13,Paramètres!$A$1:$I$89,3,0)*VLOOKUP('Données projet'!$B$13,Paramètres!$A$1:$I$89,5,0)</f>
        <v>4.6957793160044652</v>
      </c>
      <c r="CV8" s="13">
        <f t="shared" si="41"/>
        <v>1.8074777905933752</v>
      </c>
      <c r="CW8" s="20">
        <f t="shared" si="13"/>
        <v>11.326506127324572</v>
      </c>
      <c r="CX8" s="59">
        <f t="shared" si="14"/>
        <v>304.65983946065791</v>
      </c>
      <c r="CY8" s="59">
        <f ca="1">AVERAGE(OFFSET($CX$3,0,0,'Données projet'!$E$13+1,1))-AVERAGE(OFFSET($H$3,0,0,'Données projet'!$E$13+1,1))</f>
        <v>150.78964413039063</v>
      </c>
      <c r="CZ8" s="59">
        <f t="shared" si="42"/>
        <v>131.90332435966184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2.2435897435897436</v>
      </c>
      <c r="DO8" s="12">
        <f>IF('Données projet'!$A$166&gt;35,DO7+DN8-DW7,IF(A8&lt;'Données projet'!$A$166,$DL$205^A8,IF(A8='Données projet'!$A$166,'Données projet'!$B$166,DO7+DN8-DW7)))</f>
        <v>2.0168678824443957</v>
      </c>
      <c r="DP8" s="17">
        <f>DO8*VLOOKUP('Données projet'!$B$14,Paramètres!$A$1:$I$89,3,0)*VLOOKUP('Données projet'!$B$14,Paramètres!$A$1:$I$89,5,0)</f>
        <v>2.1080303107308827</v>
      </c>
      <c r="DQ8" s="13">
        <f t="shared" si="43"/>
        <v>0.8906963047794012</v>
      </c>
      <c r="DR8" s="20">
        <f t="shared" si="16"/>
        <v>5.2227821886804113</v>
      </c>
      <c r="DS8" s="59">
        <f t="shared" si="17"/>
        <v>298.55611552201373</v>
      </c>
      <c r="DT8" s="59">
        <f ca="1">AVERAGE(OFFSET($DS$3,0,0,'Données projet'!$E$14+1,1))-AVERAGE(OFFSET($H$3,0,0,'Données projet'!$E$14+1,1))</f>
        <v>110.10595934547638</v>
      </c>
      <c r="DU8" s="59">
        <f t="shared" si="44"/>
        <v>131.10971921141493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3.3603333333333336</v>
      </c>
      <c r="EJ8" s="12">
        <f>IF('Données projet'!$A$192&gt;35,EJ7+EI8-ER7,IF(A8&lt;'Données projet'!$A$192,$EG$205^A8,IF(A8='Données projet'!$A$192,'Données projet'!$B$192,EJ7+EI8-ER7)))</f>
        <v>16.801666666666669</v>
      </c>
      <c r="EK8" s="17">
        <f>EJ8*VLOOKUP('Données projet'!$B$15,Paramètres!$A$1:$I$89,3,0)*VLOOKUP('Données projet'!$B$15,Paramètres!$A$1:$I$89,5,0)</f>
        <v>17.036890000000003</v>
      </c>
      <c r="EL8" s="13">
        <f t="shared" si="45"/>
        <v>5.6442800138581015</v>
      </c>
      <c r="EM8" s="20">
        <f t="shared" si="19"/>
        <v>39.503037774136196</v>
      </c>
      <c r="EN8" s="59">
        <f t="shared" si="20"/>
        <v>332.83637110746952</v>
      </c>
      <c r="EO8" s="59">
        <f ca="1">AVERAGE(OFFSET($EN$3,0,0,'Données projet'!$E$15+1,1))-AVERAGE(OFFSET($H$3,0,0,'Données projet'!$E$15+1,1))</f>
        <v>420.38735944595965</v>
      </c>
      <c r="EP8" s="59">
        <f t="shared" si="46"/>
        <v>200.0823542414671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4.016578947368421</v>
      </c>
      <c r="FE8" s="12">
        <f>IF('Données projet'!$A$218&gt;35,FE7+FD8-FM7,IF(A8&lt;'Données projet'!$A$218,$FB$205^A8,IF(A8='Données projet'!$A$218,'Données projet'!$B$218,FE7+FD8-FM7)))</f>
        <v>20.082894736842107</v>
      </c>
      <c r="FF8" s="17">
        <f>FE8*VLOOKUP('Données projet'!$B$16,Paramètres!$A$1:$I$89,3,0)*VLOOKUP('Données projet'!$B$16,Paramètres!$A$1:$I$89,5,0)</f>
        <v>21.617227894736843</v>
      </c>
      <c r="FG8" s="13">
        <f t="shared" si="47"/>
        <v>6.9659659260693632</v>
      </c>
      <c r="FH8" s="20">
        <f t="shared" si="22"/>
        <v>49.782395904570798</v>
      </c>
      <c r="FI8" s="59">
        <f t="shared" si="23"/>
        <v>343.11572923790413</v>
      </c>
      <c r="FJ8" s="59">
        <f ca="1">AVERAGE(OFFSET($FI$3,0,0,'Données projet'!$E$16+1,1))-AVERAGE(OFFSET($H$3,0,0,'Données projet'!$E$16+1,1))</f>
        <v>415.8741608506952</v>
      </c>
      <c r="FK8" s="59">
        <f t="shared" si="48"/>
        <v>259.15848913719356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4.016578947368421</v>
      </c>
      <c r="FZ8" s="12">
        <f>IF('Données projet'!$A$244&gt;35,FZ7+FY8-GH7,IF(A8&lt;'Données projet'!$A$244,$FW$205^A8,IF(A8='Données projet'!$A$244,'Données projet'!$B$244,FZ7+FY8-GH7)))</f>
        <v>20.082894736842107</v>
      </c>
      <c r="GA8" s="17">
        <f>FZ8*VLOOKUP('Données projet'!$B$17,Paramètres!$A$1:$I$89,3,0)*VLOOKUP('Données projet'!$B$17,Paramètres!$A$1:$I$89,5,0)</f>
        <v>17.23112368421053</v>
      </c>
      <c r="GB8" s="13">
        <f t="shared" si="49"/>
        <v>5.7011013500222516</v>
      </c>
      <c r="GC8" s="20">
        <f t="shared" si="25"/>
        <v>39.940291934622095</v>
      </c>
      <c r="GD8" s="59">
        <f t="shared" si="26"/>
        <v>333.27362526795542</v>
      </c>
      <c r="GE8" s="59">
        <f ca="1">AVERAGE(OFFSET($GD$3,0,0,'Données projet'!$E$17+1,1))-AVERAGE(OFFSET($H$3,0,0,'Données projet'!$E$17+1,1))</f>
        <v>322.39807389980882</v>
      </c>
      <c r="GF8" s="59">
        <f t="shared" si="50"/>
        <v>202.59410055732792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9" s="11">
        <f t="shared" si="32"/>
        <v>0.92479818325965968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24.118161414635967</v>
      </c>
      <c r="H9" s="67">
        <f t="shared" si="1"/>
        <v>298.77499350251054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6.4429411764705877</v>
      </c>
      <c r="N9" s="13">
        <f>IF('Données projet'!$A$36&gt;35,N8+M9-V8,IF(A9&lt;'Données projet'!$A$36,$K$205^A9,IF(A9='Données projet'!$A$36,'Données projet'!$B$36,N8+M9-V8)))</f>
        <v>38.657647058823528</v>
      </c>
      <c r="O9" s="13">
        <f>N9*VLOOKUP('Données projet'!$B$9,Paramètres!$A$1:$I$89,3,0)*VLOOKUP('Données projet'!$B$9,Paramètres!$A$1:$I$89,5,0)</f>
        <v>18.09177882352941</v>
      </c>
      <c r="P9" s="13">
        <f t="shared" si="33"/>
        <v>5.9519944122307828</v>
      </c>
      <c r="Q9" s="20">
        <f t="shared" si="2"/>
        <v>41.876238385615665</v>
      </c>
      <c r="R9" s="59">
        <f t="shared" si="0"/>
        <v>335.20957171894895</v>
      </c>
      <c r="S9" s="59">
        <f ca="1">AVERAGE(OFFSET($R$3,0,0,'Données projet'!$E$9+1,1))-AVERAGE(OFFSET($H$3,0,0,'Données projet'!$E$9+1,1))</f>
        <v>215.77907571824977</v>
      </c>
      <c r="T9" s="59">
        <f t="shared" si="34"/>
        <v>174.69390149594869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5.699583333333333</v>
      </c>
      <c r="AI9" s="13">
        <f>IF('Données projet'!$A$62&gt;35,AI8+AH9-AQ8,IF(A9&lt;'Données projet'!$A$62,$AF$205^A9,IF(A9='Données projet'!$A$62,'Données projet'!$B$62,AI8+AH9-AQ8)))</f>
        <v>3.4199014188976404</v>
      </c>
      <c r="AJ9" s="13">
        <f>AI9*VLOOKUP('Données projet'!$B$10,Paramètres!$A$1:$I$89,3,0)*VLOOKUP('Données projet'!$B$10,Paramètres!$A$1:$I$89,5,0)</f>
        <v>2.0451010485007894</v>
      </c>
      <c r="AK9" s="13">
        <f t="shared" si="35"/>
        <v>0.8671607990007878</v>
      </c>
      <c r="AL9" s="20">
        <f t="shared" si="4"/>
        <v>5.0721893843985804</v>
      </c>
      <c r="AM9" s="59">
        <f t="shared" si="5"/>
        <v>298.40552271773191</v>
      </c>
      <c r="AN9" s="59">
        <f ca="1">AVERAGE(OFFSET($AM$3,0,0,'Données projet'!$E$10+1,1))-AVERAGE(OFFSET($H$3,0,0,'Données projet'!$E$10+1,1))</f>
        <v>171.701352621833</v>
      </c>
      <c r="AO9" s="59">
        <f t="shared" si="36"/>
        <v>195.58435749168586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8.0399999999999991</v>
      </c>
      <c r="BD9" s="12">
        <f>IF('Données projet'!$A$88&gt;35,BD8+BC9-BL8,IF(A9&lt;'Données projet'!$A$88,$BA$205^A9,IF(A9='Données projet'!$A$88,'Données projet'!$B$88,BD8+BC9-BL8)))</f>
        <v>3.5708125607078376</v>
      </c>
      <c r="BE9" s="13">
        <f>BD9*VLOOKUP('Données projet'!$B$11,Paramètres!$A$1:$I$89,3,0)*VLOOKUP('Données projet'!$B$11,Paramètres!$A$1:$I$89,5,0)</f>
        <v>1.8568225315680758</v>
      </c>
      <c r="BF9" s="13">
        <f t="shared" si="37"/>
        <v>0.79622826069537844</v>
      </c>
      <c r="BG9" s="20">
        <f t="shared" si="7"/>
        <v>4.620730129858849</v>
      </c>
      <c r="BH9" s="59">
        <f t="shared" si="8"/>
        <v>297.95406346319214</v>
      </c>
      <c r="BI9" s="59">
        <f ca="1">AVERAGE(OFFSET($BH$3,0,0,'Données projet'!$E$11+1,1))-AVERAGE(OFFSET($H$3,0,0,'Données projet'!$E$11+1,1))</f>
        <v>348.29124901999882</v>
      </c>
      <c r="BJ9" s="59">
        <f t="shared" si="38"/>
        <v>284.30034973939053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4.5468888888888888</v>
      </c>
      <c r="BY9" s="12">
        <f>IF('Données projet'!$A$114&gt;35,BY8+BX9-CG8,IF(A9&lt;'Données projet'!$A$114,$BV$205^A9,IF(A9='Données projet'!$A$114,'Données projet'!$B$114,BY8+BX9-CG8)))</f>
        <v>27.281333333333329</v>
      </c>
      <c r="BZ9" s="13">
        <f>BY9*VLOOKUP('Données projet'!$B$12,Paramètres!$A$1:$I$89,3,0)*VLOOKUP('Données projet'!$B$12,Paramètres!$A$1:$I$89,5,0)</f>
        <v>16.314237333333331</v>
      </c>
      <c r="CA9" s="13">
        <f t="shared" si="39"/>
        <v>5.4322039639845912</v>
      </c>
      <c r="CB9" s="20">
        <f t="shared" si="10"/>
        <v>37.875051926162044</v>
      </c>
      <c r="CC9" s="59">
        <f t="shared" si="11"/>
        <v>331.20838525949534</v>
      </c>
      <c r="CD9" s="59">
        <f ca="1">AVERAGE(OFFSET($CC$3,0,0,'Données projet'!$E$12+1,1))-AVERAGE(OFFSET($H$3,0,0,'Données projet'!$E$12+1,1))</f>
        <v>185.82627135915504</v>
      </c>
      <c r="CE9" s="59">
        <f t="shared" si="40"/>
        <v>155.46126452522037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1.6615384615384616</v>
      </c>
      <c r="CT9" s="12">
        <f>IF('Données projet'!$A$140&gt;35,CT8+CS9-DB8,IF(A9&lt;'Données projet'!$A$140,$CQ$205^A9,IF(A9='Données projet'!$A$140,'Données projet'!$B$140,CT8+CS9-DB8)))</f>
        <v>5.3989118830862912</v>
      </c>
      <c r="CU9" s="17">
        <f>CT9*VLOOKUP('Données projet'!$B$13,Paramètres!$A$1:$I$89,3,0)*VLOOKUP('Données projet'!$B$13,Paramètres!$A$1:$I$89,5,0)</f>
        <v>6.2195464893154071</v>
      </c>
      <c r="CV9" s="13">
        <f t="shared" si="41"/>
        <v>2.3169532365555177</v>
      </c>
      <c r="CW9" s="20">
        <f t="shared" si="13"/>
        <v>14.867737022558529</v>
      </c>
      <c r="CX9" s="59">
        <f t="shared" si="14"/>
        <v>308.20107035589183</v>
      </c>
      <c r="CY9" s="59">
        <f ca="1">AVERAGE(OFFSET($CX$3,0,0,'Données projet'!$E$13+1,1))-AVERAGE(OFFSET($H$3,0,0,'Données projet'!$E$13+1,1))</f>
        <v>150.78964413039063</v>
      </c>
      <c r="CZ9" s="59">
        <f t="shared" si="42"/>
        <v>131.90332435966184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2.2435897435897436</v>
      </c>
      <c r="DO9" s="12">
        <f>IF('Données projet'!$A$166&gt;35,DO8+DN9-DW8,IF(A9&lt;'Données projet'!$A$166,$DL$205^A9,IF(A9='Données projet'!$A$166,'Données projet'!$B$166,DO8+DN9-DW8)))</f>
        <v>2.3206676066716376</v>
      </c>
      <c r="DP9" s="17">
        <f>DO9*VLOOKUP('Données projet'!$B$14,Paramètres!$A$1:$I$89,3,0)*VLOOKUP('Données projet'!$B$14,Paramètres!$A$1:$I$89,5,0)</f>
        <v>2.4255617824931961</v>
      </c>
      <c r="DQ9" s="13">
        <f t="shared" si="43"/>
        <v>1.0082593301835598</v>
      </c>
      <c r="DR9" s="20">
        <f t="shared" si="16"/>
        <v>5.9805717712453488</v>
      </c>
      <c r="DS9" s="59">
        <f t="shared" si="17"/>
        <v>299.31390510457868</v>
      </c>
      <c r="DT9" s="59">
        <f ca="1">AVERAGE(OFFSET($DS$3,0,0,'Données projet'!$E$14+1,1))-AVERAGE(OFFSET($H$3,0,0,'Données projet'!$E$14+1,1))</f>
        <v>110.10595934547638</v>
      </c>
      <c r="DU9" s="59">
        <f t="shared" si="44"/>
        <v>131.10971921141493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3.3603333333333336</v>
      </c>
      <c r="EJ9" s="12">
        <f>IF('Données projet'!$A$192&gt;35,EJ8+EI9-ER8,IF(A9&lt;'Données projet'!$A$192,$EG$205^A9,IF(A9='Données projet'!$A$192,'Données projet'!$B$192,EJ8+EI9-ER8)))</f>
        <v>20.162000000000003</v>
      </c>
      <c r="EK9" s="17">
        <f>EJ9*VLOOKUP('Données projet'!$B$15,Paramètres!$A$1:$I$89,3,0)*VLOOKUP('Données projet'!$B$15,Paramètres!$A$1:$I$89,5,0)</f>
        <v>20.444268000000005</v>
      </c>
      <c r="EL9" s="13">
        <f t="shared" si="45"/>
        <v>6.6309094915603763</v>
      </c>
      <c r="EM9" s="20">
        <f t="shared" si="19"/>
        <v>47.15593413113433</v>
      </c>
      <c r="EN9" s="59">
        <f t="shared" si="20"/>
        <v>340.48926746446762</v>
      </c>
      <c r="EO9" s="59">
        <f ca="1">AVERAGE(OFFSET($EN$3,0,0,'Données projet'!$E$15+1,1))-AVERAGE(OFFSET($H$3,0,0,'Données projet'!$E$15+1,1))</f>
        <v>420.38735944595965</v>
      </c>
      <c r="EP9" s="59">
        <f t="shared" si="46"/>
        <v>200.0823542414671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4.016578947368421</v>
      </c>
      <c r="FE9" s="12">
        <f>IF('Données projet'!$A$218&gt;35,FE8+FD9-FM8,IF(A9&lt;'Données projet'!$A$218,$FB$205^A9,IF(A9='Données projet'!$A$218,'Données projet'!$B$218,FE8+FD9-FM8)))</f>
        <v>24.09947368421053</v>
      </c>
      <c r="FF9" s="17">
        <f>FE9*VLOOKUP('Données projet'!$B$16,Paramètres!$A$1:$I$89,3,0)*VLOOKUP('Données projet'!$B$16,Paramètres!$A$1:$I$89,5,0)</f>
        <v>25.940673473684214</v>
      </c>
      <c r="FG9" s="13">
        <f t="shared" si="47"/>
        <v>8.1836282862738852</v>
      </c>
      <c r="FH9" s="20">
        <f t="shared" si="22"/>
        <v>59.433158898593696</v>
      </c>
      <c r="FI9" s="59">
        <f t="shared" si="23"/>
        <v>352.76649223192703</v>
      </c>
      <c r="FJ9" s="59">
        <f ca="1">AVERAGE(OFFSET($FI$3,0,0,'Données projet'!$E$16+1,1))-AVERAGE(OFFSET($H$3,0,0,'Données projet'!$E$16+1,1))</f>
        <v>415.8741608506952</v>
      </c>
      <c r="FK9" s="59">
        <f t="shared" si="48"/>
        <v>259.15848913719356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4.016578947368421</v>
      </c>
      <c r="FZ9" s="12">
        <f>IF('Données projet'!$A$244&gt;35,FZ8+FY9-GH8,IF(A9&lt;'Données projet'!$A$244,$FW$205^A9,IF(A9='Données projet'!$A$244,'Données projet'!$B$244,FZ8+FY9-GH8)))</f>
        <v>24.09947368421053</v>
      </c>
      <c r="GA9" s="17">
        <f>FZ9*VLOOKUP('Données projet'!$B$17,Paramètres!$A$1:$I$89,3,0)*VLOOKUP('Données projet'!$B$17,Paramètres!$A$1:$I$89,5,0)</f>
        <v>20.677348421052635</v>
      </c>
      <c r="GB9" s="13">
        <f t="shared" si="49"/>
        <v>6.6976632912246252</v>
      </c>
      <c r="GC9" s="20">
        <f t="shared" si="25"/>
        <v>47.67814539888289</v>
      </c>
      <c r="GD9" s="59">
        <f t="shared" si="26"/>
        <v>341.01147873221623</v>
      </c>
      <c r="GE9" s="59">
        <f ca="1">AVERAGE(OFFSET($GD$3,0,0,'Données projet'!$E$17+1,1))-AVERAGE(OFFSET($H$3,0,0,'Données projet'!$E$17+1,1))</f>
        <v>322.39807389980882</v>
      </c>
      <c r="GF9" s="59">
        <f t="shared" si="50"/>
        <v>202.59410055732792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2.5661999999999998</v>
      </c>
      <c r="D10" s="11">
        <f t="shared" si="32"/>
        <v>1.0597444510686176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27.989746639827928</v>
      </c>
      <c r="H10" s="67">
        <f t="shared" si="1"/>
        <v>299.64851991894449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6.4429411764705877</v>
      </c>
      <c r="N10" s="13">
        <f>IF('Données projet'!$A$36&gt;35,N9+M10-V9,IF(A10&lt;'Données projet'!$A$36,$K$205^A10,IF(A10='Données projet'!$A$36,'Données projet'!$B$36,N9+M10-V9)))</f>
        <v>45.100588235294119</v>
      </c>
      <c r="O10" s="13">
        <f>N10*VLOOKUP('Données projet'!$B$9,Paramètres!$A$1:$I$89,3,0)*VLOOKUP('Données projet'!$B$9,Paramètres!$A$1:$I$89,5,0)</f>
        <v>21.107075294117646</v>
      </c>
      <c r="P10" s="13">
        <f t="shared" si="33"/>
        <v>6.8205076148835628</v>
      </c>
      <c r="Q10" s="20">
        <f t="shared" si="2"/>
        <v>48.640540233177099</v>
      </c>
      <c r="R10" s="59">
        <f t="shared" si="0"/>
        <v>341.97387356651041</v>
      </c>
      <c r="S10" s="59">
        <f ca="1">AVERAGE(OFFSET($R$3,0,0,'Données projet'!$E$9+1,1))-AVERAGE(OFFSET($H$3,0,0,'Données projet'!$E$9+1,1))</f>
        <v>215.77907571824977</v>
      </c>
      <c r="T10" s="59">
        <f t="shared" si="34"/>
        <v>174.69390149594869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5.699583333333333</v>
      </c>
      <c r="AI10" s="13">
        <f>IF('Données projet'!$A$62&gt;35,AI9+AH10-AQ9,IF(A10&lt;'Données projet'!$A$62,$AF$205^A10,IF(A10='Données projet'!$A$62,'Données projet'!$B$62,AI9+AH10-AQ9)))</f>
        <v>4.1977430567052627</v>
      </c>
      <c r="AJ10" s="13">
        <f>AI10*VLOOKUP('Données projet'!$B$10,Paramètres!$A$1:$I$89,3,0)*VLOOKUP('Données projet'!$B$10,Paramètres!$A$1:$I$89,5,0)</f>
        <v>2.5102503479097473</v>
      </c>
      <c r="AK10" s="13">
        <f t="shared" si="35"/>
        <v>1.0393026576121789</v>
      </c>
      <c r="AL10" s="20">
        <f t="shared" si="4"/>
        <v>6.1821381512840219</v>
      </c>
      <c r="AM10" s="59">
        <f t="shared" si="5"/>
        <v>299.51547148461736</v>
      </c>
      <c r="AN10" s="59">
        <f ca="1">AVERAGE(OFFSET($AM$3,0,0,'Données projet'!$E$10+1,1))-AVERAGE(OFFSET($H$3,0,0,'Données projet'!$E$10+1,1))</f>
        <v>171.701352621833</v>
      </c>
      <c r="AO10" s="59">
        <f t="shared" si="36"/>
        <v>195.58435749168586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8.0399999999999991</v>
      </c>
      <c r="BD10" s="12">
        <f>IF('Données projet'!$A$88&gt;35,BD9+BC10-BL9,IF(A10&lt;'Données projet'!$A$88,$BA$205^A10,IF(A10='Données projet'!$A$88,'Données projet'!$B$88,BD9+BC10-BL9)))</f>
        <v>4.4146359549954735</v>
      </c>
      <c r="BE10" s="13">
        <f>BD10*VLOOKUP('Données projet'!$B$11,Paramètres!$A$1:$I$89,3,0)*VLOOKUP('Données projet'!$B$11,Paramètres!$A$1:$I$89,5,0)</f>
        <v>2.2956106965976466</v>
      </c>
      <c r="BF10" s="13">
        <f t="shared" si="37"/>
        <v>0.96037699747344907</v>
      </c>
      <c r="BG10" s="20">
        <f t="shared" si="7"/>
        <v>5.6708452338404918</v>
      </c>
      <c r="BH10" s="59">
        <f t="shared" si="8"/>
        <v>299.00417856717382</v>
      </c>
      <c r="BI10" s="59">
        <f ca="1">AVERAGE(OFFSET($BH$3,0,0,'Données projet'!$E$11+1,1))-AVERAGE(OFFSET($H$3,0,0,'Données projet'!$E$11+1,1))</f>
        <v>348.29124901999882</v>
      </c>
      <c r="BJ10" s="59">
        <f t="shared" si="38"/>
        <v>284.30034973939053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4.5468888888888888</v>
      </c>
      <c r="BY10" s="12">
        <f>IF('Données projet'!$A$114&gt;35,BY9+BX10-CG9,IF(A10&lt;'Données projet'!$A$114,$BV$205^A10,IF(A10='Données projet'!$A$114,'Données projet'!$B$114,BY9+BX10-CG9)))</f>
        <v>31.828222222222216</v>
      </c>
      <c r="BZ10" s="13">
        <f>BY10*VLOOKUP('Données projet'!$B$12,Paramètres!$A$1:$I$89,3,0)*VLOOKUP('Données projet'!$B$12,Paramètres!$A$1:$I$89,5,0)</f>
        <v>19.033276888888889</v>
      </c>
      <c r="CA10" s="13">
        <f t="shared" si="39"/>
        <v>6.2248695035436414</v>
      </c>
      <c r="CB10" s="20">
        <f t="shared" si="10"/>
        <v>43.991271633486654</v>
      </c>
      <c r="CC10" s="59">
        <f t="shared" si="11"/>
        <v>337.32460496681995</v>
      </c>
      <c r="CD10" s="59">
        <f ca="1">AVERAGE(OFFSET($CC$3,0,0,'Données projet'!$E$12+1,1))-AVERAGE(OFFSET($H$3,0,0,'Données projet'!$E$12+1,1))</f>
        <v>185.82627135915504</v>
      </c>
      <c r="CE10" s="59">
        <f t="shared" si="40"/>
        <v>155.46126452522037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1.6615384615384616</v>
      </c>
      <c r="CT10" s="12">
        <f>IF('Données projet'!$A$140&gt;35,CT9+CS10-DB9,IF(A10&lt;'Données projet'!$A$140,$CQ$205^A10,IF(A10='Données projet'!$A$140,'Données projet'!$B$140,CT9+CS10-DB9)))</f>
        <v>7.1508435956790271</v>
      </c>
      <c r="CU10" s="17">
        <f>CT10*VLOOKUP('Données projet'!$B$13,Paramètres!$A$1:$I$89,3,0)*VLOOKUP('Données projet'!$B$13,Paramètres!$A$1:$I$89,5,0)</f>
        <v>8.2377718222222391</v>
      </c>
      <c r="CV10" s="13">
        <f t="shared" si="41"/>
        <v>2.9700350003320048</v>
      </c>
      <c r="CW10" s="20">
        <f t="shared" si="13"/>
        <v>19.520263549281974</v>
      </c>
      <c r="CX10" s="59">
        <f t="shared" si="14"/>
        <v>312.85359688261531</v>
      </c>
      <c r="CY10" s="59">
        <f ca="1">AVERAGE(OFFSET($CX$3,0,0,'Données projet'!$E$13+1,1))-AVERAGE(OFFSET($H$3,0,0,'Données projet'!$E$13+1,1))</f>
        <v>150.78964413039063</v>
      </c>
      <c r="CZ10" s="59">
        <f t="shared" si="42"/>
        <v>131.90332435966184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2.2435897435897436</v>
      </c>
      <c r="DO10" s="12">
        <f>IF('Données projet'!$A$166&gt;35,DO9+DN10-DW9,IF(A10&lt;'Données projet'!$A$166,$DL$205^A10,IF(A10='Données projet'!$A$166,'Données projet'!$B$166,DO9+DN10-DW9)))</f>
        <v>2.6702285199405189</v>
      </c>
      <c r="DP10" s="17">
        <f>DO10*VLOOKUP('Données projet'!$B$14,Paramètres!$A$1:$I$89,3,0)*VLOOKUP('Données projet'!$B$14,Paramètres!$A$1:$I$89,5,0)</f>
        <v>2.7909228490418307</v>
      </c>
      <c r="DQ10" s="13">
        <f t="shared" si="43"/>
        <v>1.1413395019686075</v>
      </c>
      <c r="DR10" s="20">
        <f t="shared" si="16"/>
        <v>6.8486902613431795</v>
      </c>
      <c r="DS10" s="59">
        <f t="shared" si="17"/>
        <v>300.18202359467648</v>
      </c>
      <c r="DT10" s="59">
        <f ca="1">AVERAGE(OFFSET($DS$3,0,0,'Données projet'!$E$14+1,1))-AVERAGE(OFFSET($H$3,0,0,'Données projet'!$E$14+1,1))</f>
        <v>110.10595934547638</v>
      </c>
      <c r="DU10" s="59">
        <f t="shared" si="44"/>
        <v>131.10971921141493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3.3603333333333336</v>
      </c>
      <c r="EJ10" s="12">
        <f>IF('Données projet'!$A$192&gt;35,EJ9+EI10-ER9,IF(A10&lt;'Données projet'!$A$192,$EG$205^A10,IF(A10='Données projet'!$A$192,'Données projet'!$B$192,EJ9+EI10-ER9)))</f>
        <v>23.522333333333336</v>
      </c>
      <c r="EK10" s="17">
        <f>EJ10*VLOOKUP('Données projet'!$B$15,Paramètres!$A$1:$I$89,3,0)*VLOOKUP('Données projet'!$B$15,Paramètres!$A$1:$I$89,5,0)</f>
        <v>23.851646000000006</v>
      </c>
      <c r="EL10" s="13">
        <f t="shared" si="45"/>
        <v>7.5984897747645288</v>
      </c>
      <c r="EM10" s="20">
        <f t="shared" si="19"/>
        <v>54.775653141048224</v>
      </c>
      <c r="EN10" s="59">
        <f t="shared" si="20"/>
        <v>348.10898647438154</v>
      </c>
      <c r="EO10" s="59">
        <f ca="1">AVERAGE(OFFSET($EN$3,0,0,'Données projet'!$E$15+1,1))-AVERAGE(OFFSET($H$3,0,0,'Données projet'!$E$15+1,1))</f>
        <v>420.38735944595965</v>
      </c>
      <c r="EP10" s="59">
        <f t="shared" si="46"/>
        <v>200.0823542414671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4.016578947368421</v>
      </c>
      <c r="FE10" s="12">
        <f>IF('Données projet'!$A$218&gt;35,FE9+FD10-FM9,IF(A10&lt;'Données projet'!$A$218,$FB$205^A10,IF(A10='Données projet'!$A$218,'Données projet'!$B$218,FE9+FD10-FM9)))</f>
        <v>28.116052631578953</v>
      </c>
      <c r="FF10" s="17">
        <f>FE10*VLOOKUP('Données projet'!$B$16,Paramètres!$A$1:$I$89,3,0)*VLOOKUP('Données projet'!$B$16,Paramètres!$A$1:$I$89,5,0)</f>
        <v>30.264119052631585</v>
      </c>
      <c r="FG10" s="13">
        <f t="shared" si="47"/>
        <v>9.377780820695989</v>
      </c>
      <c r="FH10" s="20">
        <f t="shared" si="22"/>
        <v>69.042975612712198</v>
      </c>
      <c r="FI10" s="59">
        <f t="shared" si="23"/>
        <v>362.37630894604553</v>
      </c>
      <c r="FJ10" s="59">
        <f ca="1">AVERAGE(OFFSET($FI$3,0,0,'Données projet'!$E$16+1,1))-AVERAGE(OFFSET($H$3,0,0,'Données projet'!$E$16+1,1))</f>
        <v>415.8741608506952</v>
      </c>
      <c r="FK10" s="59">
        <f t="shared" si="48"/>
        <v>259.15848913719356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4.016578947368421</v>
      </c>
      <c r="FZ10" s="12">
        <f>IF('Données projet'!$A$244&gt;35,FZ9+FY10-GH9,IF(A10&lt;'Données projet'!$A$244,$FW$205^A10,IF(A10='Données projet'!$A$244,'Données projet'!$B$244,FZ9+FY10-GH9)))</f>
        <v>28.116052631578953</v>
      </c>
      <c r="GA10" s="17">
        <f>FZ10*VLOOKUP('Données projet'!$B$17,Paramètres!$A$1:$I$89,3,0)*VLOOKUP('Données projet'!$B$17,Paramètres!$A$1:$I$89,5,0)</f>
        <v>24.123573157894743</v>
      </c>
      <c r="GB10" s="13">
        <f t="shared" si="49"/>
        <v>7.6749842684416105</v>
      </c>
      <c r="GC10" s="20">
        <f t="shared" si="25"/>
        <v>55.382487517535814</v>
      </c>
      <c r="GD10" s="59">
        <f t="shared" si="26"/>
        <v>348.71582085086914</v>
      </c>
      <c r="GE10" s="59">
        <f ca="1">AVERAGE(OFFSET($GD$3,0,0,'Données projet'!$E$17+1,1))-AVERAGE(OFFSET($H$3,0,0,'Données projet'!$E$17+1,1))</f>
        <v>322.39807389980882</v>
      </c>
      <c r="GF10" s="59">
        <f t="shared" si="50"/>
        <v>202.59410055732792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11" s="11">
        <f t="shared" si="32"/>
        <v>1.1924572972247856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31.844091417173786</v>
      </c>
      <c r="H11" s="67">
        <f t="shared" si="1"/>
        <v>300.51815645933317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6.4429411764705877</v>
      </c>
      <c r="N11" s="13">
        <f>IF('Données projet'!$A$36&gt;35,N10+M11-V10,IF(A11&lt;'Données projet'!$A$36,$K$205^A11,IF(A11='Données projet'!$A$36,'Données projet'!$B$36,N10+M11-V10)))</f>
        <v>51.543529411764709</v>
      </c>
      <c r="O11" s="13">
        <f>N11*VLOOKUP('Données projet'!$B$9,Paramètres!$A$1:$I$89,3,0)*VLOOKUP('Données projet'!$B$9,Paramètres!$A$1:$I$89,5,0)</f>
        <v>24.122371764705882</v>
      </c>
      <c r="P11" s="13">
        <f t="shared" si="33"/>
        <v>7.6746465319482056</v>
      </c>
      <c r="Q11" s="20">
        <f t="shared" si="2"/>
        <v>55.379806866672531</v>
      </c>
      <c r="R11" s="59">
        <f t="shared" si="0"/>
        <v>348.71314020000585</v>
      </c>
      <c r="S11" s="59">
        <f ca="1">AVERAGE(OFFSET($R$3,0,0,'Données projet'!$E$9+1,1))-AVERAGE(OFFSET($H$3,0,0,'Données projet'!$E$9+1,1))</f>
        <v>215.77907571824977</v>
      </c>
      <c r="T11" s="59">
        <f t="shared" si="34"/>
        <v>174.69390149594869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5.699583333333333</v>
      </c>
      <c r="AI11" s="13">
        <f>IF('Données projet'!$A$62&gt;35,AI10+AH11-AQ10,IF(A11&lt;'Données projet'!$A$62,$AF$205^A11,IF(A11='Données projet'!$A$62,'Données projet'!$B$62,AI10+AH11-AQ10)))</f>
        <v>5.152501377012543</v>
      </c>
      <c r="AJ11" s="13">
        <f>AI11*VLOOKUP('Données projet'!$B$10,Paramètres!$A$1:$I$89,3,0)*VLOOKUP('Données projet'!$B$10,Paramètres!$A$1:$I$89,5,0)</f>
        <v>3.0811958234535011</v>
      </c>
      <c r="AK11" s="13">
        <f t="shared" si="35"/>
        <v>1.245616747625554</v>
      </c>
      <c r="AL11" s="20">
        <f t="shared" si="4"/>
        <v>7.5358652279626872</v>
      </c>
      <c r="AM11" s="59">
        <f t="shared" si="5"/>
        <v>300.869198561296</v>
      </c>
      <c r="AN11" s="59">
        <f ca="1">AVERAGE(OFFSET($AM$3,0,0,'Données projet'!$E$10+1,1))-AVERAGE(OFFSET($H$3,0,0,'Données projet'!$E$10+1,1))</f>
        <v>171.701352621833</v>
      </c>
      <c r="AO11" s="59">
        <f t="shared" si="36"/>
        <v>195.58435749168586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8.0399999999999991</v>
      </c>
      <c r="BD11" s="12">
        <f>IF('Données projet'!$A$88&gt;35,BD10+BC11-BL10,IF(A11&lt;'Données projet'!$A$88,$BA$205^A11,IF(A11='Données projet'!$A$88,'Données projet'!$B$88,BD10+BC11-BL10)))</f>
        <v>5.4578643610673083</v>
      </c>
      <c r="BE11" s="13">
        <f>BD11*VLOOKUP('Données projet'!$B$11,Paramètres!$A$1:$I$89,3,0)*VLOOKUP('Données projet'!$B$11,Paramètres!$A$1:$I$89,5,0)</f>
        <v>2.8380894677550006</v>
      </c>
      <c r="BF11" s="13">
        <f t="shared" si="37"/>
        <v>1.1583662911821473</v>
      </c>
      <c r="BG11" s="20">
        <f t="shared" si="7"/>
        <v>6.9604937801488651</v>
      </c>
      <c r="BH11" s="59">
        <f t="shared" si="8"/>
        <v>300.29382711348217</v>
      </c>
      <c r="BI11" s="59">
        <f ca="1">AVERAGE(OFFSET($BH$3,0,0,'Données projet'!$E$11+1,1))-AVERAGE(OFFSET($H$3,0,0,'Données projet'!$E$11+1,1))</f>
        <v>348.29124901999882</v>
      </c>
      <c r="BJ11" s="59">
        <f t="shared" si="38"/>
        <v>284.30034973939053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4.5468888888888888</v>
      </c>
      <c r="BY11" s="12">
        <f>IF('Données projet'!$A$114&gt;35,BY10+BX11-CG10,IF(A11&lt;'Données projet'!$A$114,$BV$205^A11,IF(A11='Données projet'!$A$114,'Données projet'!$B$114,BY10+BX11-CG10)))</f>
        <v>36.375111111111103</v>
      </c>
      <c r="BZ11" s="13">
        <f>BY11*VLOOKUP('Données projet'!$B$12,Paramètres!$A$1:$I$89,3,0)*VLOOKUP('Données projet'!$B$12,Paramètres!$A$1:$I$89,5,0)</f>
        <v>21.752316444444439</v>
      </c>
      <c r="CA11" s="13">
        <f t="shared" si="39"/>
        <v>7.0044160705796594</v>
      </c>
      <c r="CB11" s="20">
        <f t="shared" si="10"/>
        <v>50.084642463666967</v>
      </c>
      <c r="CC11" s="59">
        <f t="shared" si="11"/>
        <v>343.41797579700028</v>
      </c>
      <c r="CD11" s="59">
        <f ca="1">AVERAGE(OFFSET($CC$3,0,0,'Données projet'!$E$12+1,1))-AVERAGE(OFFSET($H$3,0,0,'Données projet'!$E$12+1,1))</f>
        <v>185.82627135915504</v>
      </c>
      <c r="CE11" s="59">
        <f t="shared" si="40"/>
        <v>155.46126452522037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1.6615384615384616</v>
      </c>
      <c r="CT11" s="12">
        <f>IF('Données projet'!$A$140&gt;35,CT10+CS11-DB10,IF(A11&lt;'Données projet'!$A$140,$CQ$205^A11,IF(A11='Données projet'!$A$140,'Données projet'!$B$140,CT10+CS11-DB10)))</f>
        <v>9.4712722187702472</v>
      </c>
      <c r="CU11" s="17">
        <f>CT11*VLOOKUP('Données projet'!$B$13,Paramètres!$A$1:$I$89,3,0)*VLOOKUP('Données projet'!$B$13,Paramètres!$A$1:$I$89,5,0)</f>
        <v>10.910905596023325</v>
      </c>
      <c r="CV11" s="13">
        <f t="shared" si="41"/>
        <v>3.807201528292806</v>
      </c>
      <c r="CW11" s="20">
        <f t="shared" si="13"/>
        <v>25.634036574850594</v>
      </c>
      <c r="CX11" s="59">
        <f t="shared" si="14"/>
        <v>318.96736990818391</v>
      </c>
      <c r="CY11" s="59">
        <f ca="1">AVERAGE(OFFSET($CX$3,0,0,'Données projet'!$E$13+1,1))-AVERAGE(OFFSET($H$3,0,0,'Données projet'!$E$13+1,1))</f>
        <v>150.78964413039063</v>
      </c>
      <c r="CZ11" s="59">
        <f t="shared" si="42"/>
        <v>131.90332435966184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2.2435897435897436</v>
      </c>
      <c r="DO11" s="12">
        <f>IF('Données projet'!$A$166&gt;35,DO10+DN11-DW10,IF(A11&lt;'Données projet'!$A$166,$DL$205^A11,IF(A11='Données projet'!$A$166,'Données projet'!$B$166,DO10+DN11-DW10)))</f>
        <v>3.0724436055407085</v>
      </c>
      <c r="DP11" s="17">
        <f>DO11*VLOOKUP('Données projet'!$B$14,Paramètres!$A$1:$I$89,3,0)*VLOOKUP('Données projet'!$B$14,Paramètres!$A$1:$I$89,5,0)</f>
        <v>3.211318056511149</v>
      </c>
      <c r="DQ11" s="13">
        <f t="shared" si="43"/>
        <v>1.2919849286361598</v>
      </c>
      <c r="DR11" s="20">
        <f t="shared" si="16"/>
        <v>7.8432526991315621</v>
      </c>
      <c r="DS11" s="59">
        <f t="shared" si="17"/>
        <v>301.17658603246485</v>
      </c>
      <c r="DT11" s="59">
        <f ca="1">AVERAGE(OFFSET($DS$3,0,0,'Données projet'!$E$14+1,1))-AVERAGE(OFFSET($H$3,0,0,'Données projet'!$E$14+1,1))</f>
        <v>110.10595934547638</v>
      </c>
      <c r="DU11" s="59">
        <f t="shared" si="44"/>
        <v>131.10971921141493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3.3603333333333336</v>
      </c>
      <c r="EJ11" s="12">
        <f>IF('Données projet'!$A$192&gt;35,EJ10+EI11-ER10,IF(A11&lt;'Données projet'!$A$192,$EG$205^A11,IF(A11='Données projet'!$A$192,'Données projet'!$B$192,EJ10+EI11-ER10)))</f>
        <v>26.882666666666669</v>
      </c>
      <c r="EK11" s="17">
        <f>EJ11*VLOOKUP('Données projet'!$B$15,Paramètres!$A$1:$I$89,3,0)*VLOOKUP('Données projet'!$B$15,Paramètres!$A$1:$I$89,5,0)</f>
        <v>27.259024000000004</v>
      </c>
      <c r="EL11" s="13">
        <f t="shared" si="45"/>
        <v>8.5500561674742812</v>
      </c>
      <c r="EM11" s="20">
        <f t="shared" si="19"/>
        <v>62.367481291684378</v>
      </c>
      <c r="EN11" s="59">
        <f t="shared" si="20"/>
        <v>355.7008146250177</v>
      </c>
      <c r="EO11" s="59">
        <f ca="1">AVERAGE(OFFSET($EN$3,0,0,'Données projet'!$E$15+1,1))-AVERAGE(OFFSET($H$3,0,0,'Données projet'!$E$15+1,1))</f>
        <v>420.38735944595965</v>
      </c>
      <c r="EP11" s="59">
        <f t="shared" si="46"/>
        <v>200.0823542414671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4.016578947368421</v>
      </c>
      <c r="FE11" s="12">
        <f>IF('Données projet'!$A$218&gt;35,FE10+FD11-FM10,IF(A11&lt;'Données projet'!$A$218,$FB$205^A11,IF(A11='Données projet'!$A$218,'Données projet'!$B$218,FE10+FD11-FM10)))</f>
        <v>32.132631578947375</v>
      </c>
      <c r="FF11" s="17">
        <f>FE11*VLOOKUP('Données projet'!$B$16,Paramètres!$A$1:$I$89,3,0)*VLOOKUP('Données projet'!$B$16,Paramètres!$A$1:$I$89,5,0)</f>
        <v>34.587564631578957</v>
      </c>
      <c r="FG11" s="13">
        <f t="shared" si="47"/>
        <v>10.552169591581572</v>
      </c>
      <c r="FH11" s="20">
        <f t="shared" si="22"/>
        <v>78.618370438671249</v>
      </c>
      <c r="FI11" s="59">
        <f t="shared" si="23"/>
        <v>371.95170377200458</v>
      </c>
      <c r="FJ11" s="59">
        <f ca="1">AVERAGE(OFFSET($FI$3,0,0,'Données projet'!$E$16+1,1))-AVERAGE(OFFSET($H$3,0,0,'Données projet'!$E$16+1,1))</f>
        <v>415.8741608506952</v>
      </c>
      <c r="FK11" s="59">
        <f t="shared" si="48"/>
        <v>259.15848913719356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4.016578947368421</v>
      </c>
      <c r="FZ11" s="12">
        <f>IF('Données projet'!$A$244&gt;35,FZ10+FY11-GH10,IF(A11&lt;'Données projet'!$A$244,$FW$205^A11,IF(A11='Données projet'!$A$244,'Données projet'!$B$244,FZ10+FY11-GH10)))</f>
        <v>32.132631578947375</v>
      </c>
      <c r="GA11" s="17">
        <f>FZ11*VLOOKUP('Données projet'!$B$17,Paramètres!$A$1:$I$89,3,0)*VLOOKUP('Données projet'!$B$17,Paramètres!$A$1:$I$89,5,0)</f>
        <v>27.569797894736855</v>
      </c>
      <c r="GB11" s="13">
        <f t="shared" si="49"/>
        <v>8.6361301422809174</v>
      </c>
      <c r="GC11" s="20">
        <f t="shared" si="25"/>
        <v>63.058657997805945</v>
      </c>
      <c r="GD11" s="59">
        <f t="shared" si="26"/>
        <v>356.39199133113925</v>
      </c>
      <c r="GE11" s="59">
        <f ca="1">AVERAGE(OFFSET($GD$3,0,0,'Données projet'!$E$17+1,1))-AVERAGE(OFFSET($H$3,0,0,'Données projet'!$E$17+1,1))</f>
        <v>322.39807389980882</v>
      </c>
      <c r="GF11" s="59">
        <f t="shared" si="50"/>
        <v>202.59410055732792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3.2993999999999999</v>
      </c>
      <c r="D12" s="11">
        <f t="shared" si="32"/>
        <v>1.3232478725254824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35.683597612477406</v>
      </c>
      <c r="H12" s="67">
        <f t="shared" si="1"/>
        <v>301.38444504464854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6.4429411764705877</v>
      </c>
      <c r="N12" s="13">
        <f>IF('Données projet'!$A$36&gt;35,N11+M12-V11,IF(A12&lt;'Données projet'!$A$36,$K$205^A12,IF(A12='Données projet'!$A$36,'Données projet'!$B$36,N11+M12-V11)))</f>
        <v>57.986470588235299</v>
      </c>
      <c r="O12" s="13">
        <f>N12*VLOOKUP('Données projet'!$B$9,Paramètres!$A$1:$I$89,3,0)*VLOOKUP('Données projet'!$B$9,Paramètres!$A$1:$I$89,5,0)</f>
        <v>27.137668235294122</v>
      </c>
      <c r="P12" s="13">
        <f t="shared" si="33"/>
        <v>8.5164137277036307</v>
      </c>
      <c r="Q12" s="20">
        <f t="shared" si="2"/>
        <v>62.097526085554399</v>
      </c>
      <c r="R12" s="59">
        <f t="shared" si="0"/>
        <v>355.43085941888774</v>
      </c>
      <c r="S12" s="59">
        <f ca="1">AVERAGE(OFFSET($R$3,0,0,'Données projet'!$E$9+1,1))-AVERAGE(OFFSET($H$3,0,0,'Données projet'!$E$9+1,1))</f>
        <v>215.77907571824977</v>
      </c>
      <c r="T12" s="59">
        <f t="shared" si="34"/>
        <v>174.69390149594869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5.699583333333333</v>
      </c>
      <c r="AI12" s="13">
        <f>IF('Données projet'!$A$62&gt;35,AI11+AH12-AQ11,IF(A12&lt;'Données projet'!$A$62,$AF$205^A12,IF(A12='Données projet'!$A$62,'Données projet'!$B$62,AI11+AH12-AQ11)))</f>
        <v>6.3244153063892954</v>
      </c>
      <c r="AJ12" s="13">
        <f>AI12*VLOOKUP('Données projet'!$B$10,Paramètres!$A$1:$I$89,3,0)*VLOOKUP('Données projet'!$B$10,Paramètres!$A$1:$I$89,5,0)</f>
        <v>3.7820003532207989</v>
      </c>
      <c r="AK12" s="13">
        <f t="shared" si="35"/>
        <v>1.4928866683839812</v>
      </c>
      <c r="AL12" s="20">
        <f t="shared" si="4"/>
        <v>9.187094895961657</v>
      </c>
      <c r="AM12" s="59">
        <f t="shared" si="5"/>
        <v>302.52042822929496</v>
      </c>
      <c r="AN12" s="59">
        <f ca="1">AVERAGE(OFFSET($AM$3,0,0,'Données projet'!$E$10+1,1))-AVERAGE(OFFSET($H$3,0,0,'Données projet'!$E$10+1,1))</f>
        <v>171.701352621833</v>
      </c>
      <c r="AO12" s="59">
        <f t="shared" si="36"/>
        <v>195.58435749168586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8.0399999999999991</v>
      </c>
      <c r="BD12" s="12">
        <f>IF('Données projet'!$A$88&gt;35,BD11+BC12-BL11,IF(A12&lt;'Données projet'!$A$88,$BA$205^A12,IF(A12='Données projet'!$A$88,'Données projet'!$B$88,BD11+BC12-BL11)))</f>
        <v>6.7476194384955113</v>
      </c>
      <c r="BE12" s="13">
        <f>BD12*VLOOKUP('Données projet'!$B$11,Paramètres!$A$1:$I$89,3,0)*VLOOKUP('Données projet'!$B$11,Paramètres!$A$1:$I$89,5,0)</f>
        <v>3.5087621080176659</v>
      </c>
      <c r="BF12" s="13">
        <f t="shared" si="37"/>
        <v>1.3971726395749904</v>
      </c>
      <c r="BG12" s="20">
        <f t="shared" si="7"/>
        <v>8.5445030187238782</v>
      </c>
      <c r="BH12" s="59">
        <f t="shared" si="8"/>
        <v>301.87783635205722</v>
      </c>
      <c r="BI12" s="59">
        <f ca="1">AVERAGE(OFFSET($BH$3,0,0,'Données projet'!$E$11+1,1))-AVERAGE(OFFSET($H$3,0,0,'Données projet'!$E$11+1,1))</f>
        <v>348.29124901999882</v>
      </c>
      <c r="BJ12" s="59">
        <f t="shared" si="38"/>
        <v>284.30034973939053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4.5468888888888888</v>
      </c>
      <c r="BY12" s="12">
        <f>IF('Données projet'!$A$114&gt;35,BY11+BX12-CG11,IF(A12&lt;'Données projet'!$A$114,$BV$205^A12,IF(A12='Données projet'!$A$114,'Données projet'!$B$114,BY11+BX12-CG11)))</f>
        <v>40.92199999999999</v>
      </c>
      <c r="BZ12" s="13">
        <f>BY12*VLOOKUP('Données projet'!$B$12,Paramètres!$A$1:$I$89,3,0)*VLOOKUP('Données projet'!$B$12,Paramètres!$A$1:$I$89,5,0)</f>
        <v>24.471355999999997</v>
      </c>
      <c r="CA12" s="13">
        <f t="shared" si="39"/>
        <v>7.7726713444990096</v>
      </c>
      <c r="CB12" s="20">
        <f t="shared" si="10"/>
        <v>56.158347625002428</v>
      </c>
      <c r="CC12" s="59">
        <f t="shared" si="11"/>
        <v>349.49168095833573</v>
      </c>
      <c r="CD12" s="59">
        <f ca="1">AVERAGE(OFFSET($CC$3,0,0,'Données projet'!$E$12+1,1))-AVERAGE(OFFSET($H$3,0,0,'Données projet'!$E$12+1,1))</f>
        <v>185.82627135915504</v>
      </c>
      <c r="CE12" s="59">
        <f t="shared" si="40"/>
        <v>155.46126452522037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1.6615384615384616</v>
      </c>
      <c r="CT12" s="12">
        <f>IF('Données projet'!$A$140&gt;35,CT11+CS12-DB11,IF(A12&lt;'Données projet'!$A$140,$CQ$205^A12,IF(A12='Données projet'!$A$140,'Données projet'!$B$140,CT11+CS12-DB11)))</f>
        <v>12.544673399968401</v>
      </c>
      <c r="CU12" s="17">
        <f>CT12*VLOOKUP('Données projet'!$B$13,Paramètres!$A$1:$I$89,3,0)*VLOOKUP('Données projet'!$B$13,Paramètres!$A$1:$I$89,5,0)</f>
        <v>14.451463756763596</v>
      </c>
      <c r="CV12" s="13">
        <f t="shared" si="41"/>
        <v>4.8803409641350317</v>
      </c>
      <c r="CW12" s="20">
        <f t="shared" si="13"/>
        <v>33.669559888898441</v>
      </c>
      <c r="CX12" s="59">
        <f t="shared" si="14"/>
        <v>327.00289322223176</v>
      </c>
      <c r="CY12" s="59">
        <f ca="1">AVERAGE(OFFSET($CX$3,0,0,'Données projet'!$E$13+1,1))-AVERAGE(OFFSET($H$3,0,0,'Données projet'!$E$13+1,1))</f>
        <v>150.78964413039063</v>
      </c>
      <c r="CZ12" s="59">
        <f t="shared" si="42"/>
        <v>131.90332435966184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2.2435897435897436</v>
      </c>
      <c r="DO12" s="12">
        <f>IF('Données projet'!$A$166&gt;35,DO11+DN12-DW11,IF(A12&lt;'Données projet'!$A$166,$DL$205^A12,IF(A12='Données projet'!$A$166,'Données projet'!$B$166,DO11+DN12-DW11)))</f>
        <v>3.5352441331269544</v>
      </c>
      <c r="DP12" s="17">
        <f>DO12*VLOOKUP('Données projet'!$B$14,Paramètres!$A$1:$I$89,3,0)*VLOOKUP('Données projet'!$B$14,Paramètres!$A$1:$I$89,5,0)</f>
        <v>3.6950371679442928</v>
      </c>
      <c r="DQ12" s="13">
        <f t="shared" si="43"/>
        <v>1.4625140485752632</v>
      </c>
      <c r="DR12" s="20">
        <f t="shared" si="16"/>
        <v>8.9827350354382265</v>
      </c>
      <c r="DS12" s="59">
        <f t="shared" si="17"/>
        <v>302.31606836877154</v>
      </c>
      <c r="DT12" s="59">
        <f ca="1">AVERAGE(OFFSET($DS$3,0,0,'Données projet'!$E$14+1,1))-AVERAGE(OFFSET($H$3,0,0,'Données projet'!$E$14+1,1))</f>
        <v>110.10595934547638</v>
      </c>
      <c r="DU12" s="59">
        <f t="shared" si="44"/>
        <v>131.10971921141493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3.3603333333333336</v>
      </c>
      <c r="EJ12" s="12">
        <f>IF('Données projet'!$A$192&gt;35,EJ11+EI12-ER11,IF(A12&lt;'Données projet'!$A$192,$EG$205^A12,IF(A12='Données projet'!$A$192,'Données projet'!$B$192,EJ11+EI12-ER11)))</f>
        <v>30.243000000000002</v>
      </c>
      <c r="EK12" s="17">
        <f>EJ12*VLOOKUP('Données projet'!$B$15,Paramètres!$A$1:$I$89,3,0)*VLOOKUP('Données projet'!$B$15,Paramètres!$A$1:$I$89,5,0)</f>
        <v>30.666402000000005</v>
      </c>
      <c r="EL12" s="13">
        <f t="shared" si="45"/>
        <v>9.4878396567445336</v>
      </c>
      <c r="EM12" s="20">
        <f t="shared" si="19"/>
        <v>69.935304218830069</v>
      </c>
      <c r="EN12" s="59">
        <f t="shared" si="20"/>
        <v>363.2686375521634</v>
      </c>
      <c r="EO12" s="59">
        <f ca="1">AVERAGE(OFFSET($EN$3,0,0,'Données projet'!$E$15+1,1))-AVERAGE(OFFSET($H$3,0,0,'Données projet'!$E$15+1,1))</f>
        <v>420.38735944595965</v>
      </c>
      <c r="EP12" s="59">
        <f t="shared" si="46"/>
        <v>200.0823542414671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4.016578947368421</v>
      </c>
      <c r="FE12" s="12">
        <f>IF('Données projet'!$A$218&gt;35,FE11+FD12-FM11,IF(A12&lt;'Données projet'!$A$218,$FB$205^A12,IF(A12='Données projet'!$A$218,'Données projet'!$B$218,FE11+FD12-FM11)))</f>
        <v>36.149210526315798</v>
      </c>
      <c r="FF12" s="17">
        <f>FE12*VLOOKUP('Données projet'!$B$16,Paramètres!$A$1:$I$89,3,0)*VLOOKUP('Données projet'!$B$16,Paramètres!$A$1:$I$89,5,0)</f>
        <v>38.911010210526321</v>
      </c>
      <c r="FG12" s="13">
        <f t="shared" si="47"/>
        <v>11.709548002335099</v>
      </c>
      <c r="FH12" s="20">
        <f t="shared" si="22"/>
        <v>88.164138887400284</v>
      </c>
      <c r="FI12" s="59">
        <f t="shared" si="23"/>
        <v>381.49747222073358</v>
      </c>
      <c r="FJ12" s="59">
        <f ca="1">AVERAGE(OFFSET($FI$3,0,0,'Données projet'!$E$16+1,1))-AVERAGE(OFFSET($H$3,0,0,'Données projet'!$E$16+1,1))</f>
        <v>415.8741608506952</v>
      </c>
      <c r="FK12" s="59">
        <f t="shared" si="48"/>
        <v>259.15848913719356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4.016578947368421</v>
      </c>
      <c r="FZ12" s="12">
        <f>IF('Données projet'!$A$244&gt;35,FZ11+FY12-GH11,IF(A12&lt;'Données projet'!$A$244,$FW$205^A12,IF(A12='Données projet'!$A$244,'Données projet'!$B$244,FZ11+FY12-GH11)))</f>
        <v>36.149210526315798</v>
      </c>
      <c r="GA12" s="17">
        <f>FZ12*VLOOKUP('Données projet'!$B$17,Paramètres!$A$1:$I$89,3,0)*VLOOKUP('Données projet'!$B$17,Paramètres!$A$1:$I$89,5,0)</f>
        <v>31.016022631578956</v>
      </c>
      <c r="GB12" s="13">
        <f t="shared" si="49"/>
        <v>9.5833543592900803</v>
      </c>
      <c r="GC12" s="20">
        <f t="shared" si="25"/>
        <v>70.710581592430231</v>
      </c>
      <c r="GD12" s="59">
        <f t="shared" si="26"/>
        <v>364.04391492576354</v>
      </c>
      <c r="GE12" s="59">
        <f ca="1">AVERAGE(OFFSET($GD$3,0,0,'Données projet'!$E$17+1,1))-AVERAGE(OFFSET($H$3,0,0,'Données projet'!$E$17+1,1))</f>
        <v>322.39807389980882</v>
      </c>
      <c r="GF12" s="59">
        <f t="shared" si="50"/>
        <v>202.59410055732792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13" s="11">
        <f t="shared" si="32"/>
        <v>1.4523541267681601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39.510102031192822</v>
      </c>
      <c r="H13" s="67">
        <f t="shared" si="1"/>
        <v>302.24780010412121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6.4429411764705877</v>
      </c>
      <c r="N13" s="13">
        <f>IF('Données projet'!$A$36&gt;35,N12+M13-V12,IF(A13&lt;'Données projet'!$A$36,$K$205^A13,IF(A13='Données projet'!$A$36,'Données projet'!$B$36,N12+M13-V12)))</f>
        <v>64.42941176470589</v>
      </c>
      <c r="O13" s="13">
        <f>N13*VLOOKUP('Données projet'!$B$9,Paramètres!$A$1:$I$89,3,0)*VLOOKUP('Données projet'!$B$9,Paramètres!$A$1:$I$89,5,0)</f>
        <v>30.152964705882358</v>
      </c>
      <c r="P13" s="13">
        <f t="shared" si="33"/>
        <v>9.3473406453235626</v>
      </c>
      <c r="Q13" s="20">
        <f t="shared" si="2"/>
        <v>68.796365153350322</v>
      </c>
      <c r="R13" s="59">
        <f t="shared" si="0"/>
        <v>362.12969848668365</v>
      </c>
      <c r="S13" s="59">
        <f ca="1">AVERAGE(OFFSET($R$3,0,0,'Données projet'!$E$9+1,1))-AVERAGE(OFFSET($H$3,0,0,'Données projet'!$E$9+1,1))</f>
        <v>215.77907571824977</v>
      </c>
      <c r="T13" s="59">
        <f t="shared" si="34"/>
        <v>174.69390149594869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5.699583333333333</v>
      </c>
      <c r="AI13" s="13">
        <f>IF('Données projet'!$A$62&gt;35,AI12+AH13-AQ12,IF(A13&lt;'Données projet'!$A$62,$AF$205^A13,IF(A13='Données projet'!$A$62,'Données projet'!$B$62,AI12+AH13-AQ12)))</f>
        <v>7.7628759394689313</v>
      </c>
      <c r="AJ13" s="13">
        <f>AI13*VLOOKUP('Données projet'!$B$10,Paramètres!$A$1:$I$89,3,0)*VLOOKUP('Données projet'!$B$10,Paramètres!$A$1:$I$89,5,0)</f>
        <v>4.6421998118024215</v>
      </c>
      <c r="AK13" s="13">
        <f t="shared" si="35"/>
        <v>1.7892426453699204</v>
      </c>
      <c r="AL13" s="20">
        <f t="shared" si="4"/>
        <v>11.201428946241828</v>
      </c>
      <c r="AM13" s="59">
        <f t="shared" si="5"/>
        <v>304.53476227957515</v>
      </c>
      <c r="AN13" s="59">
        <f ca="1">AVERAGE(OFFSET($AM$3,0,0,'Données projet'!$E$10+1,1))-AVERAGE(OFFSET($H$3,0,0,'Données projet'!$E$10+1,1))</f>
        <v>171.701352621833</v>
      </c>
      <c r="AO13" s="59">
        <f t="shared" si="36"/>
        <v>195.58435749168586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8.0399999999999991</v>
      </c>
      <c r="BD13" s="12">
        <f>IF('Données projet'!$A$88&gt;35,BD12+BC13-BL12,IF(A13&lt;'Données projet'!$A$88,$BA$205^A13,IF(A13='Données projet'!$A$88,'Données projet'!$B$88,BD12+BC13-BL12)))</f>
        <v>8.3421582279591178</v>
      </c>
      <c r="BE13" s="13">
        <f>BD13*VLOOKUP('Données projet'!$B$11,Paramètres!$A$1:$I$89,3,0)*VLOOKUP('Données projet'!$B$11,Paramètres!$A$1:$I$89,5,0)</f>
        <v>4.3379222785387412</v>
      </c>
      <c r="BF13" s="13">
        <f t="shared" si="37"/>
        <v>1.6852108004496393</v>
      </c>
      <c r="BG13" s="20">
        <f t="shared" si="7"/>
        <v>10.490290112571428</v>
      </c>
      <c r="BH13" s="59">
        <f t="shared" si="8"/>
        <v>303.82362344590473</v>
      </c>
      <c r="BI13" s="59">
        <f ca="1">AVERAGE(OFFSET($BH$3,0,0,'Données projet'!$E$11+1,1))-AVERAGE(OFFSET($H$3,0,0,'Données projet'!$E$11+1,1))</f>
        <v>348.29124901999882</v>
      </c>
      <c r="BJ13" s="59">
        <f t="shared" si="38"/>
        <v>284.30034973939053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4.5468888888888888</v>
      </c>
      <c r="BY13" s="12">
        <f>IF('Données projet'!$A$114&gt;35,BY12+BX13-CG12,IF(A13&lt;'Données projet'!$A$114,$BV$205^A13,IF(A13='Données projet'!$A$114,'Données projet'!$B$114,BY12+BX13-CG12)))</f>
        <v>45.468888888888877</v>
      </c>
      <c r="BZ13" s="13">
        <f>BY13*VLOOKUP('Données projet'!$B$12,Paramètres!$A$1:$I$89,3,0)*VLOOKUP('Données projet'!$B$12,Paramètres!$A$1:$I$89,5,0)</f>
        <v>27.190395555555551</v>
      </c>
      <c r="CA13" s="13">
        <f t="shared" si="39"/>
        <v>8.5310330268287391</v>
      </c>
      <c r="CB13" s="20">
        <f t="shared" si="10"/>
        <v>62.214821447652639</v>
      </c>
      <c r="CC13" s="59">
        <f t="shared" si="11"/>
        <v>355.54815478098595</v>
      </c>
      <c r="CD13" s="59">
        <f ca="1">AVERAGE(OFFSET($CC$3,0,0,'Données projet'!$E$12+1,1))-AVERAGE(OFFSET($H$3,0,0,'Données projet'!$E$12+1,1))</f>
        <v>185.82627135915504</v>
      </c>
      <c r="CE13" s="59">
        <f t="shared" si="40"/>
        <v>155.46126452522037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16.615384615384617</v>
      </c>
      <c r="CR13" s="12">
        <f>VLOOKUP(A13,'Données projet'!$A$139:$I$159,9,0)</f>
        <v>1.6615384615384616</v>
      </c>
      <c r="CS13" s="12">
        <f t="array" ref="CS13">INDEX(CR:CR,MIN(IF(ISNUMBER(CR13:CR209),ROW(CR13:CR209),"")))</f>
        <v>1.6615384615384616</v>
      </c>
      <c r="CT13" s="12">
        <f>IF('Données projet'!$A$140&gt;35,CT12+CS13-DB12,IF(A13&lt;'Données projet'!$A$140,$CQ$205^A13,IF(A13='Données projet'!$A$140,'Données projet'!$B$140,CT12+CS13-DB12)))</f>
        <v>16.615384615384617</v>
      </c>
      <c r="CU13" s="17">
        <f>CT13*VLOOKUP('Données projet'!$B$13,Paramètres!$A$1:$I$89,3,0)*VLOOKUP('Données projet'!$B$13,Paramètres!$A$1:$I$89,5,0)</f>
        <v>19.140923076923077</v>
      </c>
      <c r="CV13" s="13">
        <f t="shared" si="41"/>
        <v>6.255967210880641</v>
      </c>
      <c r="CW13" s="20">
        <f t="shared" si="13"/>
        <v>44.232917251258137</v>
      </c>
      <c r="CX13" s="59">
        <f t="shared" si="14"/>
        <v>337.56625058459144</v>
      </c>
      <c r="CY13" s="59">
        <f ca="1">AVERAGE(OFFSET($CX$3,0,0,'Données projet'!$E$13+1,1))-AVERAGE(OFFSET($H$3,0,0,'Données projet'!$E$13+1,1))</f>
        <v>150.78964413039063</v>
      </c>
      <c r="CZ13" s="59">
        <f t="shared" si="42"/>
        <v>131.90332435966184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3</v>
      </c>
      <c r="DC13" s="16">
        <f>IF(ISNA(VLOOKUP(A13,'Données projet'!$A$139:$I$159,5,0)),0%,VLOOKUP(A13,'Données projet'!$A$139:$I$159,5,0)*VLOOKUP('Données projet'!$B$13,Paramètres!$A$1:$I$89,7,0))</f>
        <v>0.1125</v>
      </c>
      <c r="DD13" s="16">
        <f>IF(ISNA(VLOOKUP(A13,'Données projet'!$A$139:$I$159,6,0)),0%,VLOOKUP(A13,'Données projet'!$A$139:$I$159,6,0)*VLOOKUP('Données projet'!$B$13,Paramètres!$A$1:$I$89,7,0))</f>
        <v>0.16650000000000001</v>
      </c>
      <c r="DE13" s="16">
        <f>IF(ISNA(VLOOKUP(A13,'Données projet'!$A$139:$I$159,7,0)),0%,VLOOKUP(A13,'Données projet'!$A$139:$I$159,7,0))</f>
        <v>0.38</v>
      </c>
      <c r="DF13" s="21">
        <f>EXP(-LN(2)/35)*DF12+(1-EXP(-LN(2)/35))/(LN(2)/35)*DB13*DC13*VLOOKUP('Données projet'!$B$13,Paramètres!$A$1:$I$89,3,0)*0.475*44/12</f>
        <v>0.27937447431556722</v>
      </c>
      <c r="DG13" s="21">
        <f>EXP(-LN(2)/25)*DG12+(1-EXP(-LN(2)/25))/(LN(2)/25)*Calculateur!DB13*Calculateur!DD13*VLOOKUP('Données projet'!$B$13,Paramètres!$A$1:$I$89,3,0)*0.475*44/12</f>
        <v>0.41184621642904645</v>
      </c>
      <c r="DH13" s="21">
        <f>EXP(-LN(2)/2)*DH12+(1-EXP(-LN(2)/2))/(LN(2)/2)*DB13*DE13*VLOOKUP('Données projet'!$B$13,Paramètres!$A$1:$I$89,3,0)*0.475*44/12</f>
        <v>0.80542476716842659</v>
      </c>
      <c r="DI13" s="22">
        <f t="shared" si="15"/>
        <v>1.4966454579130404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2.2435897435897436</v>
      </c>
      <c r="DO13" s="12">
        <f>IF('Données projet'!$A$166&gt;35,DO12+DN13-DW12,IF(A13&lt;'Données projet'!$A$166,$DL$205^A13,IF(A13='Données projet'!$A$166,'Données projet'!$B$166,DO12+DN13-DW12)))</f>
        <v>4.0677560552357406</v>
      </c>
      <c r="DP13" s="17">
        <f>DO13*VLOOKUP('Données projet'!$B$14,Paramètres!$A$1:$I$89,3,0)*VLOOKUP('Données projet'!$B$14,Paramètres!$A$1:$I$89,5,0)</f>
        <v>4.2516186289323965</v>
      </c>
      <c r="DQ13" s="13">
        <f t="shared" si="43"/>
        <v>1.6555513109103492</v>
      </c>
      <c r="DR13" s="20">
        <f t="shared" si="16"/>
        <v>10.288320978559449</v>
      </c>
      <c r="DS13" s="59">
        <f t="shared" si="17"/>
        <v>303.62165431189277</v>
      </c>
      <c r="DT13" s="59">
        <f ca="1">AVERAGE(OFFSET($DS$3,0,0,'Données projet'!$E$14+1,1))-AVERAGE(OFFSET($H$3,0,0,'Données projet'!$E$14+1,1))</f>
        <v>110.10595934547638</v>
      </c>
      <c r="DU13" s="59">
        <f t="shared" si="44"/>
        <v>131.10971921141493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3.3603333333333336</v>
      </c>
      <c r="EJ13" s="12">
        <f>IF('Données projet'!$A$192&gt;35,EJ12+EI13-ER12,IF(A13&lt;'Données projet'!$A$192,$EG$205^A13,IF(A13='Données projet'!$A$192,'Données projet'!$B$192,EJ12+EI13-ER12)))</f>
        <v>33.603333333333339</v>
      </c>
      <c r="EK13" s="17">
        <f>EJ13*VLOOKUP('Données projet'!$B$15,Paramètres!$A$1:$I$89,3,0)*VLOOKUP('Données projet'!$B$15,Paramètres!$A$1:$I$89,5,0)</f>
        <v>34.073780000000006</v>
      </c>
      <c r="EL13" s="13">
        <f t="shared" si="45"/>
        <v>10.413546370029898</v>
      </c>
      <c r="EM13" s="20">
        <f t="shared" si="19"/>
        <v>77.482093427802084</v>
      </c>
      <c r="EN13" s="59">
        <f t="shared" si="20"/>
        <v>370.81542676113543</v>
      </c>
      <c r="EO13" s="59">
        <f ca="1">AVERAGE(OFFSET($EN$3,0,0,'Données projet'!$E$15+1,1))-AVERAGE(OFFSET($H$3,0,0,'Données projet'!$E$15+1,1))</f>
        <v>420.38735944595965</v>
      </c>
      <c r="EP13" s="59">
        <f t="shared" si="46"/>
        <v>200.0823542414671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4.016578947368421</v>
      </c>
      <c r="FE13" s="12">
        <f>IF('Données projet'!$A$218&gt;35,FE12+FD13-FM12,IF(A13&lt;'Données projet'!$A$218,$FB$205^A13,IF(A13='Données projet'!$A$218,'Données projet'!$B$218,FE12+FD13-FM12)))</f>
        <v>40.165789473684221</v>
      </c>
      <c r="FF13" s="17">
        <f>FE13*VLOOKUP('Données projet'!$B$16,Paramètres!$A$1:$I$89,3,0)*VLOOKUP('Données projet'!$B$16,Paramètres!$A$1:$I$89,5,0)</f>
        <v>43.234455789473692</v>
      </c>
      <c r="FG13" s="13">
        <f t="shared" si="47"/>
        <v>12.852021693655693</v>
      </c>
      <c r="FH13" s="20">
        <f t="shared" si="22"/>
        <v>97.683948283117005</v>
      </c>
      <c r="FI13" s="59">
        <f t="shared" si="23"/>
        <v>391.0172816164503</v>
      </c>
      <c r="FJ13" s="59">
        <f ca="1">AVERAGE(OFFSET($FI$3,0,0,'Données projet'!$E$16+1,1))-AVERAGE(OFFSET($H$3,0,0,'Données projet'!$E$16+1,1))</f>
        <v>415.8741608506952</v>
      </c>
      <c r="FK13" s="59">
        <f t="shared" si="48"/>
        <v>259.15848913719356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4.016578947368421</v>
      </c>
      <c r="FZ13" s="12">
        <f>IF('Données projet'!$A$244&gt;35,FZ12+FY13-GH12,IF(A13&lt;'Données projet'!$A$244,$FW$205^A13,IF(A13='Données projet'!$A$244,'Données projet'!$B$244,FZ12+FY13-GH12)))</f>
        <v>40.165789473684221</v>
      </c>
      <c r="GA13" s="17">
        <f>FZ13*VLOOKUP('Données projet'!$B$17,Paramètres!$A$1:$I$89,3,0)*VLOOKUP('Données projet'!$B$17,Paramètres!$A$1:$I$89,5,0)</f>
        <v>34.46224736842106</v>
      </c>
      <c r="GB13" s="13">
        <f t="shared" si="49"/>
        <v>10.51838022262042</v>
      </c>
      <c r="GC13" s="20">
        <f t="shared" si="25"/>
        <v>78.341259721063906</v>
      </c>
      <c r="GD13" s="59">
        <f t="shared" si="26"/>
        <v>371.67459305439723</v>
      </c>
      <c r="GE13" s="59">
        <f ca="1">AVERAGE(OFFSET($GD$3,0,0,'Données projet'!$E$17+1,1))-AVERAGE(OFFSET($H$3,0,0,'Données projet'!$E$17+1,1))</f>
        <v>322.39807389980882</v>
      </c>
      <c r="GF13" s="59">
        <f t="shared" si="50"/>
        <v>202.59410055732792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4.0325999999999995</v>
      </c>
      <c r="D14" s="11">
        <f t="shared" si="32"/>
        <v>1.5799636658870155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43.32505285947871</v>
      </c>
      <c r="H14" s="67">
        <f t="shared" si="1"/>
        <v>303.10854838475319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6.4429411764705877</v>
      </c>
      <c r="N14" s="13">
        <f>IF('Données projet'!$A$36&gt;35,N13+M14-V13,IF(A14&lt;'Données projet'!$A$36,$K$205^A14,IF(A14='Données projet'!$A$36,'Données projet'!$B$36,N13+M14-V13)))</f>
        <v>70.872352941176473</v>
      </c>
      <c r="O14" s="13">
        <f>N14*VLOOKUP('Données projet'!$B$9,Paramètres!$A$1:$I$89,3,0)*VLOOKUP('Données projet'!$B$9,Paramètres!$A$1:$I$89,5,0)</f>
        <v>33.168261176470587</v>
      </c>
      <c r="P14" s="13">
        <f t="shared" si="33"/>
        <v>10.168634715242291</v>
      </c>
      <c r="Q14" s="20">
        <f t="shared" si="2"/>
        <v>75.47842701139993</v>
      </c>
      <c r="R14" s="59">
        <f t="shared" si="0"/>
        <v>368.81176034473322</v>
      </c>
      <c r="S14" s="59">
        <f ca="1">AVERAGE(OFFSET($R$3,0,0,'Données projet'!$E$9+1,1))-AVERAGE(OFFSET($H$3,0,0,'Données projet'!$E$9+1,1))</f>
        <v>215.77907571824977</v>
      </c>
      <c r="T14" s="59">
        <f t="shared" si="34"/>
        <v>174.69390149594869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5.699583333333333</v>
      </c>
      <c r="AI14" s="13">
        <f>IF('Données projet'!$A$62&gt;35,AI13+AH14-AQ13,IF(A14&lt;'Données projet'!$A$62,$AF$205^A14,IF(A14='Données projet'!$A$62,'Données projet'!$B$62,AI13+AH14-AQ13)))</f>
        <v>9.5285081595930592</v>
      </c>
      <c r="AJ14" s="13">
        <f>AI14*VLOOKUP('Données projet'!$B$10,Paramètres!$A$1:$I$89,3,0)*VLOOKUP('Données projet'!$B$10,Paramètres!$A$1:$I$89,5,0)</f>
        <v>5.6980478794366496</v>
      </c>
      <c r="AK14" s="13">
        <f t="shared" si="35"/>
        <v>2.1444288517063308</v>
      </c>
      <c r="AL14" s="20">
        <f t="shared" si="4"/>
        <v>13.658980306740689</v>
      </c>
      <c r="AM14" s="59">
        <f t="shared" si="5"/>
        <v>306.99231364007403</v>
      </c>
      <c r="AN14" s="59">
        <f ca="1">AVERAGE(OFFSET($AM$3,0,0,'Données projet'!$E$10+1,1))-AVERAGE(OFFSET($H$3,0,0,'Données projet'!$E$10+1,1))</f>
        <v>171.701352621833</v>
      </c>
      <c r="AO14" s="59">
        <f t="shared" si="36"/>
        <v>195.58435749168586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8.0399999999999991</v>
      </c>
      <c r="BD14" s="12">
        <f>IF('Données projet'!$A$88&gt;35,BD13+BC14-BL13,IF(A14&lt;'Données projet'!$A$88,$BA$205^A14,IF(A14='Données projet'!$A$88,'Données projet'!$B$88,BD13+BC14-BL13)))</f>
        <v>10.313504567741679</v>
      </c>
      <c r="BE14" s="13">
        <f>BD14*VLOOKUP('Données projet'!$B$11,Paramètres!$A$1:$I$89,3,0)*VLOOKUP('Données projet'!$B$11,Paramètres!$A$1:$I$89,5,0)</f>
        <v>5.3630223752256736</v>
      </c>
      <c r="BF14" s="13">
        <f t="shared" si="37"/>
        <v>2.0326303003013297</v>
      </c>
      <c r="BG14" s="20">
        <f t="shared" si="7"/>
        <v>12.880761743209531</v>
      </c>
      <c r="BH14" s="59">
        <f t="shared" si="8"/>
        <v>306.21409507654283</v>
      </c>
      <c r="BI14" s="59">
        <f ca="1">AVERAGE(OFFSET($BH$3,0,0,'Données projet'!$E$11+1,1))-AVERAGE(OFFSET($H$3,0,0,'Données projet'!$E$11+1,1))</f>
        <v>348.29124901999882</v>
      </c>
      <c r="BJ14" s="59">
        <f t="shared" si="38"/>
        <v>284.30034973939053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4.5468888888888888</v>
      </c>
      <c r="BY14" s="12">
        <f>IF('Données projet'!$A$114&gt;35,BY13+BX14-CG13,IF(A14&lt;'Données projet'!$A$114,$BV$205^A14,IF(A14='Données projet'!$A$114,'Données projet'!$B$114,BY13+BX14-CG13)))</f>
        <v>50.015777777777764</v>
      </c>
      <c r="BZ14" s="13">
        <f>BY14*VLOOKUP('Données projet'!$B$12,Paramètres!$A$1:$I$89,3,0)*VLOOKUP('Données projet'!$B$12,Paramètres!$A$1:$I$89,5,0)</f>
        <v>29.909435111111108</v>
      </c>
      <c r="CA14" s="13">
        <f t="shared" si="39"/>
        <v>9.2806031025401268</v>
      </c>
      <c r="CB14" s="20">
        <f t="shared" si="10"/>
        <v>68.255983222109236</v>
      </c>
      <c r="CC14" s="59">
        <f t="shared" si="11"/>
        <v>361.58931655544257</v>
      </c>
      <c r="CD14" s="59">
        <f ca="1">AVERAGE(OFFSET($CC$3,0,0,'Données projet'!$E$12+1,1))-AVERAGE(OFFSET($H$3,0,0,'Données projet'!$E$12+1,1))</f>
        <v>185.82627135915504</v>
      </c>
      <c r="CE14" s="59">
        <f t="shared" si="40"/>
        <v>155.46126452522037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2.7384615384615376</v>
      </c>
      <c r="CT14" s="12">
        <f>IF('Données projet'!$A$140&gt;35,CT13+CS14-DB13,IF(A14&lt;'Données projet'!$A$140,$CQ$205^A14,IF(A14='Données projet'!$A$140,'Données projet'!$B$140,CT13+CS14-DB13)))</f>
        <v>16.353846153846156</v>
      </c>
      <c r="CU14" s="17">
        <f>CT14*VLOOKUP('Données projet'!$B$13,Paramètres!$A$1:$I$89,3,0)*VLOOKUP('Données projet'!$B$13,Paramètres!$A$1:$I$89,5,0)</f>
        <v>18.839630769230769</v>
      </c>
      <c r="CV14" s="13">
        <f t="shared" si="41"/>
        <v>6.1688757922645232</v>
      </c>
      <c r="CW14" s="20">
        <f t="shared" si="13"/>
        <v>43.556482261270965</v>
      </c>
      <c r="CX14" s="59">
        <f t="shared" si="14"/>
        <v>336.88981559460427</v>
      </c>
      <c r="CY14" s="59">
        <f ca="1">AVERAGE(OFFSET($CX$3,0,0,'Données projet'!$E$13+1,1))-AVERAGE(OFFSET($H$3,0,0,'Données projet'!$E$13+1,1))</f>
        <v>150.78964413039063</v>
      </c>
      <c r="CZ14" s="59">
        <f t="shared" si="42"/>
        <v>131.90332435966184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0.27389611127584251</v>
      </c>
      <c r="DG14" s="21">
        <f>EXP(-LN(2)/25)*DG13+(1-EXP(-LN(2)/25))/(LN(2)/25)*Calculateur!DB14*Calculateur!DD14*VLOOKUP('Données projet'!$B$13,Paramètres!$A$1:$I$89,3,0)*0.475*44/12</f>
        <v>0.40058425998274294</v>
      </c>
      <c r="DH14" s="21">
        <f>EXP(-LN(2)/2)*DH13+(1-EXP(-LN(2)/2))/(LN(2)/2)*DB14*DE14*VLOOKUP('Données projet'!$B$13,Paramètres!$A$1:$I$89,3,0)*0.475*44/12</f>
        <v>0.56952131460039068</v>
      </c>
      <c r="DI14" s="22">
        <f t="shared" si="15"/>
        <v>1.2440016858589762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2.2435897435897436</v>
      </c>
      <c r="DO14" s="12">
        <f>IF('Données projet'!$A$166&gt;35,DO13+DN14-DW13,IF(A14&lt;'Données projet'!$A$166,$DL$205^A14,IF(A14='Données projet'!$A$166,'Données projet'!$B$166,DO13+DN14-DW13)))</f>
        <v>4.6804799617251298</v>
      </c>
      <c r="DP14" s="17">
        <f>DO14*VLOOKUP('Données projet'!$B$14,Paramètres!$A$1:$I$89,3,0)*VLOOKUP('Données projet'!$B$14,Paramètres!$A$1:$I$89,5,0)</f>
        <v>4.8920376559951064</v>
      </c>
      <c r="DQ14" s="13">
        <f t="shared" si="43"/>
        <v>1.8740675658651125</v>
      </c>
      <c r="DR14" s="20">
        <f t="shared" si="16"/>
        <v>11.784299928073212</v>
      </c>
      <c r="DS14" s="59">
        <f t="shared" si="17"/>
        <v>305.11763326140652</v>
      </c>
      <c r="DT14" s="59">
        <f ca="1">AVERAGE(OFFSET($DS$3,0,0,'Données projet'!$E$14+1,1))-AVERAGE(OFFSET($H$3,0,0,'Données projet'!$E$14+1,1))</f>
        <v>110.10595934547638</v>
      </c>
      <c r="DU14" s="59">
        <f t="shared" si="44"/>
        <v>131.10971921141493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3.3603333333333336</v>
      </c>
      <c r="EJ14" s="12">
        <f>IF('Données projet'!$A$192&gt;35,EJ13+EI14-ER13,IF(A14&lt;'Données projet'!$A$192,$EG$205^A14,IF(A14='Données projet'!$A$192,'Données projet'!$B$192,EJ13+EI14-ER13)))</f>
        <v>36.963666666666676</v>
      </c>
      <c r="EK14" s="17">
        <f>EJ14*VLOOKUP('Données projet'!$B$15,Paramètres!$A$1:$I$89,3,0)*VLOOKUP('Données projet'!$B$15,Paramètres!$A$1:$I$89,5,0)</f>
        <v>37.481158000000008</v>
      </c>
      <c r="EL14" s="13">
        <f t="shared" si="45"/>
        <v>11.32852146348689</v>
      </c>
      <c r="EM14" s="20">
        <f t="shared" si="19"/>
        <v>85.01019173223969</v>
      </c>
      <c r="EN14" s="59">
        <f t="shared" si="20"/>
        <v>378.34352506557298</v>
      </c>
      <c r="EO14" s="59">
        <f ca="1">AVERAGE(OFFSET($EN$3,0,0,'Données projet'!$E$15+1,1))-AVERAGE(OFFSET($H$3,0,0,'Données projet'!$E$15+1,1))</f>
        <v>420.38735944595965</v>
      </c>
      <c r="EP14" s="59">
        <f t="shared" si="46"/>
        <v>200.0823542414671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4.016578947368421</v>
      </c>
      <c r="FE14" s="12">
        <f>IF('Données projet'!$A$218&gt;35,FE13+FD14-FM13,IF(A14&lt;'Données projet'!$A$218,$FB$205^A14,IF(A14='Données projet'!$A$218,'Données projet'!$B$218,FE13+FD14-FM13)))</f>
        <v>44.182368421052644</v>
      </c>
      <c r="FF14" s="17">
        <f>FE14*VLOOKUP('Données projet'!$B$16,Paramètres!$A$1:$I$89,3,0)*VLOOKUP('Données projet'!$B$16,Paramètres!$A$1:$I$89,5,0)</f>
        <v>47.557901368421064</v>
      </c>
      <c r="FG14" s="13">
        <f t="shared" si="47"/>
        <v>13.981250808542729</v>
      </c>
      <c r="FH14" s="20">
        <f t="shared" si="22"/>
        <v>107.18069004154528</v>
      </c>
      <c r="FI14" s="59">
        <f t="shared" si="23"/>
        <v>400.5140233748786</v>
      </c>
      <c r="FJ14" s="59">
        <f ca="1">AVERAGE(OFFSET($FI$3,0,0,'Données projet'!$E$16+1,1))-AVERAGE(OFFSET($H$3,0,0,'Données projet'!$E$16+1,1))</f>
        <v>415.8741608506952</v>
      </c>
      <c r="FK14" s="59">
        <f t="shared" si="48"/>
        <v>259.15848913719356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4.016578947368421</v>
      </c>
      <c r="FZ14" s="12">
        <f>IF('Données projet'!$A$244&gt;35,FZ13+FY14-GH13,IF(A14&lt;'Données projet'!$A$244,$FW$205^A14,IF(A14='Données projet'!$A$244,'Données projet'!$B$244,FZ13+FY14-GH13)))</f>
        <v>44.182368421052644</v>
      </c>
      <c r="GA14" s="17">
        <f>FZ14*VLOOKUP('Données projet'!$B$17,Paramètres!$A$1:$I$89,3,0)*VLOOKUP('Données projet'!$B$17,Paramètres!$A$1:$I$89,5,0)</f>
        <v>37.908472105263172</v>
      </c>
      <c r="GB14" s="13">
        <f t="shared" si="49"/>
        <v>11.442566430203483</v>
      </c>
      <c r="GC14" s="20">
        <f t="shared" si="25"/>
        <v>85.95305878260443</v>
      </c>
      <c r="GD14" s="59">
        <f t="shared" si="26"/>
        <v>379.28639211593776</v>
      </c>
      <c r="GE14" s="59">
        <f ca="1">AVERAGE(OFFSET($GD$3,0,0,'Données projet'!$E$17+1,1))-AVERAGE(OFFSET($H$3,0,0,'Données projet'!$E$17+1,1))</f>
        <v>322.39807389980882</v>
      </c>
      <c r="GF14" s="59">
        <f t="shared" si="50"/>
        <v>202.59410055732792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15" s="11">
        <f t="shared" si="32"/>
        <v>1.7062280291992591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47.129619874520593</v>
      </c>
      <c r="H15" s="67">
        <f t="shared" si="1"/>
        <v>303.96695381752204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6.4429411764705877</v>
      </c>
      <c r="N15" s="13">
        <f>IF('Données projet'!$A$36&gt;35,N14+M15-V14,IF(A15&lt;'Données projet'!$A$36,$K$205^A15,IF(A15='Données projet'!$A$36,'Données projet'!$B$36,N14+M15-V14)))</f>
        <v>77.315294117647056</v>
      </c>
      <c r="O15" s="13">
        <f>N15*VLOOKUP('Données projet'!$B$9,Paramètres!$A$1:$I$89,3,0)*VLOOKUP('Données projet'!$B$9,Paramètres!$A$1:$I$89,5,0)</f>
        <v>36.183557647058819</v>
      </c>
      <c r="P15" s="13">
        <f t="shared" si="33"/>
        <v>10.981271243408294</v>
      </c>
      <c r="Q15" s="20">
        <f t="shared" si="2"/>
        <v>82.145410317563559</v>
      </c>
      <c r="R15" s="59">
        <f t="shared" si="0"/>
        <v>375.47874365089689</v>
      </c>
      <c r="S15" s="59">
        <f ca="1">AVERAGE(OFFSET($R$3,0,0,'Données projet'!$E$9+1,1))-AVERAGE(OFFSET($H$3,0,0,'Données projet'!$E$9+1,1))</f>
        <v>215.77907571824977</v>
      </c>
      <c r="T15" s="59">
        <f t="shared" si="34"/>
        <v>174.69390149594869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5.699583333333333</v>
      </c>
      <c r="AI15" s="13">
        <f>IF('Données projet'!$A$62&gt;35,AI14+AH15-AQ14,IF(A15&lt;'Données projet'!$A$62,$AF$205^A15,IF(A15='Données projet'!$A$62,'Données projet'!$B$62,AI14+AH15-AQ14)))</f>
        <v>11.695725714978094</v>
      </c>
      <c r="AJ15" s="13">
        <f>AI15*VLOOKUP('Données projet'!$B$10,Paramètres!$A$1:$I$89,3,0)*VLOOKUP('Données projet'!$B$10,Paramètres!$A$1:$I$89,5,0)</f>
        <v>6.9940439775569017</v>
      </c>
      <c r="AK15" s="13">
        <f t="shared" si="35"/>
        <v>2.5701237961941108</v>
      </c>
      <c r="AL15" s="20">
        <f t="shared" si="4"/>
        <v>16.65759220594968</v>
      </c>
      <c r="AM15" s="59">
        <f t="shared" si="5"/>
        <v>309.99092553928301</v>
      </c>
      <c r="AN15" s="59">
        <f ca="1">AVERAGE(OFFSET($AM$3,0,0,'Données projet'!$E$10+1,1))-AVERAGE(OFFSET($H$3,0,0,'Données projet'!$E$10+1,1))</f>
        <v>171.701352621833</v>
      </c>
      <c r="AO15" s="59">
        <f t="shared" si="36"/>
        <v>195.58435749168586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8.0399999999999991</v>
      </c>
      <c r="BD15" s="12">
        <f>IF('Données projet'!$A$88&gt;35,BD14+BC15-BL14,IF(A15&lt;'Données projet'!$A$88,$BA$205^A15,IF(A15='Données projet'!$A$88,'Données projet'!$B$88,BD14+BC15-BL14)))</f>
        <v>12.750702343708866</v>
      </c>
      <c r="BE15" s="13">
        <f>BD15*VLOOKUP('Données projet'!$B$11,Paramètres!$A$1:$I$89,3,0)*VLOOKUP('Données projet'!$B$11,Paramètres!$A$1:$I$89,5,0)</f>
        <v>6.6303652187286106</v>
      </c>
      <c r="BF15" s="13">
        <f t="shared" si="37"/>
        <v>2.4516730705741416</v>
      </c>
      <c r="BG15" s="20">
        <f t="shared" si="7"/>
        <v>15.817883353868957</v>
      </c>
      <c r="BH15" s="59">
        <f t="shared" si="8"/>
        <v>309.15121668720229</v>
      </c>
      <c r="BI15" s="59">
        <f ca="1">AVERAGE(OFFSET($BH$3,0,0,'Données projet'!$E$11+1,1))-AVERAGE(OFFSET($H$3,0,0,'Données projet'!$E$11+1,1))</f>
        <v>348.29124901999882</v>
      </c>
      <c r="BJ15" s="59">
        <f t="shared" si="38"/>
        <v>284.30034973939053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4.5468888888888888</v>
      </c>
      <c r="BY15" s="12">
        <f>IF('Données projet'!$A$114&gt;35,BY14+BX15-CG14,IF(A15&lt;'Données projet'!$A$114,$BV$205^A15,IF(A15='Données projet'!$A$114,'Données projet'!$B$114,BY14+BX15-CG14)))</f>
        <v>54.562666666666651</v>
      </c>
      <c r="BZ15" s="13">
        <f>BY15*VLOOKUP('Données projet'!$B$12,Paramètres!$A$1:$I$89,3,0)*VLOOKUP('Données projet'!$B$12,Paramètres!$A$1:$I$89,5,0)</f>
        <v>32.628474666666662</v>
      </c>
      <c r="CA15" s="13">
        <f t="shared" si="39"/>
        <v>10.022271703658236</v>
      </c>
      <c r="CB15" s="20">
        <f t="shared" si="10"/>
        <v>74.283383261649178</v>
      </c>
      <c r="CC15" s="59">
        <f t="shared" si="11"/>
        <v>367.61671659498251</v>
      </c>
      <c r="CD15" s="59">
        <f ca="1">AVERAGE(OFFSET($CC$3,0,0,'Données projet'!$E$12+1,1))-AVERAGE(OFFSET($H$3,0,0,'Données projet'!$E$12+1,1))</f>
        <v>185.82627135915504</v>
      </c>
      <c r="CE15" s="59">
        <f t="shared" si="40"/>
        <v>155.46126452522037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2.7384615384615376</v>
      </c>
      <c r="CT15" s="12">
        <f>IF('Données projet'!$A$140&gt;35,CT14+CS15-DB14,IF(A15&lt;'Données projet'!$A$140,$CQ$205^A15,IF(A15='Données projet'!$A$140,'Données projet'!$B$140,CT14+CS15-DB14)))</f>
        <v>19.092307692307692</v>
      </c>
      <c r="CU15" s="17">
        <f>CT15*VLOOKUP('Données projet'!$B$13,Paramètres!$A$1:$I$89,3,0)*VLOOKUP('Données projet'!$B$13,Paramètres!$A$1:$I$89,5,0)</f>
        <v>21.994338461538458</v>
      </c>
      <c r="CV15" s="13">
        <f t="shared" si="41"/>
        <v>7.0732332466175345</v>
      </c>
      <c r="CW15" s="20">
        <f t="shared" si="13"/>
        <v>50.626020725038352</v>
      </c>
      <c r="CX15" s="59">
        <f t="shared" si="14"/>
        <v>343.95935405837167</v>
      </c>
      <c r="CY15" s="59">
        <f ca="1">AVERAGE(OFFSET($CX$3,0,0,'Données projet'!$E$13+1,1))-AVERAGE(OFFSET($H$3,0,0,'Données projet'!$E$13+1,1))</f>
        <v>150.78964413039063</v>
      </c>
      <c r="CZ15" s="59">
        <f t="shared" si="42"/>
        <v>131.90332435966184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0.2685251755938553</v>
      </c>
      <c r="DG15" s="21">
        <f>EXP(-LN(2)/25)*DG14+(1-EXP(-LN(2)/25))/(LN(2)/25)*Calculateur!DB15*Calculateur!DD15*VLOOKUP('Données projet'!$B$13,Paramètres!$A$1:$I$89,3,0)*0.475*44/12</f>
        <v>0.38963026232770415</v>
      </c>
      <c r="DH15" s="21">
        <f>EXP(-LN(2)/2)*DH14+(1-EXP(-LN(2)/2))/(LN(2)/2)*DB15*DE15*VLOOKUP('Données projet'!$B$13,Paramètres!$A$1:$I$89,3,0)*0.475*44/12</f>
        <v>0.40271238358421335</v>
      </c>
      <c r="DI15" s="22">
        <f t="shared" si="15"/>
        <v>1.0608678215057727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2.2435897435897436</v>
      </c>
      <c r="DO15" s="12">
        <f>IF('Données projet'!$A$166&gt;35,DO14+DN15-DW14,IF(A15&lt;'Données projet'!$A$166,$DL$205^A15,IF(A15='Données projet'!$A$166,'Données projet'!$B$166,DO14+DN15-DW14)))</f>
        <v>5.3854981406550664</v>
      </c>
      <c r="DP15" s="17">
        <f>DO15*VLOOKUP('Données projet'!$B$14,Paramètres!$A$1:$I$89,3,0)*VLOOKUP('Données projet'!$B$14,Paramètres!$A$1:$I$89,5,0)</f>
        <v>5.6289226566126755</v>
      </c>
      <c r="DQ15" s="13">
        <f t="shared" si="43"/>
        <v>2.1214257862514385</v>
      </c>
      <c r="DR15" s="20">
        <f t="shared" si="16"/>
        <v>13.498523537988332</v>
      </c>
      <c r="DS15" s="59">
        <f t="shared" si="17"/>
        <v>306.83185687132163</v>
      </c>
      <c r="DT15" s="59">
        <f ca="1">AVERAGE(OFFSET($DS$3,0,0,'Données projet'!$E$14+1,1))-AVERAGE(OFFSET($H$3,0,0,'Données projet'!$E$14+1,1))</f>
        <v>110.10595934547638</v>
      </c>
      <c r="DU15" s="59">
        <f t="shared" si="44"/>
        <v>131.10971921141493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3.3603333333333336</v>
      </c>
      <c r="EJ15" s="12">
        <f>IF('Données projet'!$A$192&gt;35,EJ14+EI15-ER14,IF(A15&lt;'Données projet'!$A$192,$EG$205^A15,IF(A15='Données projet'!$A$192,'Données projet'!$B$192,EJ14+EI15-ER14)))</f>
        <v>40.324000000000012</v>
      </c>
      <c r="EK15" s="17">
        <f>EJ15*VLOOKUP('Données projet'!$B$15,Paramètres!$A$1:$I$89,3,0)*VLOOKUP('Données projet'!$B$15,Paramètres!$A$1:$I$89,5,0)</f>
        <v>40.888536000000016</v>
      </c>
      <c r="EL15" s="13">
        <f t="shared" si="45"/>
        <v>12.2338514914741</v>
      </c>
      <c r="EM15" s="20">
        <f t="shared" si="19"/>
        <v>92.52149154765074</v>
      </c>
      <c r="EN15" s="59">
        <f t="shared" si="20"/>
        <v>385.85482488098404</v>
      </c>
      <c r="EO15" s="59">
        <f ca="1">AVERAGE(OFFSET($EN$3,0,0,'Données projet'!$E$15+1,1))-AVERAGE(OFFSET($H$3,0,0,'Données projet'!$E$15+1,1))</f>
        <v>420.38735944595965</v>
      </c>
      <c r="EP15" s="59">
        <f t="shared" si="46"/>
        <v>200.0823542414671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4.016578947368421</v>
      </c>
      <c r="FE15" s="12">
        <f>IF('Données projet'!$A$218&gt;35,FE14+FD15-FM14,IF(A15&lt;'Données projet'!$A$218,$FB$205^A15,IF(A15='Données projet'!$A$218,'Données projet'!$B$218,FE14+FD15-FM14)))</f>
        <v>48.198947368421067</v>
      </c>
      <c r="FF15" s="17">
        <f>FE15*VLOOKUP('Données projet'!$B$16,Paramètres!$A$1:$I$89,3,0)*VLOOKUP('Données projet'!$B$16,Paramètres!$A$1:$I$89,5,0)</f>
        <v>51.881346947368428</v>
      </c>
      <c r="FG15" s="13">
        <f t="shared" si="47"/>
        <v>15.098576333024555</v>
      </c>
      <c r="FH15" s="20">
        <f t="shared" si="22"/>
        <v>116.6566997133511</v>
      </c>
      <c r="FI15" s="59">
        <f t="shared" si="23"/>
        <v>409.9900330466844</v>
      </c>
      <c r="FJ15" s="59">
        <f ca="1">AVERAGE(OFFSET($FI$3,0,0,'Données projet'!$E$16+1,1))-AVERAGE(OFFSET($H$3,0,0,'Données projet'!$E$16+1,1))</f>
        <v>415.8741608506952</v>
      </c>
      <c r="FK15" s="59">
        <f t="shared" si="48"/>
        <v>259.15848913719356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4.016578947368421</v>
      </c>
      <c r="FZ15" s="12">
        <f>IF('Données projet'!$A$244&gt;35,FZ14+FY15-GH14,IF(A15&lt;'Données projet'!$A$244,$FW$205^A15,IF(A15='Données projet'!$A$244,'Données projet'!$B$244,FZ14+FY15-GH14)))</f>
        <v>48.198947368421067</v>
      </c>
      <c r="GA15" s="17">
        <f>FZ15*VLOOKUP('Données projet'!$B$17,Paramètres!$A$1:$I$89,3,0)*VLOOKUP('Données projet'!$B$17,Paramètres!$A$1:$I$89,5,0)</f>
        <v>41.354696842105277</v>
      </c>
      <c r="GB15" s="13">
        <f t="shared" si="49"/>
        <v>12.357010474811666</v>
      </c>
      <c r="GC15" s="20">
        <f t="shared" si="25"/>
        <v>93.547890243630334</v>
      </c>
      <c r="GD15" s="59">
        <f t="shared" si="26"/>
        <v>386.88122357696363</v>
      </c>
      <c r="GE15" s="59">
        <f ca="1">AVERAGE(OFFSET($GD$3,0,0,'Données projet'!$E$17+1,1))-AVERAGE(OFFSET($H$3,0,0,'Données projet'!$E$17+1,1))</f>
        <v>322.39807389980882</v>
      </c>
      <c r="GF15" s="59">
        <f t="shared" si="50"/>
        <v>202.59410055732792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4.7657999999999996</v>
      </c>
      <c r="D16" s="11">
        <f t="shared" si="32"/>
        <v>1.8312720592340241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50.92476677303457</v>
      </c>
      <c r="H16" s="67">
        <f t="shared" si="1"/>
        <v>304.82323383649924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6.4429411764705877</v>
      </c>
      <c r="N16" s="13">
        <f>IF('Données projet'!$A$36&gt;35,N15+M16-V15,IF(A16&lt;'Données projet'!$A$36,$K$205^A16,IF(A16='Données projet'!$A$36,'Données projet'!$B$36,N15+M16-V15)))</f>
        <v>83.75823529411764</v>
      </c>
      <c r="O16" s="13">
        <f>N16*VLOOKUP('Données projet'!$B$9,Paramètres!$A$1:$I$89,3,0)*VLOOKUP('Données projet'!$B$9,Paramètres!$A$1:$I$89,5,0)</f>
        <v>39.198854117647059</v>
      </c>
      <c r="P16" s="13">
        <f t="shared" si="33"/>
        <v>11.786053715435241</v>
      </c>
      <c r="Q16" s="20">
        <f t="shared" si="2"/>
        <v>88.79871447595167</v>
      </c>
      <c r="R16" s="59">
        <f t="shared" si="0"/>
        <v>382.13204780928498</v>
      </c>
      <c r="S16" s="59">
        <f ca="1">AVERAGE(OFFSET($R$3,0,0,'Données projet'!$E$9+1,1))-AVERAGE(OFFSET($H$3,0,0,'Données projet'!$E$9+1,1))</f>
        <v>215.77907571824977</v>
      </c>
      <c r="T16" s="59">
        <f t="shared" si="34"/>
        <v>174.69390149594869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5.699583333333333</v>
      </c>
      <c r="AI16" s="13">
        <f>IF('Données projet'!$A$62&gt;35,AI15+AH16-AQ15,IF(A16&lt;'Données projet'!$A$62,$AF$205^A16,IF(A16='Données projet'!$A$62,'Données projet'!$B$62,AI15+AH16-AQ15)))</f>
        <v>14.355867435794046</v>
      </c>
      <c r="AJ16" s="13">
        <f>AI16*VLOOKUP('Données projet'!$B$10,Paramètres!$A$1:$I$89,3,0)*VLOOKUP('Données projet'!$B$10,Paramètres!$A$1:$I$89,5,0)</f>
        <v>8.5848087266048392</v>
      </c>
      <c r="AK16" s="13">
        <f t="shared" si="35"/>
        <v>3.080324312232217</v>
      </c>
      <c r="AL16" s="20">
        <f t="shared" si="4"/>
        <v>20.316773375974538</v>
      </c>
      <c r="AM16" s="59">
        <f t="shared" si="5"/>
        <v>313.65010670930786</v>
      </c>
      <c r="AN16" s="59">
        <f ca="1">AVERAGE(OFFSET($AM$3,0,0,'Données projet'!$E$10+1,1))-AVERAGE(OFFSET($H$3,0,0,'Données projet'!$E$10+1,1))</f>
        <v>171.701352621833</v>
      </c>
      <c r="AO16" s="59">
        <f t="shared" si="36"/>
        <v>195.58435749168586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8.0399999999999991</v>
      </c>
      <c r="BD16" s="12">
        <f>IF('Données projet'!$A$88&gt;35,BD15+BC16-BL15,IF(A16&lt;'Données projet'!$A$88,$BA$205^A16,IF(A16='Données projet'!$A$88,'Données projet'!$B$88,BD15+BC16-BL15)))</f>
        <v>15.763837519050279</v>
      </c>
      <c r="BE16" s="13">
        <f>BD16*VLOOKUP('Données projet'!$B$11,Paramètres!$A$1:$I$89,3,0)*VLOOKUP('Données projet'!$B$11,Paramètres!$A$1:$I$89,5,0)</f>
        <v>8.1971955099061447</v>
      </c>
      <c r="BF16" s="13">
        <f t="shared" si="37"/>
        <v>2.957104813446584</v>
      </c>
      <c r="BG16" s="20">
        <f t="shared" si="7"/>
        <v>19.427073063172671</v>
      </c>
      <c r="BH16" s="59">
        <f t="shared" si="8"/>
        <v>312.76040639650597</v>
      </c>
      <c r="BI16" s="59">
        <f ca="1">AVERAGE(OFFSET($BH$3,0,0,'Données projet'!$E$11+1,1))-AVERAGE(OFFSET($H$3,0,0,'Données projet'!$E$11+1,1))</f>
        <v>348.29124901999882</v>
      </c>
      <c r="BJ16" s="59">
        <f t="shared" si="38"/>
        <v>284.30034973939053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4.5468888888888888</v>
      </c>
      <c r="BY16" s="12">
        <f>IF('Données projet'!$A$114&gt;35,BY15+BX16-CG15,IF(A16&lt;'Données projet'!$A$114,$BV$205^A16,IF(A16='Données projet'!$A$114,'Données projet'!$B$114,BY15+BX16-CG15)))</f>
        <v>59.109555555555538</v>
      </c>
      <c r="BZ16" s="13">
        <f>BY16*VLOOKUP('Données projet'!$B$12,Paramètres!$A$1:$I$89,3,0)*VLOOKUP('Données projet'!$B$12,Paramètres!$A$1:$I$89,5,0)</f>
        <v>35.347514222222209</v>
      </c>
      <c r="CA16" s="13">
        <f t="shared" si="39"/>
        <v>10.756772147023334</v>
      </c>
      <c r="CB16" s="20">
        <f t="shared" si="10"/>
        <v>80.298298759769324</v>
      </c>
      <c r="CC16" s="59">
        <f t="shared" si="11"/>
        <v>373.63163209310267</v>
      </c>
      <c r="CD16" s="59">
        <f ca="1">AVERAGE(OFFSET($CC$3,0,0,'Données projet'!$E$12+1,1))-AVERAGE(OFFSET($H$3,0,0,'Données projet'!$E$12+1,1))</f>
        <v>185.82627135915504</v>
      </c>
      <c r="CE16" s="59">
        <f t="shared" si="40"/>
        <v>155.46126452522037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2.7384615384615376</v>
      </c>
      <c r="CT16" s="12">
        <f>IF('Données projet'!$A$140&gt;35,CT15+CS16-DB15,IF(A16&lt;'Données projet'!$A$140,$CQ$205^A16,IF(A16='Données projet'!$A$140,'Données projet'!$B$140,CT15+CS16-DB15)))</f>
        <v>21.830769230769228</v>
      </c>
      <c r="CU16" s="17">
        <f>CT16*VLOOKUP('Données projet'!$B$13,Paramètres!$A$1:$I$89,3,0)*VLOOKUP('Données projet'!$B$13,Paramètres!$A$1:$I$89,5,0)</f>
        <v>25.14904615384615</v>
      </c>
      <c r="CV16" s="13">
        <f t="shared" si="41"/>
        <v>7.9625629373264752</v>
      </c>
      <c r="CW16" s="20">
        <f t="shared" si="13"/>
        <v>57.669385833792319</v>
      </c>
      <c r="CX16" s="59">
        <f t="shared" si="14"/>
        <v>351.00271916712563</v>
      </c>
      <c r="CY16" s="59">
        <f ca="1">AVERAGE(OFFSET($CX$3,0,0,'Données projet'!$E$13+1,1))-AVERAGE(OFFSET($H$3,0,0,'Données projet'!$E$13+1,1))</f>
        <v>150.78964413039063</v>
      </c>
      <c r="CZ16" s="59">
        <f t="shared" si="42"/>
        <v>131.90332435966184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0.26325956068464457</v>
      </c>
      <c r="DG16" s="21">
        <f>EXP(-LN(2)/25)*DG15+(1-EXP(-LN(2)/25))/(LN(2)/25)*Calculateur!DB16*Calculateur!DD16*VLOOKUP('Données projet'!$B$13,Paramètres!$A$1:$I$89,3,0)*0.475*44/12</f>
        <v>0.37897580231458811</v>
      </c>
      <c r="DH16" s="21">
        <f>EXP(-LN(2)/2)*DH15+(1-EXP(-LN(2)/2))/(LN(2)/2)*DB16*DE16*VLOOKUP('Données projet'!$B$13,Paramètres!$A$1:$I$89,3,0)*0.475*44/12</f>
        <v>0.28476065730019534</v>
      </c>
      <c r="DI16" s="22">
        <f t="shared" si="15"/>
        <v>0.92699602029942807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2.2435897435897436</v>
      </c>
      <c r="DO16" s="12">
        <f>IF('Données projet'!$A$166&gt;35,DO15+DN16-DW15,IF(A16&lt;'Données projet'!$A$166,$DL$205^A16,IF(A16='Données projet'!$A$166,'Données projet'!$B$166,DO15+DN16-DW15)))</f>
        <v>6.1967128286367128</v>
      </c>
      <c r="DP16" s="17">
        <f>DO16*VLOOKUP('Données projet'!$B$14,Paramètres!$A$1:$I$89,3,0)*VLOOKUP('Données projet'!$B$14,Paramètres!$A$1:$I$89,5,0)</f>
        <v>6.476804248491093</v>
      </c>
      <c r="DQ16" s="13">
        <f t="shared" si="43"/>
        <v>2.4014328237386828</v>
      </c>
      <c r="DR16" s="20">
        <f t="shared" si="16"/>
        <v>15.46292956746686</v>
      </c>
      <c r="DS16" s="59">
        <f t="shared" si="17"/>
        <v>308.79626290080017</v>
      </c>
      <c r="DT16" s="59">
        <f ca="1">AVERAGE(OFFSET($DS$3,0,0,'Données projet'!$E$14+1,1))-AVERAGE(OFFSET($H$3,0,0,'Données projet'!$E$14+1,1))</f>
        <v>110.10595934547638</v>
      </c>
      <c r="DU16" s="59">
        <f t="shared" si="44"/>
        <v>131.10971921141493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3.3603333333333336</v>
      </c>
      <c r="EJ16" s="12">
        <f>IF('Données projet'!$A$192&gt;35,EJ15+EI16-ER15,IF(A16&lt;'Données projet'!$A$192,$EG$205^A16,IF(A16='Données projet'!$A$192,'Données projet'!$B$192,EJ15+EI16-ER15)))</f>
        <v>43.684333333333349</v>
      </c>
      <c r="EK16" s="17">
        <f>EJ16*VLOOKUP('Données projet'!$B$15,Paramètres!$A$1:$I$89,3,0)*VLOOKUP('Données projet'!$B$15,Paramètres!$A$1:$I$89,5,0)</f>
        <v>44.295914000000018</v>
      </c>
      <c r="EL16" s="13">
        <f t="shared" si="45"/>
        <v>13.130431589304674</v>
      </c>
      <c r="EM16" s="20">
        <f t="shared" si="19"/>
        <v>100.01755190137233</v>
      </c>
      <c r="EN16" s="59">
        <f t="shared" si="20"/>
        <v>393.35088523470563</v>
      </c>
      <c r="EO16" s="59">
        <f ca="1">AVERAGE(OFFSET($EN$3,0,0,'Données projet'!$E$15+1,1))-AVERAGE(OFFSET($H$3,0,0,'Données projet'!$E$15+1,1))</f>
        <v>420.38735944595965</v>
      </c>
      <c r="EP16" s="59">
        <f t="shared" si="46"/>
        <v>200.0823542414671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4.016578947368421</v>
      </c>
      <c r="FE16" s="12">
        <f>IF('Données projet'!$A$218&gt;35,FE15+FD16-FM15,IF(A16&lt;'Données projet'!$A$218,$FB$205^A16,IF(A16='Données projet'!$A$218,'Données projet'!$B$218,FE15+FD16-FM15)))</f>
        <v>52.215526315789489</v>
      </c>
      <c r="FF16" s="17">
        <f>FE16*VLOOKUP('Données projet'!$B$16,Paramètres!$A$1:$I$89,3,0)*VLOOKUP('Données projet'!$B$16,Paramètres!$A$1:$I$89,5,0)</f>
        <v>56.204792526315799</v>
      </c>
      <c r="FG16" s="13">
        <f t="shared" si="47"/>
        <v>16.205103010677917</v>
      </c>
      <c r="FH16" s="20">
        <f t="shared" si="22"/>
        <v>126.1139013935974</v>
      </c>
      <c r="FI16" s="59">
        <f t="shared" si="23"/>
        <v>419.44723472693073</v>
      </c>
      <c r="FJ16" s="59">
        <f ca="1">AVERAGE(OFFSET($FI$3,0,0,'Données projet'!$E$16+1,1))-AVERAGE(OFFSET($H$3,0,0,'Données projet'!$E$16+1,1))</f>
        <v>415.8741608506952</v>
      </c>
      <c r="FK16" s="59">
        <f t="shared" si="48"/>
        <v>259.15848913719356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4.016578947368421</v>
      </c>
      <c r="FZ16" s="12">
        <f>IF('Données projet'!$A$244&gt;35,FZ15+FY16-GH15,IF(A16&lt;'Données projet'!$A$244,$FW$205^A16,IF(A16='Données projet'!$A$244,'Données projet'!$B$244,FZ15+FY16-GH15)))</f>
        <v>52.215526315789489</v>
      </c>
      <c r="GA16" s="17">
        <f>FZ16*VLOOKUP('Données projet'!$B$17,Paramètres!$A$1:$I$89,3,0)*VLOOKUP('Données projet'!$B$17,Paramètres!$A$1:$I$89,5,0)</f>
        <v>44.800921578947388</v>
      </c>
      <c r="GB16" s="13">
        <f t="shared" si="49"/>
        <v>13.262616503143892</v>
      </c>
      <c r="GC16" s="20">
        <f t="shared" si="25"/>
        <v>101.12732882630898</v>
      </c>
      <c r="GD16" s="59">
        <f t="shared" si="26"/>
        <v>394.46066215964231</v>
      </c>
      <c r="GE16" s="59">
        <f ca="1">AVERAGE(OFFSET($GD$3,0,0,'Données projet'!$E$17+1,1))-AVERAGE(OFFSET($H$3,0,0,'Données projet'!$E$17+1,1))</f>
        <v>322.39807389980882</v>
      </c>
      <c r="GF16" s="59">
        <f t="shared" si="50"/>
        <v>202.59410055732792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7" s="11">
        <f t="shared" si="32"/>
        <v>1.9552003009222731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54.711300568522809</v>
      </c>
      <c r="H17" s="67">
        <f t="shared" si="1"/>
        <v>305.67757052410627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6.4429411764705877</v>
      </c>
      <c r="N17" s="13">
        <f>IF('Données projet'!$A$36&gt;35,N16+M17-V16,IF(A17&lt;'Données projet'!$A$36,$K$205^A17,IF(A17='Données projet'!$A$36,'Données projet'!$B$36,N16+M17-V16)))</f>
        <v>90.201176470588223</v>
      </c>
      <c r="O17" s="13">
        <f>N17*VLOOKUP('Données projet'!$B$9,Paramètres!$A$1:$I$89,3,0)*VLOOKUP('Données projet'!$B$9,Paramètres!$A$1:$I$89,5,0)</f>
        <v>42.214150588235285</v>
      </c>
      <c r="P17" s="13">
        <f t="shared" si="33"/>
        <v>12.583654981741942</v>
      </c>
      <c r="Q17" s="20">
        <f t="shared" si="2"/>
        <v>95.439511367710338</v>
      </c>
      <c r="R17" s="59">
        <f t="shared" si="0"/>
        <v>388.77284470104365</v>
      </c>
      <c r="S17" s="59">
        <f ca="1">AVERAGE(OFFSET($R$3,0,0,'Données projet'!$E$9+1,1))-AVERAGE(OFFSET($H$3,0,0,'Données projet'!$E$9+1,1))</f>
        <v>215.77907571824977</v>
      </c>
      <c r="T17" s="59">
        <f t="shared" si="34"/>
        <v>174.69390149594869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5.699583333333333</v>
      </c>
      <c r="AI17" s="13">
        <f>IF('Données projet'!$A$62&gt;35,AI16+AH17-AQ16,IF(A17&lt;'Données projet'!$A$62,$AF$205^A17,IF(A17='Données projet'!$A$62,'Données projet'!$B$62,AI16+AH17-AQ16)))</f>
        <v>17.621046770117243</v>
      </c>
      <c r="AJ17" s="13">
        <f>AI17*VLOOKUP('Données projet'!$B$10,Paramètres!$A$1:$I$89,3,0)*VLOOKUP('Données projet'!$B$10,Paramètres!$A$1:$I$89,5,0)</f>
        <v>10.537385968530113</v>
      </c>
      <c r="AK17" s="13">
        <f t="shared" si="35"/>
        <v>3.6918057731613891</v>
      </c>
      <c r="AL17" s="20">
        <f t="shared" si="4"/>
        <v>24.7825089501127</v>
      </c>
      <c r="AM17" s="59">
        <f t="shared" si="5"/>
        <v>318.115842283446</v>
      </c>
      <c r="AN17" s="59">
        <f ca="1">AVERAGE(OFFSET($AM$3,0,0,'Données projet'!$E$10+1,1))-AVERAGE(OFFSET($H$3,0,0,'Données projet'!$E$10+1,1))</f>
        <v>171.701352621833</v>
      </c>
      <c r="AO17" s="59">
        <f t="shared" si="36"/>
        <v>195.58435749168586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8.0399999999999991</v>
      </c>
      <c r="BD17" s="12">
        <f>IF('Données projet'!$A$88&gt;35,BD16+BC17-BL16,IF(A17&lt;'Données projet'!$A$88,$BA$205^A17,IF(A17='Données projet'!$A$88,'Données projet'!$B$88,BD16+BC17-BL16)))</f>
        <v>19.489010615138803</v>
      </c>
      <c r="BE17" s="13">
        <f>BD17*VLOOKUP('Données projet'!$B$11,Paramètres!$A$1:$I$89,3,0)*VLOOKUP('Données projet'!$B$11,Paramètres!$A$1:$I$89,5,0)</f>
        <v>10.134285519872179</v>
      </c>
      <c r="BF17" s="13">
        <f t="shared" si="37"/>
        <v>3.5667352970766006</v>
      </c>
      <c r="BG17" s="20">
        <f t="shared" si="7"/>
        <v>23.86261125618579</v>
      </c>
      <c r="BH17" s="59">
        <f t="shared" si="8"/>
        <v>317.19594458951912</v>
      </c>
      <c r="BI17" s="59">
        <f ca="1">AVERAGE(OFFSET($BH$3,0,0,'Données projet'!$E$11+1,1))-AVERAGE(OFFSET($H$3,0,0,'Données projet'!$E$11+1,1))</f>
        <v>348.29124901999882</v>
      </c>
      <c r="BJ17" s="59">
        <f t="shared" si="38"/>
        <v>284.30034973939053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4.5468888888888888</v>
      </c>
      <c r="BY17" s="12">
        <f>IF('Données projet'!$A$114&gt;35,BY16+BX17-CG16,IF(A17&lt;'Données projet'!$A$114,$BV$205^A17,IF(A17='Données projet'!$A$114,'Données projet'!$B$114,BY16+BX17-CG16)))</f>
        <v>63.656444444444425</v>
      </c>
      <c r="BZ17" s="13">
        <f>BY17*VLOOKUP('Données projet'!$B$12,Paramètres!$A$1:$I$89,3,0)*VLOOKUP('Données projet'!$B$12,Paramètres!$A$1:$I$89,5,0)</f>
        <v>38.06655377777777</v>
      </c>
      <c r="CA17" s="13">
        <f t="shared" si="39"/>
        <v>11.484718522713315</v>
      </c>
      <c r="CB17" s="20">
        <f t="shared" si="10"/>
        <v>86.301799256688639</v>
      </c>
      <c r="CC17" s="59">
        <f t="shared" si="11"/>
        <v>379.63513259002195</v>
      </c>
      <c r="CD17" s="59">
        <f ca="1">AVERAGE(OFFSET($CC$3,0,0,'Données projet'!$E$12+1,1))-AVERAGE(OFFSET($H$3,0,0,'Données projet'!$E$12+1,1))</f>
        <v>185.82627135915504</v>
      </c>
      <c r="CE17" s="59">
        <f t="shared" si="40"/>
        <v>155.46126452522037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2.7384615384615376</v>
      </c>
      <c r="CT17" s="12">
        <f>IF('Données projet'!$A$140&gt;35,CT16+CS17-DB16,IF(A17&lt;'Données projet'!$A$140,$CQ$205^A17,IF(A17='Données projet'!$A$140,'Données projet'!$B$140,CT16+CS17-DB16)))</f>
        <v>24.569230769230764</v>
      </c>
      <c r="CU17" s="17">
        <f>CT17*VLOOKUP('Données projet'!$B$13,Paramètres!$A$1:$I$89,3,0)*VLOOKUP('Données projet'!$B$13,Paramètres!$A$1:$I$89,5,0)</f>
        <v>28.303753846153835</v>
      </c>
      <c r="CV17" s="13">
        <f t="shared" si="41"/>
        <v>8.838965878248624</v>
      </c>
      <c r="CW17" s="20">
        <f t="shared" si="13"/>
        <v>64.690236853334284</v>
      </c>
      <c r="CX17" s="59">
        <f t="shared" si="14"/>
        <v>358.0235701866676</v>
      </c>
      <c r="CY17" s="59">
        <f ca="1">AVERAGE(OFFSET($CX$3,0,0,'Données projet'!$E$13+1,1))-AVERAGE(OFFSET($H$3,0,0,'Données projet'!$E$13+1,1))</f>
        <v>150.78964413039063</v>
      </c>
      <c r="CZ17" s="59">
        <f t="shared" si="42"/>
        <v>131.90332435966184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0.25809720127209551</v>
      </c>
      <c r="DG17" s="21">
        <f>EXP(-LN(2)/25)*DG16+(1-EXP(-LN(2)/25))/(LN(2)/25)*Calculateur!DB17*Calculateur!DD17*VLOOKUP('Données projet'!$B$13,Paramètres!$A$1:$I$89,3,0)*0.475*44/12</f>
        <v>0.3686126890708244</v>
      </c>
      <c r="DH17" s="21">
        <f>EXP(-LN(2)/2)*DH16+(1-EXP(-LN(2)/2))/(LN(2)/2)*DB17*DE17*VLOOKUP('Données projet'!$B$13,Paramètres!$A$1:$I$89,3,0)*0.475*44/12</f>
        <v>0.20135619179210668</v>
      </c>
      <c r="DI17" s="22">
        <f t="shared" si="15"/>
        <v>0.82806608213502653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2.2435897435897436</v>
      </c>
      <c r="DO17" s="12">
        <f>IF('Données projet'!$A$166&gt;35,DO16+DN17-DW16,IF(A17&lt;'Données projet'!$A$166,$DL$205^A17,IF(A17='Données projet'!$A$166,'Données projet'!$B$166,DO16+DN17-DW16)))</f>
        <v>7.1301203487037332</v>
      </c>
      <c r="DP17" s="17">
        <f>DO17*VLOOKUP('Données projet'!$B$14,Paramètres!$A$1:$I$89,3,0)*VLOOKUP('Données projet'!$B$14,Paramètres!$A$1:$I$89,5,0)</f>
        <v>7.4524017884651421</v>
      </c>
      <c r="DQ17" s="13">
        <f t="shared" si="43"/>
        <v>2.7183979964340974</v>
      </c>
      <c r="DR17" s="20">
        <f t="shared" si="16"/>
        <v>17.714142958699508</v>
      </c>
      <c r="DS17" s="59">
        <f t="shared" si="17"/>
        <v>311.0474762920328</v>
      </c>
      <c r="DT17" s="59">
        <f ca="1">AVERAGE(OFFSET($DS$3,0,0,'Données projet'!$E$14+1,1))-AVERAGE(OFFSET($H$3,0,0,'Données projet'!$E$14+1,1))</f>
        <v>110.10595934547638</v>
      </c>
      <c r="DU17" s="59">
        <f t="shared" si="44"/>
        <v>131.10971921141493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3.3603333333333336</v>
      </c>
      <c r="EJ17" s="12">
        <f>IF('Données projet'!$A$192&gt;35,EJ16+EI17-ER16,IF(A17&lt;'Données projet'!$A$192,$EG$205^A17,IF(A17='Données projet'!$A$192,'Données projet'!$B$192,EJ16+EI17-ER16)))</f>
        <v>47.044666666666686</v>
      </c>
      <c r="EK17" s="17">
        <f>EJ17*VLOOKUP('Données projet'!$B$15,Paramètres!$A$1:$I$89,3,0)*VLOOKUP('Données projet'!$B$15,Paramètres!$A$1:$I$89,5,0)</f>
        <v>47.703292000000019</v>
      </c>
      <c r="EL17" s="13">
        <f t="shared" si="45"/>
        <v>14.019011356175028</v>
      </c>
      <c r="EM17" s="20">
        <f t="shared" si="19"/>
        <v>107.49967834533821</v>
      </c>
      <c r="EN17" s="59">
        <f t="shared" si="20"/>
        <v>400.83301167867154</v>
      </c>
      <c r="EO17" s="59">
        <f ca="1">AVERAGE(OFFSET($EN$3,0,0,'Données projet'!$E$15+1,1))-AVERAGE(OFFSET($H$3,0,0,'Données projet'!$E$15+1,1))</f>
        <v>420.38735944595965</v>
      </c>
      <c r="EP17" s="59">
        <f t="shared" si="46"/>
        <v>200.0823542414671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4.016578947368421</v>
      </c>
      <c r="FE17" s="12">
        <f>IF('Données projet'!$A$218&gt;35,FE16+FD17-FM16,IF(A17&lt;'Données projet'!$A$218,$FB$205^A17,IF(A17='Données projet'!$A$218,'Données projet'!$B$218,FE16+FD17-FM16)))</f>
        <v>56.232105263157912</v>
      </c>
      <c r="FF17" s="17">
        <f>FE17*VLOOKUP('Données projet'!$B$16,Paramètres!$A$1:$I$89,3,0)*VLOOKUP('Données projet'!$B$16,Paramètres!$A$1:$I$89,5,0)</f>
        <v>60.528238105263171</v>
      </c>
      <c r="FG17" s="13">
        <f t="shared" si="47"/>
        <v>17.301755969676424</v>
      </c>
      <c r="FH17" s="20">
        <f t="shared" si="22"/>
        <v>135.55390634718643</v>
      </c>
      <c r="FI17" s="59">
        <f t="shared" si="23"/>
        <v>428.88723968051977</v>
      </c>
      <c r="FJ17" s="59">
        <f ca="1">AVERAGE(OFFSET($FI$3,0,0,'Données projet'!$E$16+1,1))-AVERAGE(OFFSET($H$3,0,0,'Données projet'!$E$16+1,1))</f>
        <v>415.8741608506952</v>
      </c>
      <c r="FK17" s="59">
        <f t="shared" si="48"/>
        <v>259.15848913719356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4.016578947368421</v>
      </c>
      <c r="FZ17" s="12">
        <f>IF('Données projet'!$A$244&gt;35,FZ16+FY17-GH16,IF(A17&lt;'Données projet'!$A$244,$FW$205^A17,IF(A17='Données projet'!$A$244,'Données projet'!$B$244,FZ16+FY17-GH16)))</f>
        <v>56.232105263157912</v>
      </c>
      <c r="GA17" s="17">
        <f>FZ17*VLOOKUP('Données projet'!$B$17,Paramètres!$A$1:$I$89,3,0)*VLOOKUP('Données projet'!$B$17,Paramètres!$A$1:$I$89,5,0)</f>
        <v>48.247146315789493</v>
      </c>
      <c r="GB17" s="13">
        <f t="shared" si="49"/>
        <v>14.160141660660713</v>
      </c>
      <c r="GC17" s="20">
        <f t="shared" si="25"/>
        <v>108.69269322565077</v>
      </c>
      <c r="GD17" s="59">
        <f t="shared" si="26"/>
        <v>402.02602655898409</v>
      </c>
      <c r="GE17" s="59">
        <f ca="1">AVERAGE(OFFSET($GD$3,0,0,'Données projet'!$E$17+1,1))-AVERAGE(OFFSET($H$3,0,0,'Données projet'!$E$17+1,1))</f>
        <v>322.39807389980882</v>
      </c>
      <c r="GF17" s="59">
        <f t="shared" si="50"/>
        <v>202.59410055732792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5.4989999999999997</v>
      </c>
      <c r="D18" s="11">
        <f t="shared" si="32"/>
        <v>2.0781015179178537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58.48990645410273</v>
      </c>
      <c r="H18" s="67">
        <f t="shared" si="1"/>
        <v>306.53011847704022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6.4429411764705877</v>
      </c>
      <c r="N18" s="13">
        <f>IF('Données projet'!$A$36&gt;35,N17+M18-V17,IF(A18&lt;'Données projet'!$A$36,$K$205^A18,IF(A18='Données projet'!$A$36,'Données projet'!$B$36,N17+M18-V17)))</f>
        <v>96.644117647058806</v>
      </c>
      <c r="O18" s="13">
        <f>N18*VLOOKUP('Données projet'!$B$9,Paramètres!$A$1:$I$89,3,0)*VLOOKUP('Données projet'!$B$9,Paramètres!$A$1:$I$89,5,0)</f>
        <v>45.229447058823517</v>
      </c>
      <c r="P18" s="13">
        <f t="shared" si="33"/>
        <v>13.374646324561946</v>
      </c>
      <c r="Q18" s="20">
        <f t="shared" si="2"/>
        <v>102.06879597606302</v>
      </c>
      <c r="R18" s="59">
        <f t="shared" si="0"/>
        <v>395.40212930939634</v>
      </c>
      <c r="S18" s="59">
        <f ca="1">AVERAGE(OFFSET($R$3,0,0,'Données projet'!$E$9+1,1))-AVERAGE(OFFSET($H$3,0,0,'Données projet'!$E$9+1,1))</f>
        <v>215.77907571824977</v>
      </c>
      <c r="T18" s="59">
        <f t="shared" si="34"/>
        <v>174.69390149594869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5.699583333333333</v>
      </c>
      <c r="AI18" s="13">
        <f>IF('Données projet'!$A$62&gt;35,AI17+AH18-AQ17,IF(A18&lt;'Données projet'!$A$62,$AF$205^A18,IF(A18='Données projet'!$A$62,'Données projet'!$B$62,AI17+AH18-AQ17)))</f>
        <v>21.628876880018709</v>
      </c>
      <c r="AJ18" s="13">
        <f>AI18*VLOOKUP('Données projet'!$B$10,Paramètres!$A$1:$I$89,3,0)*VLOOKUP('Données projet'!$B$10,Paramètres!$A$1:$I$89,5,0)</f>
        <v>12.934068374251188</v>
      </c>
      <c r="AK18" s="13">
        <f t="shared" si="35"/>
        <v>4.4246736658942654</v>
      </c>
      <c r="AL18" s="20">
        <f t="shared" si="4"/>
        <v>30.233142386586664</v>
      </c>
      <c r="AM18" s="59">
        <f t="shared" si="5"/>
        <v>323.56647571991999</v>
      </c>
      <c r="AN18" s="59">
        <f ca="1">AVERAGE(OFFSET($AM$3,0,0,'Données projet'!$E$10+1,1))-AVERAGE(OFFSET($H$3,0,0,'Données projet'!$E$10+1,1))</f>
        <v>171.701352621833</v>
      </c>
      <c r="AO18" s="59">
        <f t="shared" si="36"/>
        <v>195.58435749168586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8.0399999999999991</v>
      </c>
      <c r="BD18" s="12">
        <f>IF('Données projet'!$A$88&gt;35,BD17+BC18-BL17,IF(A18&lt;'Données projet'!$A$88,$BA$205^A18,IF(A18='Données projet'!$A$88,'Données projet'!$B$88,BD17+BC18-BL17)))</f>
        <v>24.094484245856137</v>
      </c>
      <c r="BE18" s="13">
        <f>BD18*VLOOKUP('Données projet'!$B$11,Paramètres!$A$1:$I$89,3,0)*VLOOKUP('Données projet'!$B$11,Paramètres!$A$1:$I$89,5,0)</f>
        <v>12.529131807845193</v>
      </c>
      <c r="BF18" s="13">
        <f t="shared" si="37"/>
        <v>4.3020459138155243</v>
      </c>
      <c r="BG18" s="20">
        <f t="shared" si="7"/>
        <v>29.314301198559079</v>
      </c>
      <c r="BH18" s="59">
        <f t="shared" si="8"/>
        <v>322.64763453189238</v>
      </c>
      <c r="BI18" s="59">
        <f ca="1">AVERAGE(OFFSET($BH$3,0,0,'Données projet'!$E$11+1,1))-AVERAGE(OFFSET($H$3,0,0,'Données projet'!$E$11+1,1))</f>
        <v>348.29124901999882</v>
      </c>
      <c r="BJ18" s="59">
        <f t="shared" si="38"/>
        <v>284.30034973939053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4.5468888888888888</v>
      </c>
      <c r="BY18" s="12">
        <f>IF('Données projet'!$A$114&gt;35,BY17+BX18-CG17,IF(A18&lt;'Données projet'!$A$114,$BV$205^A18,IF(A18='Données projet'!$A$114,'Données projet'!$B$114,BY17+BX18-CG17)))</f>
        <v>68.203333333333319</v>
      </c>
      <c r="BZ18" s="13">
        <f>BY18*VLOOKUP('Données projet'!$B$12,Paramètres!$A$1:$I$89,3,0)*VLOOKUP('Données projet'!$B$12,Paramètres!$A$1:$I$89,5,0)</f>
        <v>40.785593333333324</v>
      </c>
      <c r="CA18" s="13">
        <f t="shared" si="39"/>
        <v>12.206632222617792</v>
      </c>
      <c r="CB18" s="20">
        <f t="shared" si="10"/>
        <v>92.294792843281513</v>
      </c>
      <c r="CC18" s="59">
        <f t="shared" si="11"/>
        <v>385.62812617661484</v>
      </c>
      <c r="CD18" s="59">
        <f ca="1">AVERAGE(OFFSET($CC$3,0,0,'Données projet'!$E$12+1,1))-AVERAGE(OFFSET($H$3,0,0,'Données projet'!$E$12+1,1))</f>
        <v>185.82627135915504</v>
      </c>
      <c r="CE18" s="59">
        <f t="shared" si="40"/>
        <v>155.46126452522037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2.7384615384615376</v>
      </c>
      <c r="CT18" s="12">
        <f>IF('Données projet'!$A$140&gt;35,CT17+CS18-DB17,IF(A18&lt;'Données projet'!$A$140,$CQ$205^A18,IF(A18='Données projet'!$A$140,'Données projet'!$B$140,CT17+CS18-DB17)))</f>
        <v>27.307692307692299</v>
      </c>
      <c r="CU18" s="17">
        <f>CT18*VLOOKUP('Données projet'!$B$13,Paramètres!$A$1:$I$89,3,0)*VLOOKUP('Données projet'!$B$13,Paramètres!$A$1:$I$89,5,0)</f>
        <v>31.458461538461528</v>
      </c>
      <c r="CV18" s="13">
        <f t="shared" si="41"/>
        <v>9.7040472402617528</v>
      </c>
      <c r="CW18" s="20">
        <f t="shared" si="13"/>
        <v>71.691369456276377</v>
      </c>
      <c r="CX18" s="59">
        <f t="shared" si="14"/>
        <v>365.02470278960971</v>
      </c>
      <c r="CY18" s="59">
        <f ca="1">AVERAGE(OFFSET($CX$3,0,0,'Données projet'!$E$13+1,1))-AVERAGE(OFFSET($H$3,0,0,'Données projet'!$E$13+1,1))</f>
        <v>150.78964413039063</v>
      </c>
      <c r="CZ18" s="59">
        <f t="shared" si="42"/>
        <v>131.90332435966184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0.25303607257889821</v>
      </c>
      <c r="DG18" s="21">
        <f>EXP(-LN(2)/25)*DG17+(1-EXP(-LN(2)/25))/(LN(2)/25)*Calculateur!DB18*Calculateur!DD18*VLOOKUP('Données projet'!$B$13,Paramètres!$A$1:$I$89,3,0)*0.475*44/12</f>
        <v>0.35853295570368388</v>
      </c>
      <c r="DH18" s="21">
        <f>EXP(-LN(2)/2)*DH17+(1-EXP(-LN(2)/2))/(LN(2)/2)*DB18*DE18*VLOOKUP('Données projet'!$B$13,Paramètres!$A$1:$I$89,3,0)*0.475*44/12</f>
        <v>0.14238032865009767</v>
      </c>
      <c r="DI18" s="22">
        <f t="shared" si="15"/>
        <v>0.75394935693267973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2.2435897435897436</v>
      </c>
      <c r="DO18" s="12">
        <f>IF('Données projet'!$A$166&gt;35,DO17+DN18-DW17,IF(A18&lt;'Données projet'!$A$166,$DL$205^A18,IF(A18='Données projet'!$A$166,'Données projet'!$B$166,DO17+DN18-DW17)))</f>
        <v>8.2041265414236779</v>
      </c>
      <c r="DP18" s="17">
        <f>DO18*VLOOKUP('Données projet'!$B$14,Paramètres!$A$1:$I$89,3,0)*VLOOKUP('Données projet'!$B$14,Paramètres!$A$1:$I$89,5,0)</f>
        <v>8.5749530610960285</v>
      </c>
      <c r="DQ18" s="13">
        <f t="shared" si="43"/>
        <v>3.0771994094393391</v>
      </c>
      <c r="DR18" s="20">
        <f t="shared" si="16"/>
        <v>20.294165552849098</v>
      </c>
      <c r="DS18" s="59">
        <f t="shared" si="17"/>
        <v>313.62749888618242</v>
      </c>
      <c r="DT18" s="59">
        <f ca="1">AVERAGE(OFFSET($DS$3,0,0,'Données projet'!$E$14+1,1))-AVERAGE(OFFSET($H$3,0,0,'Données projet'!$E$14+1,1))</f>
        <v>110.10595934547638</v>
      </c>
      <c r="DU18" s="59">
        <f t="shared" si="44"/>
        <v>131.10971921141493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3.3603333333333336</v>
      </c>
      <c r="EJ18" s="12">
        <f>IF('Données projet'!$A$192&gt;35,EJ17+EI18-ER17,IF(A18&lt;'Données projet'!$A$192,$EG$205^A18,IF(A18='Données projet'!$A$192,'Données projet'!$B$192,EJ17+EI18-ER17)))</f>
        <v>50.405000000000022</v>
      </c>
      <c r="EK18" s="17">
        <f>EJ18*VLOOKUP('Données projet'!$B$15,Paramètres!$A$1:$I$89,3,0)*VLOOKUP('Données projet'!$B$15,Paramètres!$A$1:$I$89,5,0)</f>
        <v>51.11067000000002</v>
      </c>
      <c r="EL18" s="13">
        <f t="shared" si="45"/>
        <v>14.900227237706996</v>
      </c>
      <c r="EM18" s="20">
        <f t="shared" si="19"/>
        <v>114.96897935567303</v>
      </c>
      <c r="EN18" s="59">
        <f t="shared" si="20"/>
        <v>408.30231268900633</v>
      </c>
      <c r="EO18" s="59">
        <f ca="1">AVERAGE(OFFSET($EN$3,0,0,'Données projet'!$E$15+1,1))-AVERAGE(OFFSET($H$3,0,0,'Données projet'!$E$15+1,1))</f>
        <v>420.38735944595965</v>
      </c>
      <c r="EP18" s="59">
        <f t="shared" si="46"/>
        <v>200.0823542414671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4.016578947368421</v>
      </c>
      <c r="FE18" s="12">
        <f>IF('Données projet'!$A$218&gt;35,FE17+FD18-FM17,IF(A18&lt;'Données projet'!$A$218,$FB$205^A18,IF(A18='Données projet'!$A$218,'Données projet'!$B$218,FE17+FD18-FM17)))</f>
        <v>60.248684210526335</v>
      </c>
      <c r="FF18" s="17">
        <f>FE18*VLOOKUP('Données projet'!$B$16,Paramètres!$A$1:$I$89,3,0)*VLOOKUP('Données projet'!$B$16,Paramètres!$A$1:$I$89,5,0)</f>
        <v>64.851683684210556</v>
      </c>
      <c r="FG18" s="13">
        <f t="shared" si="47"/>
        <v>18.389320688150931</v>
      </c>
      <c r="FH18" s="20">
        <f t="shared" si="22"/>
        <v>144.97808261519626</v>
      </c>
      <c r="FI18" s="59">
        <f t="shared" si="23"/>
        <v>438.31141594852954</v>
      </c>
      <c r="FJ18" s="59">
        <f ca="1">AVERAGE(OFFSET($FI$3,0,0,'Données projet'!$E$16+1,1))-AVERAGE(OFFSET($H$3,0,0,'Données projet'!$E$16+1,1))</f>
        <v>415.8741608506952</v>
      </c>
      <c r="FK18" s="59">
        <f t="shared" si="48"/>
        <v>259.15848913719356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4.016578947368421</v>
      </c>
      <c r="FZ18" s="12">
        <f>IF('Données projet'!$A$244&gt;35,FZ17+FY18-GH17,IF(A18&lt;'Données projet'!$A$244,$FW$205^A18,IF(A18='Données projet'!$A$244,'Données projet'!$B$244,FZ17+FY18-GH17)))</f>
        <v>60.248684210526335</v>
      </c>
      <c r="GA18" s="17">
        <f>FZ18*VLOOKUP('Données projet'!$B$17,Paramètres!$A$1:$I$89,3,0)*VLOOKUP('Données projet'!$B$17,Paramètres!$A$1:$I$89,5,0)</f>
        <v>51.693371052631605</v>
      </c>
      <c r="GB18" s="13">
        <f t="shared" si="49"/>
        <v>15.05022880012368</v>
      </c>
      <c r="GC18" s="20">
        <f t="shared" si="25"/>
        <v>116.24510307688212</v>
      </c>
      <c r="GD18" s="59">
        <f t="shared" si="26"/>
        <v>409.57843641021543</v>
      </c>
      <c r="GE18" s="59">
        <f ca="1">AVERAGE(OFFSET($GD$3,0,0,'Données projet'!$E$17+1,1))-AVERAGE(OFFSET($H$3,0,0,'Données projet'!$E$17+1,1))</f>
        <v>322.39807389980882</v>
      </c>
      <c r="GF18" s="59">
        <f t="shared" si="50"/>
        <v>202.59410055732792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9" s="11">
        <f t="shared" si="32"/>
        <v>2.2000519691514757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62.261173095204363</v>
      </c>
      <c r="H19" s="67">
        <f t="shared" si="1"/>
        <v>307.38101051293881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6.4429411764705877</v>
      </c>
      <c r="N19" s="13">
        <f>IF('Données projet'!$A$36&gt;35,N18+M19-V18,IF(A19&lt;'Données projet'!$A$36,$K$205^A19,IF(A19='Données projet'!$A$36,'Données projet'!$B$36,N18+M19-V18)))</f>
        <v>103.08705882352939</v>
      </c>
      <c r="O19" s="13">
        <f>N19*VLOOKUP('Données projet'!$B$9,Paramètres!$A$1:$I$89,3,0)*VLOOKUP('Données projet'!$B$9,Paramètres!$A$1:$I$89,5,0)</f>
        <v>48.244743529411757</v>
      </c>
      <c r="P19" s="13">
        <f t="shared" si="33"/>
        <v>14.159518545821207</v>
      </c>
      <c r="Q19" s="20">
        <f t="shared" si="2"/>
        <v>108.68742311436408</v>
      </c>
      <c r="R19" s="59">
        <f t="shared" si="0"/>
        <v>402.02075644769741</v>
      </c>
      <c r="S19" s="59">
        <f ca="1">AVERAGE(OFFSET($R$3,0,0,'Données projet'!$E$9+1,1))-AVERAGE(OFFSET($H$3,0,0,'Données projet'!$E$9+1,1))</f>
        <v>215.77907571824977</v>
      </c>
      <c r="T19" s="59">
        <f t="shared" si="34"/>
        <v>174.69390149594869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5.699583333333333</v>
      </c>
      <c r="AI19" s="13">
        <f>IF('Données projet'!$A$62&gt;35,AI18+AH19-AQ18,IF(A19&lt;'Données projet'!$A$62,$AF$205^A19,IF(A19='Données projet'!$A$62,'Données projet'!$B$62,AI18+AH19-AQ18)))</f>
        <v>26.548270440116152</v>
      </c>
      <c r="AJ19" s="13">
        <f>AI19*VLOOKUP('Données projet'!$B$10,Paramètres!$A$1:$I$89,3,0)*VLOOKUP('Données projet'!$B$10,Paramètres!$A$1:$I$89,5,0)</f>
        <v>15.87586572318946</v>
      </c>
      <c r="AK19" s="13">
        <f t="shared" si="35"/>
        <v>5.3030246585516547</v>
      </c>
      <c r="AL19" s="20">
        <f t="shared" si="4"/>
        <v>36.886567414865773</v>
      </c>
      <c r="AM19" s="59">
        <f t="shared" si="5"/>
        <v>330.21990074819911</v>
      </c>
      <c r="AN19" s="59">
        <f ca="1">AVERAGE(OFFSET($AM$3,0,0,'Données projet'!$E$10+1,1))-AVERAGE(OFFSET($H$3,0,0,'Données projet'!$E$10+1,1))</f>
        <v>171.701352621833</v>
      </c>
      <c r="AO19" s="59">
        <f t="shared" si="36"/>
        <v>195.58435749168586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8.0399999999999991</v>
      </c>
      <c r="BD19" s="12">
        <f>IF('Données projet'!$A$88&gt;35,BD18+BC19-BL18,IF(A19&lt;'Données projet'!$A$88,$BA$205^A19,IF(A19='Données projet'!$A$88,'Données projet'!$B$88,BD18+BC19-BL18)))</f>
        <v>29.788283383808658</v>
      </c>
      <c r="BE19" s="13">
        <f>BD19*VLOOKUP('Données projet'!$B$11,Paramètres!$A$1:$I$89,3,0)*VLOOKUP('Données projet'!$B$11,Paramètres!$A$1:$I$89,5,0)</f>
        <v>15.489907359580505</v>
      </c>
      <c r="BF19" s="13">
        <f t="shared" si="37"/>
        <v>5.1889466144982013</v>
      </c>
      <c r="BG19" s="20">
        <f t="shared" si="7"/>
        <v>36.015670671520411</v>
      </c>
      <c r="BH19" s="59">
        <f t="shared" si="8"/>
        <v>329.34900400485373</v>
      </c>
      <c r="BI19" s="59">
        <f ca="1">AVERAGE(OFFSET($BH$3,0,0,'Données projet'!$E$11+1,1))-AVERAGE(OFFSET($H$3,0,0,'Données projet'!$E$11+1,1))</f>
        <v>348.29124901999882</v>
      </c>
      <c r="BJ19" s="59">
        <f t="shared" si="38"/>
        <v>284.30034973939053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4.5468888888888888</v>
      </c>
      <c r="BY19" s="12">
        <f>IF('Données projet'!$A$114&gt;35,BY18+BX19-CG18,IF(A19&lt;'Données projet'!$A$114,$BV$205^A19,IF(A19='Données projet'!$A$114,'Données projet'!$B$114,BY18+BX19-CG18)))</f>
        <v>72.750222222222206</v>
      </c>
      <c r="BZ19" s="13">
        <f>BY19*VLOOKUP('Données projet'!$B$12,Paramètres!$A$1:$I$89,3,0)*VLOOKUP('Données projet'!$B$12,Paramètres!$A$1:$I$89,5,0)</f>
        <v>43.504632888888878</v>
      </c>
      <c r="CA19" s="13">
        <f t="shared" si="39"/>
        <v>12.92296118670161</v>
      </c>
      <c r="CB19" s="20">
        <f t="shared" si="10"/>
        <v>98.278059681653431</v>
      </c>
      <c r="CC19" s="59">
        <f t="shared" si="11"/>
        <v>391.61139301498673</v>
      </c>
      <c r="CD19" s="59">
        <f ca="1">AVERAGE(OFFSET($CC$3,0,0,'Données projet'!$E$12+1,1))-AVERAGE(OFFSET($H$3,0,0,'Données projet'!$E$12+1,1))</f>
        <v>185.82627135915504</v>
      </c>
      <c r="CE19" s="59">
        <f t="shared" si="40"/>
        <v>155.46126452522037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2.7384615384615376</v>
      </c>
      <c r="CT19" s="12">
        <f>IF('Données projet'!$A$140&gt;35,CT18+CS19-DB18,IF(A19&lt;'Données projet'!$A$140,$CQ$205^A19,IF(A19='Données projet'!$A$140,'Données projet'!$B$140,CT18+CS19-DB18)))</f>
        <v>30.046153846153835</v>
      </c>
      <c r="CU19" s="17">
        <f>CT19*VLOOKUP('Données projet'!$B$13,Paramètres!$A$1:$I$89,3,0)*VLOOKUP('Données projet'!$B$13,Paramètres!$A$1:$I$89,5,0)</f>
        <v>34.613169230769216</v>
      </c>
      <c r="CV19" s="13">
        <f t="shared" si="41"/>
        <v>10.559071620287536</v>
      </c>
      <c r="CW19" s="20">
        <f t="shared" si="13"/>
        <v>78.67498614892385</v>
      </c>
      <c r="CX19" s="59">
        <f t="shared" si="14"/>
        <v>372.00831948225715</v>
      </c>
      <c r="CY19" s="59">
        <f ca="1">AVERAGE(OFFSET($CX$3,0,0,'Données projet'!$E$13+1,1))-AVERAGE(OFFSET($H$3,0,0,'Données projet'!$E$13+1,1))</f>
        <v>150.78964413039063</v>
      </c>
      <c r="CZ19" s="59">
        <f t="shared" si="42"/>
        <v>131.90332435966184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0.2480741895323908</v>
      </c>
      <c r="DG19" s="21">
        <f>EXP(-LN(2)/25)*DG18+(1-EXP(-LN(2)/25))/(LN(2)/25)*Calculateur!DB19*Calculateur!DD19*VLOOKUP('Données projet'!$B$13,Paramètres!$A$1:$I$89,3,0)*0.475*44/12</f>
        <v>0.34872885317553792</v>
      </c>
      <c r="DH19" s="21">
        <f>EXP(-LN(2)/2)*DH18+(1-EXP(-LN(2)/2))/(LN(2)/2)*DB19*DE19*VLOOKUP('Données projet'!$B$13,Paramètres!$A$1:$I$89,3,0)*0.475*44/12</f>
        <v>0.10067809589605334</v>
      </c>
      <c r="DI19" s="22">
        <f t="shared" si="15"/>
        <v>0.69748113860398209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2.2435897435897436</v>
      </c>
      <c r="DO19" s="12">
        <f>IF('Données projet'!$A$166&gt;35,DO18+DN19-DW18,IF(A19&lt;'Données projet'!$A$166,$DL$205^A19,IF(A19='Données projet'!$A$166,'Données projet'!$B$166,DO18+DN19-DW18)))</f>
        <v>9.4399097092279884</v>
      </c>
      <c r="DP19" s="17">
        <f>DO19*VLOOKUP('Données projet'!$B$14,Paramètres!$A$1:$I$89,3,0)*VLOOKUP('Données projet'!$B$14,Paramètres!$A$1:$I$89,5,0)</f>
        <v>9.866593628085095</v>
      </c>
      <c r="DQ19" s="13">
        <f t="shared" si="43"/>
        <v>3.4833590290587075</v>
      </c>
      <c r="DR19" s="20">
        <f t="shared" si="16"/>
        <v>23.251167544525455</v>
      </c>
      <c r="DS19" s="59">
        <f t="shared" si="17"/>
        <v>316.58450087785877</v>
      </c>
      <c r="DT19" s="59">
        <f ca="1">AVERAGE(OFFSET($DS$3,0,0,'Données projet'!$E$14+1,1))-AVERAGE(OFFSET($H$3,0,0,'Données projet'!$E$14+1,1))</f>
        <v>110.10595934547638</v>
      </c>
      <c r="DU19" s="59">
        <f t="shared" si="44"/>
        <v>131.10971921141493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3.3603333333333336</v>
      </c>
      <c r="EJ19" s="12">
        <f>IF('Données projet'!$A$192&gt;35,EJ18+EI19-ER18,IF(A19&lt;'Données projet'!$A$192,$EG$205^A19,IF(A19='Données projet'!$A$192,'Données projet'!$B$192,EJ18+EI19-ER18)))</f>
        <v>53.765333333333359</v>
      </c>
      <c r="EK19" s="17">
        <f>EJ19*VLOOKUP('Données projet'!$B$15,Paramètres!$A$1:$I$89,3,0)*VLOOKUP('Données projet'!$B$15,Paramètres!$A$1:$I$89,5,0)</f>
        <v>54.518048000000029</v>
      </c>
      <c r="EL19" s="13">
        <f t="shared" si="45"/>
        <v>15.774626019217196</v>
      </c>
      <c r="EM19" s="20">
        <f t="shared" si="19"/>
        <v>122.42640725013666</v>
      </c>
      <c r="EN19" s="59">
        <f t="shared" si="20"/>
        <v>415.75974058346998</v>
      </c>
      <c r="EO19" s="59">
        <f ca="1">AVERAGE(OFFSET($EN$3,0,0,'Données projet'!$E$15+1,1))-AVERAGE(OFFSET($H$3,0,0,'Données projet'!$E$15+1,1))</f>
        <v>420.38735944595965</v>
      </c>
      <c r="EP19" s="59">
        <f t="shared" si="46"/>
        <v>200.0823542414671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4.016578947368421</v>
      </c>
      <c r="FE19" s="12">
        <f>IF('Données projet'!$A$218&gt;35,FE18+FD19-FM18,IF(A19&lt;'Données projet'!$A$218,$FB$205^A19,IF(A19='Données projet'!$A$218,'Données projet'!$B$218,FE18+FD19-FM18)))</f>
        <v>64.265263157894751</v>
      </c>
      <c r="FF19" s="17">
        <f>FE19*VLOOKUP('Données projet'!$B$16,Paramètres!$A$1:$I$89,3,0)*VLOOKUP('Données projet'!$B$16,Paramètres!$A$1:$I$89,5,0)</f>
        <v>69.175129263157913</v>
      </c>
      <c r="FG19" s="13">
        <f t="shared" si="47"/>
        <v>19.468471988731622</v>
      </c>
      <c r="FH19" s="20">
        <f t="shared" si="22"/>
        <v>154.3876055137076</v>
      </c>
      <c r="FI19" s="59">
        <f t="shared" si="23"/>
        <v>447.72093884704088</v>
      </c>
      <c r="FJ19" s="59">
        <f ca="1">AVERAGE(OFFSET($FI$3,0,0,'Données projet'!$E$16+1,1))-AVERAGE(OFFSET($H$3,0,0,'Données projet'!$E$16+1,1))</f>
        <v>415.8741608506952</v>
      </c>
      <c r="FK19" s="59">
        <f t="shared" si="48"/>
        <v>259.15848913719356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4.016578947368421</v>
      </c>
      <c r="FZ19" s="12">
        <f>IF('Données projet'!$A$244&gt;35,FZ18+FY19-GH18,IF(A19&lt;'Données projet'!$A$244,$FW$205^A19,IF(A19='Données projet'!$A$244,'Données projet'!$B$244,FZ18+FY19-GH18)))</f>
        <v>64.265263157894751</v>
      </c>
      <c r="GA19" s="17">
        <f>FZ19*VLOOKUP('Données projet'!$B$17,Paramètres!$A$1:$I$89,3,0)*VLOOKUP('Données projet'!$B$17,Paramètres!$A$1:$I$89,5,0)</f>
        <v>55.139595789473709</v>
      </c>
      <c r="GB19" s="13">
        <f t="shared" si="49"/>
        <v>15.933430211372958</v>
      </c>
      <c r="GC19" s="20">
        <f t="shared" si="25"/>
        <v>123.78552028480794</v>
      </c>
      <c r="GD19" s="59">
        <f t="shared" si="26"/>
        <v>417.11885361814126</v>
      </c>
      <c r="GE19" s="59">
        <f ca="1">AVERAGE(OFFSET($GD$3,0,0,'Données projet'!$E$17+1,1))-AVERAGE(OFFSET($H$3,0,0,'Données projet'!$E$17+1,1))</f>
        <v>322.39807389980882</v>
      </c>
      <c r="GF19" s="59">
        <f t="shared" si="50"/>
        <v>202.59410055732792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6.2321999999999997</v>
      </c>
      <c r="D20" s="11">
        <f t="shared" si="32"/>
        <v>2.321117842416426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66.025611415144354</v>
      </c>
      <c r="H20" s="67">
        <f t="shared" si="1"/>
        <v>308.23036190887524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6.4429411764705877</v>
      </c>
      <c r="N20" s="13">
        <f>IF('Données projet'!$A$36&gt;35,N19+M20-V19,IF(A20&lt;'Données projet'!$A$36,$K$205^A20,IF(A20='Données projet'!$A$36,'Données projet'!$B$36,N19+M20-V19)))</f>
        <v>109.52999999999997</v>
      </c>
      <c r="O20" s="13">
        <f>N20*VLOOKUP('Données projet'!$B$9,Paramètres!$A$1:$I$89,3,0)*VLOOKUP('Données projet'!$B$9,Paramètres!$A$1:$I$89,5,0)</f>
        <v>51.260039999999989</v>
      </c>
      <c r="P20" s="13">
        <f t="shared" si="33"/>
        <v>14.938697629678151</v>
      </c>
      <c r="Q20" s="20">
        <f t="shared" si="2"/>
        <v>115.29613470502277</v>
      </c>
      <c r="R20" s="59">
        <f t="shared" si="0"/>
        <v>408.62946803835609</v>
      </c>
      <c r="S20" s="59">
        <f ca="1">AVERAGE(OFFSET($R$3,0,0,'Données projet'!$E$9+1,1))-AVERAGE(OFFSET($H$3,0,0,'Données projet'!$E$9+1,1))</f>
        <v>215.77907571824977</v>
      </c>
      <c r="T20" s="59">
        <f t="shared" si="34"/>
        <v>174.69390149594869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5.699583333333333</v>
      </c>
      <c r="AI20" s="13">
        <f>IF('Données projet'!$A$62&gt;35,AI19+AH20-AQ19,IF(A20&lt;'Données projet'!$A$62,$AF$205^A20,IF(A20='Données projet'!$A$62,'Données projet'!$B$62,AI19+AH20-AQ19)))</f>
        <v>32.586558574970049</v>
      </c>
      <c r="AJ20" s="13">
        <f>AI20*VLOOKUP('Données projet'!$B$10,Paramètres!$A$1:$I$89,3,0)*VLOOKUP('Données projet'!$B$10,Paramètres!$A$1:$I$89,5,0)</f>
        <v>19.486762027832093</v>
      </c>
      <c r="AK20" s="13">
        <f t="shared" si="35"/>
        <v>6.3557388979833798</v>
      </c>
      <c r="AL20" s="20">
        <f t="shared" si="4"/>
        <v>45.009022445795274</v>
      </c>
      <c r="AM20" s="59">
        <f t="shared" si="5"/>
        <v>338.34235577912858</v>
      </c>
      <c r="AN20" s="59">
        <f ca="1">AVERAGE(OFFSET($AM$3,0,0,'Données projet'!$E$10+1,1))-AVERAGE(OFFSET($H$3,0,0,'Données projet'!$E$10+1,1))</f>
        <v>171.701352621833</v>
      </c>
      <c r="AO20" s="59">
        <f t="shared" si="36"/>
        <v>195.58435749168586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8.0399999999999991</v>
      </c>
      <c r="BD20" s="12">
        <f>IF('Données projet'!$A$88&gt;35,BD19+BC20-BL19,IF(A20&lt;'Données projet'!$A$88,$BA$205^A20,IF(A20='Données projet'!$A$88,'Données projet'!$B$88,BD19+BC20-BL19)))</f>
        <v>36.827591655409655</v>
      </c>
      <c r="BE20" s="13">
        <f>BD20*VLOOKUP('Données projet'!$B$11,Paramètres!$A$1:$I$89,3,0)*VLOOKUP('Données projet'!$B$11,Paramètres!$A$1:$I$89,5,0)</f>
        <v>19.150347660813022</v>
      </c>
      <c r="BF20" s="13">
        <f t="shared" si="37"/>
        <v>6.2586888907078535</v>
      </c>
      <c r="BG20" s="20">
        <f t="shared" si="7"/>
        <v>44.254071993898854</v>
      </c>
      <c r="BH20" s="59">
        <f t="shared" si="8"/>
        <v>337.58740532723215</v>
      </c>
      <c r="BI20" s="59">
        <f ca="1">AVERAGE(OFFSET($BH$3,0,0,'Données projet'!$E$11+1,1))-AVERAGE(OFFSET($H$3,0,0,'Données projet'!$E$11+1,1))</f>
        <v>348.29124901999882</v>
      </c>
      <c r="BJ20" s="59">
        <f t="shared" si="38"/>
        <v>284.30034973939053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4.5468888888888888</v>
      </c>
      <c r="BY20" s="12">
        <f>IF('Données projet'!$A$114&gt;35,BY19+BX20-CG19,IF(A20&lt;'Données projet'!$A$114,$BV$205^A20,IF(A20='Données projet'!$A$114,'Données projet'!$B$114,BY19+BX20-CG19)))</f>
        <v>77.297111111111093</v>
      </c>
      <c r="BZ20" s="13">
        <f>BY20*VLOOKUP('Données projet'!$B$12,Paramètres!$A$1:$I$89,3,0)*VLOOKUP('Données projet'!$B$12,Paramètres!$A$1:$I$89,5,0)</f>
        <v>46.223672444444439</v>
      </c>
      <c r="CA20" s="13">
        <f t="shared" si="39"/>
        <v>13.63409419772794</v>
      </c>
      <c r="CB20" s="20">
        <f t="shared" si="10"/>
        <v>104.25227690178356</v>
      </c>
      <c r="CC20" s="59">
        <f t="shared" si="11"/>
        <v>397.58561023511686</v>
      </c>
      <c r="CD20" s="59">
        <f ca="1">AVERAGE(OFFSET($CC$3,0,0,'Données projet'!$E$12+1,1))-AVERAGE(OFFSET($H$3,0,0,'Données projet'!$E$12+1,1))</f>
        <v>185.82627135915504</v>
      </c>
      <c r="CE20" s="59">
        <f t="shared" si="40"/>
        <v>155.46126452522037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2.7384615384615376</v>
      </c>
      <c r="CT20" s="12">
        <f>IF('Données projet'!$A$140&gt;35,CT19+CS20-DB19,IF(A20&lt;'Données projet'!$A$140,$CQ$205^A20,IF(A20='Données projet'!$A$140,'Données projet'!$B$140,CT19+CS20-DB19)))</f>
        <v>32.784615384615371</v>
      </c>
      <c r="CU20" s="17">
        <f>CT20*VLOOKUP('Données projet'!$B$13,Paramètres!$A$1:$I$89,3,0)*VLOOKUP('Données projet'!$B$13,Paramètres!$A$1:$I$89,5,0)</f>
        <v>37.767876923076905</v>
      </c>
      <c r="CV20" s="13">
        <f t="shared" si="41"/>
        <v>11.405059875622987</v>
      </c>
      <c r="CW20" s="20">
        <f t="shared" si="13"/>
        <v>85.642864924402303</v>
      </c>
      <c r="CX20" s="59">
        <f t="shared" si="14"/>
        <v>378.97619825773563</v>
      </c>
      <c r="CY20" s="59">
        <f ca="1">AVERAGE(OFFSET($CX$3,0,0,'Données projet'!$E$13+1,1))-AVERAGE(OFFSET($H$3,0,0,'Données projet'!$E$13+1,1))</f>
        <v>150.78964413039063</v>
      </c>
      <c r="CZ20" s="59">
        <f t="shared" si="42"/>
        <v>131.90332435966184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0.24320960598597557</v>
      </c>
      <c r="DG20" s="21">
        <f>EXP(-LN(2)/25)*DG19+(1-EXP(-LN(2)/25))/(LN(2)/25)*Calculateur!DB20*Calculateur!DD20*VLOOKUP('Données projet'!$B$13,Paramètres!$A$1:$I$89,3,0)*0.475*44/12</f>
        <v>0.33919284434659946</v>
      </c>
      <c r="DH20" s="21">
        <f>EXP(-LN(2)/2)*DH19+(1-EXP(-LN(2)/2))/(LN(2)/2)*DB20*DE20*VLOOKUP('Données projet'!$B$13,Paramètres!$A$1:$I$89,3,0)*0.475*44/12</f>
        <v>7.1190164325048835E-2</v>
      </c>
      <c r="DI20" s="22">
        <f t="shared" si="15"/>
        <v>0.65359261465762397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2.2435897435897436</v>
      </c>
      <c r="DO20" s="12">
        <f>IF('Données projet'!$A$166&gt;35,DO19+DN20-DW19,IF(A20&lt;'Données projet'!$A$166,$DL$205^A20,IF(A20='Données projet'!$A$166,'Données projet'!$B$166,DO19+DN20-DW19)))</f>
        <v>10.861838230851216</v>
      </c>
      <c r="DP20" s="17">
        <f>DO20*VLOOKUP('Données projet'!$B$14,Paramètres!$A$1:$I$89,3,0)*VLOOKUP('Données projet'!$B$14,Paramètres!$A$1:$I$89,5,0)</f>
        <v>11.352793318885693</v>
      </c>
      <c r="DQ20" s="13">
        <f t="shared" si="43"/>
        <v>3.9431276660538499</v>
      </c>
      <c r="DR20" s="20">
        <f t="shared" si="16"/>
        <v>26.640395715436366</v>
      </c>
      <c r="DS20" s="59">
        <f t="shared" si="17"/>
        <v>319.97372904876966</v>
      </c>
      <c r="DT20" s="59">
        <f ca="1">AVERAGE(OFFSET($DS$3,0,0,'Données projet'!$E$14+1,1))-AVERAGE(OFFSET($H$3,0,0,'Données projet'!$E$14+1,1))</f>
        <v>110.10595934547638</v>
      </c>
      <c r="DU20" s="59">
        <f t="shared" si="44"/>
        <v>131.10971921141493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3.3603333333333336</v>
      </c>
      <c r="EJ20" s="12">
        <f>IF('Données projet'!$A$192&gt;35,EJ19+EI20-ER19,IF(A20&lt;'Données projet'!$A$192,$EG$205^A20,IF(A20='Données projet'!$A$192,'Données projet'!$B$192,EJ19+EI20-ER19)))</f>
        <v>57.125666666666696</v>
      </c>
      <c r="EK20" s="17">
        <f>EJ20*VLOOKUP('Données projet'!$B$15,Paramètres!$A$1:$I$89,3,0)*VLOOKUP('Données projet'!$B$15,Paramètres!$A$1:$I$89,5,0)</f>
        <v>57.925426000000037</v>
      </c>
      <c r="EL20" s="13">
        <f t="shared" si="45"/>
        <v>16.64268227480698</v>
      </c>
      <c r="EM20" s="20">
        <f t="shared" si="19"/>
        <v>129.87278857862222</v>
      </c>
      <c r="EN20" s="59">
        <f t="shared" si="20"/>
        <v>423.20612191195551</v>
      </c>
      <c r="EO20" s="59">
        <f ca="1">AVERAGE(OFFSET($EN$3,0,0,'Données projet'!$E$15+1,1))-AVERAGE(OFFSET($H$3,0,0,'Données projet'!$E$15+1,1))</f>
        <v>420.38735944595965</v>
      </c>
      <c r="EP20" s="59">
        <f t="shared" si="46"/>
        <v>200.0823542414671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4.016578947368421</v>
      </c>
      <c r="FE20" s="12">
        <f>IF('Données projet'!$A$218&gt;35,FE19+FD20-FM19,IF(A20&lt;'Données projet'!$A$218,$FB$205^A20,IF(A20='Données projet'!$A$218,'Données projet'!$B$218,FE19+FD20-FM19)))</f>
        <v>68.281842105263166</v>
      </c>
      <c r="FF20" s="17">
        <f>FE20*VLOOKUP('Données projet'!$B$16,Paramètres!$A$1:$I$89,3,0)*VLOOKUP('Données projet'!$B$16,Paramètres!$A$1:$I$89,5,0)</f>
        <v>73.49857484210527</v>
      </c>
      <c r="FG20" s="13">
        <f t="shared" si="47"/>
        <v>20.53979557358269</v>
      </c>
      <c r="FH20" s="20">
        <f t="shared" si="22"/>
        <v>163.78349514065653</v>
      </c>
      <c r="FI20" s="59">
        <f t="shared" si="23"/>
        <v>457.11682847398981</v>
      </c>
      <c r="FJ20" s="59">
        <f ca="1">AVERAGE(OFFSET($FI$3,0,0,'Données projet'!$E$16+1,1))-AVERAGE(OFFSET($H$3,0,0,'Données projet'!$E$16+1,1))</f>
        <v>415.8741608506952</v>
      </c>
      <c r="FK20" s="59">
        <f t="shared" si="48"/>
        <v>259.15848913719356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4.016578947368421</v>
      </c>
      <c r="FZ20" s="12">
        <f>IF('Données projet'!$A$244&gt;35,FZ19+FY20-GH19,IF(A20&lt;'Données projet'!$A$244,$FW$205^A20,IF(A20='Données projet'!$A$244,'Données projet'!$B$244,FZ19+FY20-GH19)))</f>
        <v>68.281842105263166</v>
      </c>
      <c r="GA20" s="17">
        <f>FZ20*VLOOKUP('Données projet'!$B$17,Paramètres!$A$1:$I$89,3,0)*VLOOKUP('Données projet'!$B$17,Paramètres!$A$1:$I$89,5,0)</f>
        <v>58.5858205263158</v>
      </c>
      <c r="GB20" s="13">
        <f t="shared" si="49"/>
        <v>16.810225246078424</v>
      </c>
      <c r="GC20" s="20">
        <f t="shared" si="25"/>
        <v>131.31477972025326</v>
      </c>
      <c r="GD20" s="59">
        <f t="shared" si="26"/>
        <v>424.6481130535866</v>
      </c>
      <c r="GE20" s="59">
        <f ca="1">AVERAGE(OFFSET($GD$3,0,0,'Données projet'!$E$17+1,1))-AVERAGE(OFFSET($H$3,0,0,'Données projet'!$E$17+1,1))</f>
        <v>322.39807389980882</v>
      </c>
      <c r="GF20" s="59">
        <f t="shared" si="50"/>
        <v>202.59410055732792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21" s="11">
        <f t="shared" si="32"/>
        <v>2.4413570988248194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69.783668833033701</v>
      </c>
      <c r="H21" s="67">
        <f t="shared" si="1"/>
        <v>309.07827361378656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6.4429411764705877</v>
      </c>
      <c r="N21" s="13">
        <f>IF('Données projet'!$A$36&gt;35,N20+M21-V20,IF(A21&lt;'Données projet'!$A$36,$K$205^A21,IF(A21='Données projet'!$A$36,'Données projet'!$B$36,N20+M21-V20)))</f>
        <v>115.97294117647056</v>
      </c>
      <c r="O21" s="13">
        <f>N21*VLOOKUP('Données projet'!$B$9,Paramètres!$A$1:$I$89,3,0)*VLOOKUP('Données projet'!$B$9,Paramètres!$A$1:$I$89,5,0)</f>
        <v>54.275336470588222</v>
      </c>
      <c r="P21" s="13">
        <f t="shared" si="33"/>
        <v>15.712556613430714</v>
      </c>
      <c r="Q21" s="20">
        <f t="shared" si="2"/>
        <v>121.89558045466629</v>
      </c>
      <c r="R21" s="59">
        <f t="shared" si="0"/>
        <v>415.2289137879996</v>
      </c>
      <c r="S21" s="59">
        <f ca="1">AVERAGE(OFFSET($R$3,0,0,'Données projet'!$E$9+1,1))-AVERAGE(OFFSET($H$3,0,0,'Données projet'!$E$9+1,1))</f>
        <v>215.77907571824977</v>
      </c>
      <c r="T21" s="59">
        <f t="shared" si="34"/>
        <v>174.69390149594869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5.699583333333333</v>
      </c>
      <c r="AI21" s="13">
        <f>IF('Données projet'!$A$62&gt;35,AI20+AH21-AQ20,IF(A21&lt;'Données projet'!$A$62,$AF$205^A21,IF(A21='Données projet'!$A$62,'Données projet'!$B$62,AI20+AH21-AQ20)))</f>
        <v>39.998228967691205</v>
      </c>
      <c r="AJ21" s="13">
        <f>AI21*VLOOKUP('Données projet'!$B$10,Paramètres!$A$1:$I$89,3,0)*VLOOKUP('Données projet'!$B$10,Paramètres!$A$1:$I$89,5,0)</f>
        <v>23.918940922679344</v>
      </c>
      <c r="AK21" s="13">
        <f t="shared" si="35"/>
        <v>7.6174295878857254</v>
      </c>
      <c r="AL21" s="20">
        <f t="shared" si="4"/>
        <v>54.925845305900829</v>
      </c>
      <c r="AM21" s="59">
        <f t="shared" si="5"/>
        <v>348.25917863923416</v>
      </c>
      <c r="AN21" s="59">
        <f ca="1">AVERAGE(OFFSET($AM$3,0,0,'Données projet'!$E$10+1,1))-AVERAGE(OFFSET($H$3,0,0,'Données projet'!$E$10+1,1))</f>
        <v>171.701352621833</v>
      </c>
      <c r="AO21" s="59">
        <f t="shared" si="36"/>
        <v>195.58435749168586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8.0399999999999991</v>
      </c>
      <c r="BD21" s="12">
        <f>IF('Données projet'!$A$88&gt;35,BD20+BC21-BL20,IF(A21&lt;'Données projet'!$A$88,$BA$205^A21,IF(A21='Données projet'!$A$88,'Données projet'!$B$88,BD20+BC21-BL20)))</f>
        <v>45.530368086762479</v>
      </c>
      <c r="BE21" s="13">
        <f>BD21*VLOOKUP('Données projet'!$B$11,Paramètres!$A$1:$I$89,3,0)*VLOOKUP('Données projet'!$B$11,Paramètres!$A$1:$I$89,5,0)</f>
        <v>23.675791405116492</v>
      </c>
      <c r="BF21" s="13">
        <f t="shared" si="37"/>
        <v>7.5489669755367013</v>
      </c>
      <c r="BG21" s="20">
        <f t="shared" si="7"/>
        <v>54.383120846304308</v>
      </c>
      <c r="BH21" s="59">
        <f t="shared" si="8"/>
        <v>347.71645417963759</v>
      </c>
      <c r="BI21" s="59">
        <f ca="1">AVERAGE(OFFSET($BH$3,0,0,'Données projet'!$E$11+1,1))-AVERAGE(OFFSET($H$3,0,0,'Données projet'!$E$11+1,1))</f>
        <v>348.29124901999882</v>
      </c>
      <c r="BJ21" s="59">
        <f t="shared" si="38"/>
        <v>284.30034973939053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4.5468888888888888</v>
      </c>
      <c r="BY21" s="12">
        <f>IF('Données projet'!$A$114&gt;35,BY20+BX21-CG20,IF(A21&lt;'Données projet'!$A$114,$BV$205^A21,IF(A21='Données projet'!$A$114,'Données projet'!$B$114,BY20+BX21-CG20)))</f>
        <v>81.84399999999998</v>
      </c>
      <c r="BZ21" s="13">
        <f>BY21*VLOOKUP('Données projet'!$B$12,Paramètres!$A$1:$I$89,3,0)*VLOOKUP('Données projet'!$B$12,Paramètres!$A$1:$I$89,5,0)</f>
        <v>48.942711999999993</v>
      </c>
      <c r="CA21" s="13">
        <f t="shared" si="39"/>
        <v>14.340371715473498</v>
      </c>
      <c r="CB21" s="20">
        <f t="shared" si="10"/>
        <v>110.21803747111635</v>
      </c>
      <c r="CC21" s="59">
        <f t="shared" si="11"/>
        <v>403.55137080444968</v>
      </c>
      <c r="CD21" s="59">
        <f ca="1">AVERAGE(OFFSET($CC$3,0,0,'Données projet'!$E$12+1,1))-AVERAGE(OFFSET($H$3,0,0,'Données projet'!$E$12+1,1))</f>
        <v>185.82627135915504</v>
      </c>
      <c r="CE21" s="59">
        <f t="shared" si="40"/>
        <v>155.46126452522037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2.7384615384615376</v>
      </c>
      <c r="CT21" s="12">
        <f>IF('Données projet'!$A$140&gt;35,CT20+CS21-DB20,IF(A21&lt;'Données projet'!$A$140,$CQ$205^A21,IF(A21='Données projet'!$A$140,'Données projet'!$B$140,CT20+CS21-DB20)))</f>
        <v>35.523076923076907</v>
      </c>
      <c r="CU21" s="17">
        <f>CT21*VLOOKUP('Données projet'!$B$13,Paramètres!$A$1:$I$89,3,0)*VLOOKUP('Données projet'!$B$13,Paramètres!$A$1:$I$89,5,0)</f>
        <v>40.922584615384601</v>
      </c>
      <c r="CV21" s="13">
        <f t="shared" si="41"/>
        <v>12.242852595156473</v>
      </c>
      <c r="CW21" s="20">
        <f t="shared" si="13"/>
        <v>92.596469808359018</v>
      </c>
      <c r="CX21" s="59">
        <f t="shared" si="14"/>
        <v>385.92980314169233</v>
      </c>
      <c r="CY21" s="59">
        <f ca="1">AVERAGE(OFFSET($CX$3,0,0,'Données projet'!$E$13+1,1))-AVERAGE(OFFSET($H$3,0,0,'Données projet'!$E$13+1,1))</f>
        <v>150.78964413039063</v>
      </c>
      <c r="CZ21" s="59">
        <f t="shared" si="42"/>
        <v>131.90332435966184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0.23844041395580257</v>
      </c>
      <c r="DG21" s="21">
        <f>EXP(-LN(2)/25)*DG20+(1-EXP(-LN(2)/25))/(LN(2)/25)*Calculateur!DB21*Calculateur!DD21*VLOOKUP('Données projet'!$B$13,Paramètres!$A$1:$I$89,3,0)*0.475*44/12</f>
        <v>0.32991759818056526</v>
      </c>
      <c r="DH21" s="21">
        <f>EXP(-LN(2)/2)*DH20+(1-EXP(-LN(2)/2))/(LN(2)/2)*DB21*DE21*VLOOKUP('Données projet'!$B$13,Paramètres!$A$1:$I$89,3,0)*0.475*44/12</f>
        <v>5.0339047948026669E-2</v>
      </c>
      <c r="DI21" s="22">
        <f t="shared" si="15"/>
        <v>0.61869706008439451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2.2435897435897436</v>
      </c>
      <c r="DO21" s="12">
        <f>IF('Données projet'!$A$166&gt;35,DO20+DN21-DW20,IF(A21&lt;'Données projet'!$A$166,$DL$205^A21,IF(A21='Données projet'!$A$166,'Données projet'!$B$166,DO20+DN21-DW20)))</f>
        <v>12.497951080808548</v>
      </c>
      <c r="DP21" s="17">
        <f>DO21*VLOOKUP('Données projet'!$B$14,Paramètres!$A$1:$I$89,3,0)*VLOOKUP('Données projet'!$B$14,Paramètres!$A$1:$I$89,5,0)</f>
        <v>13.062858469661096</v>
      </c>
      <c r="DQ21" s="13">
        <f t="shared" si="43"/>
        <v>4.4635811758401518</v>
      </c>
      <c r="DR21" s="20">
        <f t="shared" si="16"/>
        <v>30.525215715914673</v>
      </c>
      <c r="DS21" s="59">
        <f t="shared" si="17"/>
        <v>323.85854904924798</v>
      </c>
      <c r="DT21" s="59">
        <f ca="1">AVERAGE(OFFSET($DS$3,0,0,'Données projet'!$E$14+1,1))-AVERAGE(OFFSET($H$3,0,0,'Données projet'!$E$14+1,1))</f>
        <v>110.10595934547638</v>
      </c>
      <c r="DU21" s="59">
        <f t="shared" si="44"/>
        <v>131.10971921141493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3.3603333333333336</v>
      </c>
      <c r="EJ21" s="12">
        <f>IF('Données projet'!$A$192&gt;35,EJ20+EI21-ER20,IF(A21&lt;'Données projet'!$A$192,$EG$205^A21,IF(A21='Données projet'!$A$192,'Données projet'!$B$192,EJ20+EI21-ER20)))</f>
        <v>60.486000000000033</v>
      </c>
      <c r="EK21" s="17">
        <f>EJ21*VLOOKUP('Données projet'!$B$15,Paramètres!$A$1:$I$89,3,0)*VLOOKUP('Données projet'!$B$15,Paramètres!$A$1:$I$89,5,0)</f>
        <v>61.332804000000031</v>
      </c>
      <c r="EL21" s="13">
        <f t="shared" si="45"/>
        <v>17.504811592326099</v>
      </c>
      <c r="EM21" s="20">
        <f t="shared" si="19"/>
        <v>137.30884715663467</v>
      </c>
      <c r="EN21" s="59">
        <f t="shared" si="20"/>
        <v>430.64218048996798</v>
      </c>
      <c r="EO21" s="59">
        <f ca="1">AVERAGE(OFFSET($EN$3,0,0,'Données projet'!$E$15+1,1))-AVERAGE(OFFSET($H$3,0,0,'Données projet'!$E$15+1,1))</f>
        <v>420.38735944595965</v>
      </c>
      <c r="EP21" s="59">
        <f t="shared" si="46"/>
        <v>200.0823542414671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4.016578947368421</v>
      </c>
      <c r="FE21" s="12">
        <f>IF('Données projet'!$A$218&gt;35,FE20+FD21-FM20,IF(A21&lt;'Données projet'!$A$218,$FB$205^A21,IF(A21='Données projet'!$A$218,'Données projet'!$B$218,FE20+FD21-FM20)))</f>
        <v>72.298421052631582</v>
      </c>
      <c r="FF21" s="17">
        <f>FE21*VLOOKUP('Données projet'!$B$16,Paramètres!$A$1:$I$89,3,0)*VLOOKUP('Données projet'!$B$16,Paramètres!$A$1:$I$89,5,0)</f>
        <v>77.822020421052642</v>
      </c>
      <c r="FG21" s="13">
        <f t="shared" si="47"/>
        <v>21.603804346173444</v>
      </c>
      <c r="FH21" s="20">
        <f t="shared" si="22"/>
        <v>173.16664480291877</v>
      </c>
      <c r="FI21" s="59">
        <f t="shared" si="23"/>
        <v>466.49997813625208</v>
      </c>
      <c r="FJ21" s="59">
        <f ca="1">AVERAGE(OFFSET($FI$3,0,0,'Données projet'!$E$16+1,1))-AVERAGE(OFFSET($H$3,0,0,'Données projet'!$E$16+1,1))</f>
        <v>415.8741608506952</v>
      </c>
      <c r="FK21" s="59">
        <f t="shared" si="48"/>
        <v>259.15848913719356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4.016578947368421</v>
      </c>
      <c r="FZ21" s="12">
        <f>IF('Données projet'!$A$244&gt;35,FZ20+FY21-GH20,IF(A21&lt;'Données projet'!$A$244,$FW$205^A21,IF(A21='Données projet'!$A$244,'Données projet'!$B$244,FZ20+FY21-GH20)))</f>
        <v>72.298421052631582</v>
      </c>
      <c r="GA21" s="17">
        <f>FZ21*VLOOKUP('Données projet'!$B$17,Paramètres!$A$1:$I$89,3,0)*VLOOKUP('Données projet'!$B$17,Paramètres!$A$1:$I$89,5,0)</f>
        <v>62.032045263157897</v>
      </c>
      <c r="GB21" s="13">
        <f t="shared" si="49"/>
        <v>17.681033675839938</v>
      </c>
      <c r="GC21" s="20">
        <f t="shared" si="25"/>
        <v>138.83361248542124</v>
      </c>
      <c r="GD21" s="59">
        <f t="shared" si="26"/>
        <v>432.16694581875458</v>
      </c>
      <c r="GE21" s="59">
        <f ca="1">AVERAGE(OFFSET($GD$3,0,0,'Données projet'!$E$17+1,1))-AVERAGE(OFFSET($H$3,0,0,'Données projet'!$E$17+1,1))</f>
        <v>322.39807389980882</v>
      </c>
      <c r="GF21" s="59">
        <f t="shared" si="50"/>
        <v>202.59410055732792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6.9653999999999998</v>
      </c>
      <c r="D22" s="11">
        <f t="shared" si="32"/>
        <v>2.5608208956338112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73.535740246997847</v>
      </c>
      <c r="H22" s="67">
        <f t="shared" si="1"/>
        <v>309.92483472656221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6.4429411764705877</v>
      </c>
      <c r="N22" s="13">
        <f>IF('Données projet'!$A$36&gt;35,N21+M22-V21,IF(A22&lt;'Données projet'!$A$36,$K$205^A22,IF(A22='Données projet'!$A$36,'Données projet'!$B$36,N21+M22-V21)))</f>
        <v>122.41588235294114</v>
      </c>
      <c r="O22" s="13">
        <f>N22*VLOOKUP('Données projet'!$B$9,Paramètres!$A$1:$I$89,3,0)*VLOOKUP('Données projet'!$B$9,Paramètres!$A$1:$I$89,5,0)</f>
        <v>57.290632941176455</v>
      </c>
      <c r="P22" s="13">
        <f t="shared" si="33"/>
        <v>16.481424744815605</v>
      </c>
      <c r="Q22" s="20">
        <f t="shared" si="2"/>
        <v>128.48633380310281</v>
      </c>
      <c r="R22" s="59">
        <f t="shared" si="0"/>
        <v>421.81966713643612</v>
      </c>
      <c r="S22" s="59">
        <f ca="1">AVERAGE(OFFSET($R$3,0,0,'Données projet'!$E$9+1,1))-AVERAGE(OFFSET($H$3,0,0,'Données projet'!$E$9+1,1))</f>
        <v>215.77907571824977</v>
      </c>
      <c r="T22" s="59">
        <f t="shared" si="34"/>
        <v>174.69390149594869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5.699583333333333</v>
      </c>
      <c r="AI22" s="13">
        <f>IF('Données projet'!$A$62&gt;35,AI21+AH22-AQ21,IF(A22&lt;'Données projet'!$A$62,$AF$205^A22,IF(A22='Données projet'!$A$62,'Données projet'!$B$62,AI21+AH22-AQ21)))</f>
        <v>49.095651413178494</v>
      </c>
      <c r="AJ22" s="13">
        <f>AI22*VLOOKUP('Données projet'!$B$10,Paramètres!$A$1:$I$89,3,0)*VLOOKUP('Données projet'!$B$10,Paramètres!$A$1:$I$89,5,0)</f>
        <v>29.359199545080742</v>
      </c>
      <c r="AK22" s="13">
        <f t="shared" si="35"/>
        <v>9.12958106960747</v>
      </c>
      <c r="AL22" s="20">
        <f t="shared" si="4"/>
        <v>67.034626237248631</v>
      </c>
      <c r="AM22" s="59">
        <f t="shared" si="5"/>
        <v>360.36795957058195</v>
      </c>
      <c r="AN22" s="59">
        <f ca="1">AVERAGE(OFFSET($AM$3,0,0,'Données projet'!$E$10+1,1))-AVERAGE(OFFSET($H$3,0,0,'Données projet'!$E$10+1,1))</f>
        <v>171.701352621833</v>
      </c>
      <c r="AO22" s="59">
        <f t="shared" si="36"/>
        <v>195.58435749168586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8.0399999999999991</v>
      </c>
      <c r="BD22" s="12">
        <f>IF('Données projet'!$A$88&gt;35,BD21+BC22-BL21,IF(A22&lt;'Données projet'!$A$88,$BA$205^A22,IF(A22='Données projet'!$A$88,'Données projet'!$B$88,BD21+BC22-BL21)))</f>
        <v>56.289709017982211</v>
      </c>
      <c r="BE22" s="13">
        <f>BD22*VLOOKUP('Données projet'!$B$11,Paramètres!$A$1:$I$89,3,0)*VLOOKUP('Données projet'!$B$11,Paramètres!$A$1:$I$89,5,0)</f>
        <v>29.270648689350754</v>
      </c>
      <c r="BF22" s="13">
        <f t="shared" si="37"/>
        <v>9.1052460655699026</v>
      </c>
      <c r="BG22" s="20">
        <f t="shared" si="7"/>
        <v>66.838016698153481</v>
      </c>
      <c r="BH22" s="59">
        <f t="shared" si="8"/>
        <v>360.17135003148678</v>
      </c>
      <c r="BI22" s="59">
        <f ca="1">AVERAGE(OFFSET($BH$3,0,0,'Données projet'!$E$11+1,1))-AVERAGE(OFFSET($H$3,0,0,'Données projet'!$E$11+1,1))</f>
        <v>348.29124901999882</v>
      </c>
      <c r="BJ22" s="59">
        <f t="shared" si="38"/>
        <v>284.30034973939053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4.5468888888888888</v>
      </c>
      <c r="BY22" s="12">
        <f>IF('Données projet'!$A$114&gt;35,BY21+BX22-CG21,IF(A22&lt;'Données projet'!$A$114,$BV$205^A22,IF(A22='Données projet'!$A$114,'Données projet'!$B$114,BY21+BX22-CG21)))</f>
        <v>86.390888888888867</v>
      </c>
      <c r="BZ22" s="13">
        <f>BY22*VLOOKUP('Données projet'!$B$12,Paramètres!$A$1:$I$89,3,0)*VLOOKUP('Données projet'!$B$12,Paramètres!$A$1:$I$89,5,0)</f>
        <v>51.661751555555547</v>
      </c>
      <c r="CA22" s="13">
        <f t="shared" si="39"/>
        <v>15.042094234316556</v>
      </c>
      <c r="CB22" s="20">
        <f t="shared" si="10"/>
        <v>116.17586475069392</v>
      </c>
      <c r="CC22" s="59">
        <f t="shared" si="11"/>
        <v>409.50919808402722</v>
      </c>
      <c r="CD22" s="59">
        <f ca="1">AVERAGE(OFFSET($CC$3,0,0,'Données projet'!$E$12+1,1))-AVERAGE(OFFSET($H$3,0,0,'Données projet'!$E$12+1,1))</f>
        <v>185.82627135915504</v>
      </c>
      <c r="CE22" s="59">
        <f t="shared" si="40"/>
        <v>155.46126452522037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2.7384615384615376</v>
      </c>
      <c r="CT22" s="12">
        <f>IF('Données projet'!$A$140&gt;35,CT21+CS22-DB21,IF(A22&lt;'Données projet'!$A$140,$CQ$205^A22,IF(A22='Données projet'!$A$140,'Données projet'!$B$140,CT21+CS22-DB21)))</f>
        <v>38.261538461538443</v>
      </c>
      <c r="CU22" s="17">
        <f>CT22*VLOOKUP('Données projet'!$B$13,Paramètres!$A$1:$I$89,3,0)*VLOOKUP('Données projet'!$B$13,Paramètres!$A$1:$I$89,5,0)</f>
        <v>44.077292307692282</v>
      </c>
      <c r="CV22" s="13">
        <f t="shared" si="41"/>
        <v>13.073153403537562</v>
      </c>
      <c r="CW22" s="20">
        <f t="shared" si="13"/>
        <v>99.53702628039197</v>
      </c>
      <c r="CX22" s="59">
        <f t="shared" si="14"/>
        <v>392.87035961372527</v>
      </c>
      <c r="CY22" s="59">
        <f ca="1">AVERAGE(OFFSET($CX$3,0,0,'Données projet'!$E$13+1,1))-AVERAGE(OFFSET($H$3,0,0,'Données projet'!$E$13+1,1))</f>
        <v>150.78964413039063</v>
      </c>
      <c r="CZ22" s="59">
        <f t="shared" si="42"/>
        <v>131.90332435966184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0.23376474287242135</v>
      </c>
      <c r="DG22" s="21">
        <f>EXP(-LN(2)/25)*DG21+(1-EXP(-LN(2)/25))/(LN(2)/25)*Calculateur!DB22*Calculateur!DD22*VLOOKUP('Données projet'!$B$13,Paramètres!$A$1:$I$89,3,0)*0.475*44/12</f>
        <v>0.32089598410870523</v>
      </c>
      <c r="DH22" s="21">
        <f>EXP(-LN(2)/2)*DH21+(1-EXP(-LN(2)/2))/(LN(2)/2)*DB22*DE22*VLOOKUP('Données projet'!$B$13,Paramètres!$A$1:$I$89,3,0)*0.475*44/12</f>
        <v>3.5595082162524418E-2</v>
      </c>
      <c r="DI22" s="22">
        <f t="shared" si="15"/>
        <v>0.59025580914365094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2.2435897435897436</v>
      </c>
      <c r="DO22" s="12">
        <f>IF('Données projet'!$A$166&gt;35,DO21+DN22-DW21,IF(A22&lt;'Données projet'!$A$166,$DL$205^A22,IF(A22='Données projet'!$A$166,'Données projet'!$B$166,DO21+DN22-DW21)))</f>
        <v>14.380510729263795</v>
      </c>
      <c r="DP22" s="17">
        <f>DO22*VLOOKUP('Données projet'!$B$14,Paramètres!$A$1:$I$89,3,0)*VLOOKUP('Données projet'!$B$14,Paramètres!$A$1:$I$89,5,0)</f>
        <v>15.030509814226519</v>
      </c>
      <c r="DQ22" s="13">
        <f t="shared" si="43"/>
        <v>5.0527293561492472</v>
      </c>
      <c r="DR22" s="20">
        <f t="shared" si="16"/>
        <v>34.978308221737791</v>
      </c>
      <c r="DS22" s="59">
        <f t="shared" si="17"/>
        <v>328.31164155507111</v>
      </c>
      <c r="DT22" s="59">
        <f ca="1">AVERAGE(OFFSET($DS$3,0,0,'Données projet'!$E$14+1,1))-AVERAGE(OFFSET($H$3,0,0,'Données projet'!$E$14+1,1))</f>
        <v>110.10595934547638</v>
      </c>
      <c r="DU22" s="59">
        <f t="shared" si="44"/>
        <v>131.10971921141493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3.3603333333333336</v>
      </c>
      <c r="EJ22" s="12">
        <f>IF('Données projet'!$A$192&gt;35,EJ21+EI22-ER21,IF(A22&lt;'Données projet'!$A$192,$EG$205^A22,IF(A22='Données projet'!$A$192,'Données projet'!$B$192,EJ21+EI22-ER21)))</f>
        <v>63.846333333333369</v>
      </c>
      <c r="EK22" s="17">
        <f>EJ22*VLOOKUP('Données projet'!$B$15,Paramètres!$A$1:$I$89,3,0)*VLOOKUP('Données projet'!$B$15,Paramètres!$A$1:$I$89,5,0)</f>
        <v>64.740182000000047</v>
      </c>
      <c r="EL22" s="13">
        <f t="shared" si="45"/>
        <v>18.361380775200633</v>
      </c>
      <c r="EM22" s="20">
        <f t="shared" si="19"/>
        <v>144.73522183347453</v>
      </c>
      <c r="EN22" s="59">
        <f t="shared" si="20"/>
        <v>438.06855516680787</v>
      </c>
      <c r="EO22" s="59">
        <f ca="1">AVERAGE(OFFSET($EN$3,0,0,'Données projet'!$E$15+1,1))-AVERAGE(OFFSET($H$3,0,0,'Données projet'!$E$15+1,1))</f>
        <v>420.38735944595965</v>
      </c>
      <c r="EP22" s="59">
        <f t="shared" si="46"/>
        <v>200.0823542414671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4.016578947368421</v>
      </c>
      <c r="FE22" s="12">
        <f>IF('Données projet'!$A$218&gt;35,FE21+FD22-FM21,IF(A22&lt;'Données projet'!$A$218,$FB$205^A22,IF(A22='Données projet'!$A$218,'Données projet'!$B$218,FE21+FD22-FM21)))</f>
        <v>76.314999999999998</v>
      </c>
      <c r="FF22" s="17">
        <f>FE22*VLOOKUP('Données projet'!$B$16,Paramètres!$A$1:$I$89,3,0)*VLOOKUP('Données projet'!$B$16,Paramètres!$A$1:$I$89,5,0)</f>
        <v>82.145465999999999</v>
      </c>
      <c r="FG22" s="13">
        <f t="shared" si="47"/>
        <v>22.660951002004662</v>
      </c>
      <c r="FH22" s="20">
        <f t="shared" si="22"/>
        <v>182.53784294515813</v>
      </c>
      <c r="FI22" s="59">
        <f t="shared" si="23"/>
        <v>475.87117627849148</v>
      </c>
      <c r="FJ22" s="59">
        <f ca="1">AVERAGE(OFFSET($FI$3,0,0,'Données projet'!$E$16+1,1))-AVERAGE(OFFSET($H$3,0,0,'Données projet'!$E$16+1,1))</f>
        <v>415.8741608506952</v>
      </c>
      <c r="FK22" s="59">
        <f t="shared" si="48"/>
        <v>259.15848913719356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4.016578947368421</v>
      </c>
      <c r="FZ22" s="12">
        <f>IF('Données projet'!$A$244&gt;35,FZ21+FY22-GH21,IF(A22&lt;'Données projet'!$A$244,$FW$205^A22,IF(A22='Données projet'!$A$244,'Données projet'!$B$244,FZ21+FY22-GH21)))</f>
        <v>76.314999999999998</v>
      </c>
      <c r="GA22" s="17">
        <f>FZ22*VLOOKUP('Données projet'!$B$17,Paramètres!$A$1:$I$89,3,0)*VLOOKUP('Données projet'!$B$17,Paramètres!$A$1:$I$89,5,0)</f>
        <v>65.478270000000009</v>
      </c>
      <c r="GB22" s="13">
        <f t="shared" si="49"/>
        <v>18.546225996717627</v>
      </c>
      <c r="GC22" s="20">
        <f t="shared" si="25"/>
        <v>146.34266386094987</v>
      </c>
      <c r="GD22" s="59">
        <f t="shared" si="26"/>
        <v>439.67599719428318</v>
      </c>
      <c r="GE22" s="59">
        <f ca="1">AVERAGE(OFFSET($GD$3,0,0,'Données projet'!$E$17+1,1))-AVERAGE(OFFSET($H$3,0,0,'Données projet'!$E$17+1,1))</f>
        <v>322.39807389980882</v>
      </c>
      <c r="GF22" s="59">
        <f t="shared" si="50"/>
        <v>202.59410055732792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23" s="11">
        <f t="shared" si="32"/>
        <v>2.6795547009841778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77.282176639176114</v>
      </c>
      <c r="H23" s="67">
        <f t="shared" si="1"/>
        <v>310.77012443754745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6.4429411764705877</v>
      </c>
      <c r="N23" s="13">
        <f>IF('Données projet'!$A$36&gt;35,N22+M23-V22,IF(A23&lt;'Données projet'!$A$36,$K$205^A23,IF(A23='Données projet'!$A$36,'Données projet'!$B$36,N22+M23-V22)))</f>
        <v>128.85882352941172</v>
      </c>
      <c r="O23" s="13">
        <f>N23*VLOOKUP('Données projet'!$B$9,Paramètres!$A$1:$I$89,3,0)*VLOOKUP('Données projet'!$B$9,Paramètres!$A$1:$I$89,5,0)</f>
        <v>60.305929411764687</v>
      </c>
      <c r="P23" s="13">
        <f t="shared" si="33"/>
        <v>17.245594656457669</v>
      </c>
      <c r="Q23" s="20">
        <f t="shared" si="2"/>
        <v>135.06890441882061</v>
      </c>
      <c r="R23" s="59">
        <f t="shared" si="0"/>
        <v>428.40223775215395</v>
      </c>
      <c r="S23" s="59">
        <f ca="1">AVERAGE(OFFSET($R$3,0,0,'Données projet'!$E$9+1,1))-AVERAGE(OFFSET($H$3,0,0,'Données projet'!$E$9+1,1))</f>
        <v>215.77907571824977</v>
      </c>
      <c r="T23" s="59">
        <f t="shared" si="34"/>
        <v>174.69390149594869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5.699583333333333</v>
      </c>
      <c r="AI23" s="13">
        <f>IF('Données projet'!$A$62&gt;35,AI22+AH23-AQ22,IF(A23&lt;'Données projet'!$A$62,$AF$205^A23,IF(A23='Données projet'!$A$62,'Données projet'!$B$62,AI22+AH23-AQ22)))</f>
        <v>60.262242851585647</v>
      </c>
      <c r="AJ23" s="13">
        <f>AI23*VLOOKUP('Données projet'!$B$10,Paramètres!$A$1:$I$89,3,0)*VLOOKUP('Données projet'!$B$10,Paramètres!$A$1:$I$89,5,0)</f>
        <v>36.036821225248218</v>
      </c>
      <c r="AK23" s="13">
        <f t="shared" si="35"/>
        <v>10.94191282569758</v>
      </c>
      <c r="AL23" s="20">
        <f t="shared" si="4"/>
        <v>81.821295138730591</v>
      </c>
      <c r="AM23" s="59">
        <f t="shared" si="5"/>
        <v>375.15462847206391</v>
      </c>
      <c r="AN23" s="59">
        <f ca="1">AVERAGE(OFFSET($AM$3,0,0,'Données projet'!$E$10+1,1))-AVERAGE(OFFSET($H$3,0,0,'Données projet'!$E$10+1,1))</f>
        <v>171.701352621833</v>
      </c>
      <c r="AO23" s="59">
        <f t="shared" si="36"/>
        <v>195.58435749168586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8.0399999999999991</v>
      </c>
      <c r="BD23" s="12">
        <f>IF('Données projet'!$A$88&gt;35,BD22+BC23-BL22,IF(A23&lt;'Données projet'!$A$88,$BA$205^A23,IF(A23='Données projet'!$A$88,'Données projet'!$B$88,BD22+BC23-BL22)))</f>
        <v>69.591603900306012</v>
      </c>
      <c r="BE23" s="13">
        <f>BD23*VLOOKUP('Données projet'!$B$11,Paramètres!$A$1:$I$89,3,0)*VLOOKUP('Données projet'!$B$11,Paramètres!$A$1:$I$89,5,0)</f>
        <v>36.187634028159131</v>
      </c>
      <c r="BF23" s="13">
        <f t="shared" si="37"/>
        <v>10.982364366308801</v>
      </c>
      <c r="BG23" s="20">
        <f t="shared" si="7"/>
        <v>82.154413870364976</v>
      </c>
      <c r="BH23" s="59">
        <f t="shared" si="8"/>
        <v>375.48774720369829</v>
      </c>
      <c r="BI23" s="59">
        <f ca="1">AVERAGE(OFFSET($BH$3,0,0,'Données projet'!$E$11+1,1))-AVERAGE(OFFSET($H$3,0,0,'Données projet'!$E$11+1,1))</f>
        <v>348.29124901999882</v>
      </c>
      <c r="BJ23" s="59">
        <f t="shared" si="38"/>
        <v>284.30034973939053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4.5468888888888888</v>
      </c>
      <c r="BY23" s="12">
        <f>IF('Données projet'!$A$114&gt;35,BY22+BX23-CG22,IF(A23&lt;'Données projet'!$A$114,$BV$205^A23,IF(A23='Données projet'!$A$114,'Données projet'!$B$114,BY22+BX23-CG22)))</f>
        <v>90.937777777777754</v>
      </c>
      <c r="BZ23" s="13">
        <f>BY23*VLOOKUP('Données projet'!$B$12,Paramètres!$A$1:$I$89,3,0)*VLOOKUP('Données projet'!$B$12,Paramètres!$A$1:$I$89,5,0)</f>
        <v>54.380791111111101</v>
      </c>
      <c r="CA23" s="13">
        <f t="shared" si="39"/>
        <v>15.739528831138362</v>
      </c>
      <c r="CB23" s="20">
        <f t="shared" si="10"/>
        <v>122.12622389941782</v>
      </c>
      <c r="CC23" s="59">
        <f t="shared" si="11"/>
        <v>415.45955723275114</v>
      </c>
      <c r="CD23" s="59">
        <f ca="1">AVERAGE(OFFSET($CC$3,0,0,'Données projet'!$E$12+1,1))-AVERAGE(OFFSET($H$3,0,0,'Données projet'!$E$12+1,1))</f>
        <v>185.82627135915504</v>
      </c>
      <c r="CE23" s="59">
        <f t="shared" si="40"/>
        <v>155.46126452522037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40.999999999999993</v>
      </c>
      <c r="CR23" s="12">
        <f>VLOOKUP(A23,'Données projet'!$A$139:$I$159,9,0)</f>
        <v>2.7384615384615376</v>
      </c>
      <c r="CS23" s="12">
        <f t="array" ref="CS23">INDEX(CR:CR,MIN(IF(ISNUMBER(CR23:CR219),ROW(CR23:CR219),"")))</f>
        <v>2.7384615384615376</v>
      </c>
      <c r="CT23" s="12">
        <f>IF('Données projet'!$A$140&gt;35,CT22+CS23-DB22,IF(A23&lt;'Données projet'!$A$140,$CQ$205^A23,IF(A23='Données projet'!$A$140,'Données projet'!$B$140,CT22+CS23-DB22)))</f>
        <v>40.999999999999979</v>
      </c>
      <c r="CU23" s="17">
        <f>CT23*VLOOKUP('Données projet'!$B$13,Paramètres!$A$1:$I$89,3,0)*VLOOKUP('Données projet'!$B$13,Paramètres!$A$1:$I$89,5,0)</f>
        <v>47.231999999999971</v>
      </c>
      <c r="CV23" s="13">
        <f t="shared" si="41"/>
        <v>13.896559497937259</v>
      </c>
      <c r="CW23" s="20">
        <f t="shared" si="13"/>
        <v>106.46557445890734</v>
      </c>
      <c r="CX23" s="59">
        <f t="shared" si="14"/>
        <v>399.79890779224064</v>
      </c>
      <c r="CY23" s="59">
        <f ca="1">AVERAGE(OFFSET($CX$3,0,0,'Données projet'!$E$13+1,1))-AVERAGE(OFFSET($H$3,0,0,'Données projet'!$E$13+1,1))</f>
        <v>150.78964413039063</v>
      </c>
      <c r="CZ23" s="59">
        <f t="shared" si="42"/>
        <v>131.90332435966184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6.8461538461538458</v>
      </c>
      <c r="DC23" s="16">
        <f>IF(ISNA(VLOOKUP(A23,'Données projet'!$A$139:$I$159,5,0)),0%,VLOOKUP(A23,'Données projet'!$A$139:$I$159,5,0)*VLOOKUP('Données projet'!$B$13,Paramètres!$A$1:$I$89,7,0))</f>
        <v>0.1125</v>
      </c>
      <c r="DD23" s="16">
        <f>IF(ISNA(VLOOKUP(A23,'Données projet'!$A$139:$I$159,6,0)),0%,VLOOKUP(A23,'Données projet'!$A$139:$I$159,6,0)*VLOOKUP('Données projet'!$B$13,Paramètres!$A$1:$I$89,7,0))</f>
        <v>0.16650000000000001</v>
      </c>
      <c r="DE23" s="16">
        <f>IF(ISNA(VLOOKUP(A23,'Données projet'!$A$139:$I$159,7,0)),0%,VLOOKUP(A23,'Données projet'!$A$139:$I$159,7,0))</f>
        <v>0.38</v>
      </c>
      <c r="DF23" s="21">
        <f>EXP(-LN(2)/35)*DF22+(1-EXP(-LN(2)/35))/(LN(2)/35)*DB23*DC23*VLOOKUP('Données projet'!$B$13,Paramètres!$A$1:$I$89,3,0)*0.475*44/12</f>
        <v>0.86672763613135051</v>
      </c>
      <c r="DG23" s="21">
        <f>EXP(-LN(2)/25)*DG22+(1-EXP(-LN(2)/25))/(LN(2)/25)*Calculateur!DB23*Calculateur!DD23*VLOOKUP('Données projet'!$B$13,Paramètres!$A$1:$I$89,3,0)*0.475*44/12</f>
        <v>1.2519752527579417</v>
      </c>
      <c r="DH23" s="21">
        <f>EXP(-LN(2)/2)*DH22+(1-EXP(-LN(2)/2))/(LN(2)/2)*DB23*DE23*VLOOKUP('Données projet'!$B$13,Paramètres!$A$1:$I$89,3,0)*0.475*44/12</f>
        <v>1.8631901464865765</v>
      </c>
      <c r="DI23" s="22">
        <f t="shared" si="15"/>
        <v>3.9818930353758688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2.2435897435897436</v>
      </c>
      <c r="DO23" s="12">
        <f>IF('Données projet'!$A$166&gt;35,DO22+DN23-DW22,IF(A23&lt;'Données projet'!$A$166,$DL$205^A23,IF(A23='Données projet'!$A$166,'Données projet'!$B$166,DO22+DN23-DW22)))</f>
        <v>16.546639324907034</v>
      </c>
      <c r="DP23" s="17">
        <f>DO23*VLOOKUP('Données projet'!$B$14,Paramètres!$A$1:$I$89,3,0)*VLOOKUP('Données projet'!$B$14,Paramètres!$A$1:$I$89,5,0)</f>
        <v>17.294547422392831</v>
      </c>
      <c r="DQ23" s="13">
        <f t="shared" si="43"/>
        <v>5.7196392180964439</v>
      </c>
      <c r="DR23" s="20">
        <f t="shared" si="16"/>
        <v>40.083041732185485</v>
      </c>
      <c r="DS23" s="59">
        <f t="shared" si="17"/>
        <v>333.41637506551882</v>
      </c>
      <c r="DT23" s="59">
        <f ca="1">AVERAGE(OFFSET($DS$3,0,0,'Données projet'!$E$14+1,1))-AVERAGE(OFFSET($H$3,0,0,'Données projet'!$E$14+1,1))</f>
        <v>110.10595934547638</v>
      </c>
      <c r="DU23" s="59">
        <f t="shared" si="44"/>
        <v>131.10971921141493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3.3603333333333336</v>
      </c>
      <c r="EJ23" s="12">
        <f>IF('Données projet'!$A$192&gt;35,EJ22+EI23-ER22,IF(A23&lt;'Données projet'!$A$192,$EG$205^A23,IF(A23='Données projet'!$A$192,'Données projet'!$B$192,EJ22+EI23-ER22)))</f>
        <v>67.206666666666706</v>
      </c>
      <c r="EK23" s="17">
        <f>EJ23*VLOOKUP('Données projet'!$B$15,Paramètres!$A$1:$I$89,3,0)*VLOOKUP('Données projet'!$B$15,Paramètres!$A$1:$I$89,5,0)</f>
        <v>68.147560000000055</v>
      </c>
      <c r="EL23" s="13">
        <f t="shared" si="45"/>
        <v>19.212715835236935</v>
      </c>
      <c r="EM23" s="20">
        <f t="shared" si="19"/>
        <v>152.15248041303775</v>
      </c>
      <c r="EN23" s="59">
        <f t="shared" si="20"/>
        <v>445.48581374637104</v>
      </c>
      <c r="EO23" s="59">
        <f ca="1">AVERAGE(OFFSET($EN$3,0,0,'Données projet'!$E$15+1,1))-AVERAGE(OFFSET($H$3,0,0,'Données projet'!$E$15+1,1))</f>
        <v>420.38735944595965</v>
      </c>
      <c r="EP23" s="59">
        <f t="shared" si="46"/>
        <v>200.0823542414671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4.016578947368421</v>
      </c>
      <c r="FE23" s="12">
        <f>IF('Données projet'!$A$218&gt;35,FE22+FD23-FM22,IF(A23&lt;'Données projet'!$A$218,$FB$205^A23,IF(A23='Données projet'!$A$218,'Données projet'!$B$218,FE22+FD23-FM22)))</f>
        <v>80.331578947368413</v>
      </c>
      <c r="FF23" s="17">
        <f>FE23*VLOOKUP('Données projet'!$B$16,Paramètres!$A$1:$I$89,3,0)*VLOOKUP('Données projet'!$B$16,Paramètres!$A$1:$I$89,5,0)</f>
        <v>86.468911578947356</v>
      </c>
      <c r="FG23" s="13">
        <f t="shared" si="47"/>
        <v>23.711637893037807</v>
      </c>
      <c r="FH23" s="20">
        <f t="shared" si="22"/>
        <v>191.89779033037416</v>
      </c>
      <c r="FI23" s="59">
        <f t="shared" si="23"/>
        <v>485.23112366370748</v>
      </c>
      <c r="FJ23" s="59">
        <f ca="1">AVERAGE(OFFSET($FI$3,0,0,'Données projet'!$E$16+1,1))-AVERAGE(OFFSET($H$3,0,0,'Données projet'!$E$16+1,1))</f>
        <v>415.8741608506952</v>
      </c>
      <c r="FK23" s="59">
        <f t="shared" si="48"/>
        <v>259.15848913719356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4.016578947368421</v>
      </c>
      <c r="FZ23" s="12">
        <f>IF('Données projet'!$A$244&gt;35,FZ22+FY23-GH22,IF(A23&lt;'Données projet'!$A$244,$FW$205^A23,IF(A23='Données projet'!$A$244,'Données projet'!$B$244,FZ22+FY23-GH22)))</f>
        <v>80.331578947368413</v>
      </c>
      <c r="GA23" s="17">
        <f>FZ23*VLOOKUP('Données projet'!$B$17,Paramètres!$A$1:$I$89,3,0)*VLOOKUP('Données projet'!$B$17,Paramètres!$A$1:$I$89,5,0)</f>
        <v>68.924494736842107</v>
      </c>
      <c r="GB23" s="13">
        <f t="shared" si="49"/>
        <v>19.406131502500042</v>
      </c>
      <c r="GC23" s="20">
        <f t="shared" si="25"/>
        <v>153.84250736685425</v>
      </c>
      <c r="GD23" s="59">
        <f t="shared" si="26"/>
        <v>447.17584070018756</v>
      </c>
      <c r="GE23" s="59">
        <f ca="1">AVERAGE(OFFSET($GD$3,0,0,'Données projet'!$E$17+1,1))-AVERAGE(OFFSET($H$3,0,0,'Données projet'!$E$17+1,1))</f>
        <v>322.39807389980882</v>
      </c>
      <c r="GF23" s="59">
        <f t="shared" si="50"/>
        <v>202.59410055732792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7.6985999999999999</v>
      </c>
      <c r="D24" s="11">
        <f t="shared" si="32"/>
        <v>2.7975991793553914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81.023291910813555</v>
      </c>
      <c r="H24" s="67">
        <f t="shared" si="1"/>
        <v>311.6142135707106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6.4429411764705877</v>
      </c>
      <c r="N24" s="13">
        <f>IF('Données projet'!$A$36&gt;35,N23+M24-V23,IF(A24&lt;'Données projet'!$A$36,$K$205^A24,IF(A24='Données projet'!$A$36,'Données projet'!$B$36,N23+M24-V23)))</f>
        <v>135.30176470588231</v>
      </c>
      <c r="O24" s="13">
        <f>N24*VLOOKUP('Données projet'!$B$9,Paramètres!$A$1:$I$89,3,0)*VLOOKUP('Données projet'!$B$9,Paramètres!$A$1:$I$89,5,0)</f>
        <v>63.32122588235292</v>
      </c>
      <c r="P24" s="13">
        <f t="shared" si="33"/>
        <v>18.005328064652414</v>
      </c>
      <c r="Q24" s="20">
        <f t="shared" si="2"/>
        <v>141.64374812436762</v>
      </c>
      <c r="R24" s="59">
        <f t="shared" si="0"/>
        <v>434.97708145770093</v>
      </c>
      <c r="S24" s="59">
        <f ca="1">AVERAGE(OFFSET($R$3,0,0,'Données projet'!$E$9+1,1))-AVERAGE(OFFSET($H$3,0,0,'Données projet'!$E$9+1,1))</f>
        <v>215.77907571824977</v>
      </c>
      <c r="T24" s="59">
        <f t="shared" si="34"/>
        <v>174.69390149594869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5.699583333333333</v>
      </c>
      <c r="AI24" s="13">
        <f>IF('Données projet'!$A$62&gt;35,AI23+AH24-AQ23,IF(A24&lt;'Données projet'!$A$62,$AF$205^A24,IF(A24='Données projet'!$A$62,'Données projet'!$B$62,AI23+AH24-AQ23)))</f>
        <v>73.968626731138343</v>
      </c>
      <c r="AJ24" s="13">
        <f>AI24*VLOOKUP('Données projet'!$B$10,Paramètres!$A$1:$I$89,3,0)*VLOOKUP('Données projet'!$B$10,Paramètres!$A$1:$I$89,5,0)</f>
        <v>44.233238785220735</v>
      </c>
      <c r="AK24" s="13">
        <f t="shared" si="35"/>
        <v>13.114014254578812</v>
      </c>
      <c r="AL24" s="20">
        <f t="shared" si="4"/>
        <v>99.879799044317551</v>
      </c>
      <c r="AM24" s="59">
        <f t="shared" si="5"/>
        <v>393.21313237765088</v>
      </c>
      <c r="AN24" s="59">
        <f ca="1">AVERAGE(OFFSET($AM$3,0,0,'Données projet'!$E$10+1,1))-AVERAGE(OFFSET($H$3,0,0,'Données projet'!$E$10+1,1))</f>
        <v>171.701352621833</v>
      </c>
      <c r="AO24" s="59">
        <f t="shared" si="36"/>
        <v>195.58435749168586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8.0399999999999991</v>
      </c>
      <c r="BD24" s="12">
        <f>IF('Données projet'!$A$88&gt;35,BD23+BC24-BL23,IF(A24&lt;'Données projet'!$A$88,$BA$205^A24,IF(A24='Données projet'!$A$88,'Données projet'!$B$88,BD23+BC24-BL23)))</f>
        <v>86.036886988880212</v>
      </c>
      <c r="BE24" s="13">
        <f>BD24*VLOOKUP('Données projet'!$B$11,Paramètres!$A$1:$I$89,3,0)*VLOOKUP('Données projet'!$B$11,Paramètres!$A$1:$I$89,5,0)</f>
        <v>44.73918123421771</v>
      </c>
      <c r="BF24" s="13">
        <f t="shared" si="37"/>
        <v>13.246465411895501</v>
      </c>
      <c r="BG24" s="20">
        <f t="shared" si="7"/>
        <v>100.99166790864717</v>
      </c>
      <c r="BH24" s="59">
        <f t="shared" si="8"/>
        <v>394.32500124198049</v>
      </c>
      <c r="BI24" s="59">
        <f ca="1">AVERAGE(OFFSET($BH$3,0,0,'Données projet'!$E$11+1,1))-AVERAGE(OFFSET($H$3,0,0,'Données projet'!$E$11+1,1))</f>
        <v>348.29124901999882</v>
      </c>
      <c r="BJ24" s="59">
        <f t="shared" si="38"/>
        <v>284.30034973939053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4.5468888888888888</v>
      </c>
      <c r="BY24" s="12">
        <f>IF('Données projet'!$A$114&gt;35,BY23+BX24-CG23,IF(A24&lt;'Données projet'!$A$114,$BV$205^A24,IF(A24='Données projet'!$A$114,'Données projet'!$B$114,BY23+BX24-CG23)))</f>
        <v>95.484666666666641</v>
      </c>
      <c r="BZ24" s="13">
        <f>BY24*VLOOKUP('Données projet'!$B$12,Paramètres!$A$1:$I$89,3,0)*VLOOKUP('Données projet'!$B$12,Paramètres!$A$1:$I$89,5,0)</f>
        <v>57.099830666666655</v>
      </c>
      <c r="CA24" s="13">
        <f t="shared" si="39"/>
        <v>16.432914366428236</v>
      </c>
      <c r="CB24" s="20">
        <f t="shared" si="10"/>
        <v>128.06953093264028</v>
      </c>
      <c r="CC24" s="59">
        <f t="shared" si="11"/>
        <v>421.40286426597356</v>
      </c>
      <c r="CD24" s="59">
        <f ca="1">AVERAGE(OFFSET($CC$3,0,0,'Données projet'!$E$12+1,1))-AVERAGE(OFFSET($H$3,0,0,'Données projet'!$E$12+1,1))</f>
        <v>185.82627135915504</v>
      </c>
      <c r="CE24" s="59">
        <f t="shared" si="40"/>
        <v>155.46126452522037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2.7230769230769232</v>
      </c>
      <c r="CT24" s="12">
        <f>IF('Données projet'!$A$140&gt;35,CT23+CS24-DB23,IF(A24&lt;'Données projet'!$A$140,$CQ$205^A24,IF(A24='Données projet'!$A$140,'Données projet'!$B$140,CT23+CS24-DB23)))</f>
        <v>36.876923076923056</v>
      </c>
      <c r="CU24" s="17">
        <f>CT24*VLOOKUP('Données projet'!$B$13,Paramètres!$A$1:$I$89,3,0)*VLOOKUP('Données projet'!$B$13,Paramètres!$A$1:$I$89,5,0)</f>
        <v>42.482215384615351</v>
      </c>
      <c r="CV24" s="13">
        <f t="shared" si="41"/>
        <v>12.654235376291979</v>
      </c>
      <c r="CW24" s="20">
        <f t="shared" si="13"/>
        <v>96.029318408580252</v>
      </c>
      <c r="CX24" s="59">
        <f t="shared" si="14"/>
        <v>389.36265174191357</v>
      </c>
      <c r="CY24" s="59">
        <f ca="1">AVERAGE(OFFSET($CX$3,0,0,'Données projet'!$E$13+1,1))-AVERAGE(OFFSET($H$3,0,0,'Données projet'!$E$13+1,1))</f>
        <v>150.78964413039063</v>
      </c>
      <c r="CZ24" s="59">
        <f t="shared" si="42"/>
        <v>131.90332435966184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0.84973163583847278</v>
      </c>
      <c r="DG24" s="21">
        <f>EXP(-LN(2)/25)*DG23+(1-EXP(-LN(2)/25))/(LN(2)/25)*Calculateur!DB24*Calculateur!DD24*VLOOKUP('Données projet'!$B$13,Paramètres!$A$1:$I$89,3,0)*0.475*44/12</f>
        <v>1.2177399236327586</v>
      </c>
      <c r="DH24" s="21">
        <f>EXP(-LN(2)/2)*DH23+(1-EXP(-LN(2)/2))/(LN(2)/2)*DB24*DE24*VLOOKUP('Données projet'!$B$13,Paramètres!$A$1:$I$89,3,0)*0.475*44/12</f>
        <v>1.3174743872206152</v>
      </c>
      <c r="DI24" s="22">
        <f t="shared" si="15"/>
        <v>3.3849459466918468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2.2435897435897436</v>
      </c>
      <c r="DO24" s="12">
        <f>IF('Données projet'!$A$166&gt;35,DO23+DN24-DW23,IF(A24&lt;'Données projet'!$A$166,$DL$205^A24,IF(A24='Données projet'!$A$166,'Données projet'!$B$166,DO23+DN24-DW23)))</f>
        <v>19.039050705716946</v>
      </c>
      <c r="DP24" s="17">
        <f>DO24*VLOOKUP('Données projet'!$B$14,Paramètres!$A$1:$I$89,3,0)*VLOOKUP('Données projet'!$B$14,Paramètres!$A$1:$I$89,5,0)</f>
        <v>19.899615797615354</v>
      </c>
      <c r="DQ24" s="13">
        <f t="shared" si="43"/>
        <v>6.4745745277991533</v>
      </c>
      <c r="DR24" s="20">
        <f t="shared" si="16"/>
        <v>45.935048150096925</v>
      </c>
      <c r="DS24" s="59">
        <f t="shared" si="17"/>
        <v>339.26838148343023</v>
      </c>
      <c r="DT24" s="59">
        <f ca="1">AVERAGE(OFFSET($DS$3,0,0,'Données projet'!$E$14+1,1))-AVERAGE(OFFSET($H$3,0,0,'Données projet'!$E$14+1,1))</f>
        <v>110.10595934547638</v>
      </c>
      <c r="DU24" s="59">
        <f t="shared" si="44"/>
        <v>131.10971921141493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3.3603333333333336</v>
      </c>
      <c r="EJ24" s="12">
        <f>IF('Données projet'!$A$192&gt;35,EJ23+EI24-ER23,IF(A24&lt;'Données projet'!$A$192,$EG$205^A24,IF(A24='Données projet'!$A$192,'Données projet'!$B$192,EJ23+EI24-ER23)))</f>
        <v>70.567000000000036</v>
      </c>
      <c r="EK24" s="17">
        <f>EJ24*VLOOKUP('Données projet'!$B$15,Paramètres!$A$1:$I$89,3,0)*VLOOKUP('Données projet'!$B$15,Paramètres!$A$1:$I$89,5,0)</f>
        <v>71.55493800000005</v>
      </c>
      <c r="EL24" s="13">
        <f t="shared" si="45"/>
        <v>20.059108341436531</v>
      </c>
      <c r="EM24" s="20">
        <f t="shared" si="19"/>
        <v>159.56113071133535</v>
      </c>
      <c r="EN24" s="59">
        <f t="shared" si="20"/>
        <v>452.89446404466867</v>
      </c>
      <c r="EO24" s="59">
        <f ca="1">AVERAGE(OFFSET($EN$3,0,0,'Données projet'!$E$15+1,1))-AVERAGE(OFFSET($H$3,0,0,'Données projet'!$E$15+1,1))</f>
        <v>420.38735944595965</v>
      </c>
      <c r="EP24" s="59">
        <f t="shared" si="46"/>
        <v>200.0823542414671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4.016578947368421</v>
      </c>
      <c r="FE24" s="12">
        <f>IF('Données projet'!$A$218&gt;35,FE23+FD24-FM23,IF(A24&lt;'Données projet'!$A$218,$FB$205^A24,IF(A24='Données projet'!$A$218,'Données projet'!$B$218,FE23+FD24-FM23)))</f>
        <v>84.348157894736829</v>
      </c>
      <c r="FF24" s="17">
        <f>FE24*VLOOKUP('Données projet'!$B$16,Paramètres!$A$1:$I$89,3,0)*VLOOKUP('Données projet'!$B$16,Paramètres!$A$1:$I$89,5,0)</f>
        <v>90.792357157894727</v>
      </c>
      <c r="FG24" s="13">
        <f t="shared" si="47"/>
        <v>24.756224863172324</v>
      </c>
      <c r="FH24" s="20">
        <f t="shared" si="22"/>
        <v>201.24711368669179</v>
      </c>
      <c r="FI24" s="59">
        <f t="shared" si="23"/>
        <v>494.58044702002508</v>
      </c>
      <c r="FJ24" s="59">
        <f ca="1">AVERAGE(OFFSET($FI$3,0,0,'Données projet'!$E$16+1,1))-AVERAGE(OFFSET($H$3,0,0,'Données projet'!$E$16+1,1))</f>
        <v>415.8741608506952</v>
      </c>
      <c r="FK24" s="59">
        <f t="shared" si="48"/>
        <v>259.15848913719356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4.016578947368421</v>
      </c>
      <c r="FZ24" s="12">
        <f>IF('Données projet'!$A$244&gt;35,FZ23+FY24-GH23,IF(A24&lt;'Données projet'!$A$244,$FW$205^A24,IF(A24='Données projet'!$A$244,'Données projet'!$B$244,FZ23+FY24-GH23)))</f>
        <v>84.348157894736829</v>
      </c>
      <c r="GA24" s="17">
        <f>FZ24*VLOOKUP('Données projet'!$B$17,Paramètres!$A$1:$I$89,3,0)*VLOOKUP('Données projet'!$B$17,Paramètres!$A$1:$I$89,5,0)</f>
        <v>72.370719473684204</v>
      </c>
      <c r="GB24" s="13">
        <f t="shared" si="49"/>
        <v>20.261044697432922</v>
      </c>
      <c r="GC24" s="20">
        <f t="shared" si="25"/>
        <v>161.33365593136233</v>
      </c>
      <c r="GD24" s="59">
        <f t="shared" si="26"/>
        <v>454.66698926469564</v>
      </c>
      <c r="GE24" s="59">
        <f ca="1">AVERAGE(OFFSET($GD$3,0,0,'Données projet'!$E$17+1,1))-AVERAGE(OFFSET($H$3,0,0,'Données projet'!$E$17+1,1))</f>
        <v>322.39807389980882</v>
      </c>
      <c r="GF24" s="59">
        <f t="shared" si="50"/>
        <v>202.59410055732792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25" s="11">
        <f t="shared" si="32"/>
        <v>2.9149909035839161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84.759368378542504</v>
      </c>
      <c r="H25" s="67">
        <f t="shared" si="1"/>
        <v>312.45716582374195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6.4429411764705877</v>
      </c>
      <c r="N25" s="13">
        <f>IF('Données projet'!$A$36&gt;35,N24+M25-V24,IF(A25&lt;'Données projet'!$A$36,$K$205^A25,IF(A25='Données projet'!$A$36,'Données projet'!$B$36,N24+M25-V24)))</f>
        <v>141.74470588235289</v>
      </c>
      <c r="O25" s="13">
        <f>N25*VLOOKUP('Données projet'!$B$9,Paramètres!$A$1:$I$89,3,0)*VLOOKUP('Données projet'!$B$9,Paramètres!$A$1:$I$89,5,0)</f>
        <v>66.336522352941145</v>
      </c>
      <c r="P25" s="13">
        <f t="shared" si="33"/>
        <v>18.760860351910516</v>
      </c>
      <c r="Q25" s="20">
        <f t="shared" si="2"/>
        <v>148.21127487761666</v>
      </c>
      <c r="R25" s="59">
        <f t="shared" si="0"/>
        <v>441.54460821094995</v>
      </c>
      <c r="S25" s="59">
        <f ca="1">AVERAGE(OFFSET($R$3,0,0,'Données projet'!$E$9+1,1))-AVERAGE(OFFSET($H$3,0,0,'Données projet'!$E$9+1,1))</f>
        <v>215.77907571824977</v>
      </c>
      <c r="T25" s="59">
        <f t="shared" si="34"/>
        <v>174.69390149594869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5.699583333333333</v>
      </c>
      <c r="AI25" s="13">
        <f>IF('Données projet'!$A$62&gt;35,AI24+AH25-AQ24,IF(A25&lt;'Données projet'!$A$62,$AF$205^A25,IF(A25='Données projet'!$A$62,'Données projet'!$B$62,AI24+AH25-AQ24)))</f>
        <v>90.792467747431516</v>
      </c>
      <c r="AJ25" s="13">
        <f>AI25*VLOOKUP('Données projet'!$B$10,Paramètres!$A$1:$I$89,3,0)*VLOOKUP('Données projet'!$B$10,Paramètres!$A$1:$I$89,5,0)</f>
        <v>54.293895712964051</v>
      </c>
      <c r="AK25" s="13">
        <f t="shared" si="35"/>
        <v>15.717303967675525</v>
      </c>
      <c r="AL25" s="20">
        <f t="shared" si="4"/>
        <v>121.93617277711394</v>
      </c>
      <c r="AM25" s="59">
        <f t="shared" si="5"/>
        <v>415.26950611044725</v>
      </c>
      <c r="AN25" s="59">
        <f ca="1">AVERAGE(OFFSET($AM$3,0,0,'Données projet'!$E$10+1,1))-AVERAGE(OFFSET($H$3,0,0,'Données projet'!$E$10+1,1))</f>
        <v>171.701352621833</v>
      </c>
      <c r="AO25" s="59">
        <f t="shared" si="36"/>
        <v>195.58435749168586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8.0399999999999991</v>
      </c>
      <c r="BD25" s="12">
        <f>IF('Données projet'!$A$88&gt;35,BD24+BC25-BL24,IF(A25&lt;'Données projet'!$A$88,$BA$205^A25,IF(A25='Données projet'!$A$88,'Données projet'!$B$88,BD24+BC25-BL24)))</f>
        <v>106.36837646882852</v>
      </c>
      <c r="BE25" s="13">
        <f>BD25*VLOOKUP('Données projet'!$B$11,Paramètres!$A$1:$I$89,3,0)*VLOOKUP('Données projet'!$B$11,Paramètres!$A$1:$I$89,5,0)</f>
        <v>55.311555763790835</v>
      </c>
      <c r="BF25" s="13">
        <f t="shared" si="37"/>
        <v>15.977328747791251</v>
      </c>
      <c r="BG25" s="20">
        <f t="shared" si="7"/>
        <v>124.16147385767211</v>
      </c>
      <c r="BH25" s="59">
        <f t="shared" si="8"/>
        <v>417.49480719100541</v>
      </c>
      <c r="BI25" s="59">
        <f ca="1">AVERAGE(OFFSET($BH$3,0,0,'Données projet'!$E$11+1,1))-AVERAGE(OFFSET($H$3,0,0,'Données projet'!$E$11+1,1))</f>
        <v>348.29124901999882</v>
      </c>
      <c r="BJ25" s="59">
        <f t="shared" si="38"/>
        <v>284.30034973939053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4.5468888888888888</v>
      </c>
      <c r="BY25" s="12">
        <f>IF('Données projet'!$A$114&gt;35,BY24+BX25-CG24,IF(A25&lt;'Données projet'!$A$114,$BV$205^A25,IF(A25='Données projet'!$A$114,'Données projet'!$B$114,BY24+BX25-CG24)))</f>
        <v>100.03155555555553</v>
      </c>
      <c r="BZ25" s="13">
        <f>BY25*VLOOKUP('Données projet'!$B$12,Paramètres!$A$1:$I$89,3,0)*VLOOKUP('Données projet'!$B$12,Paramètres!$A$1:$I$89,5,0)</f>
        <v>59.818870222222216</v>
      </c>
      <c r="CA25" s="13">
        <f t="shared" si="39"/>
        <v>17.122465666632433</v>
      </c>
      <c r="CB25" s="20">
        <f t="shared" si="10"/>
        <v>134.00616000642185</v>
      </c>
      <c r="CC25" s="59">
        <f t="shared" si="11"/>
        <v>427.33949333975517</v>
      </c>
      <c r="CD25" s="59">
        <f ca="1">AVERAGE(OFFSET($CC$3,0,0,'Données projet'!$E$12+1,1))-AVERAGE(OFFSET($H$3,0,0,'Données projet'!$E$12+1,1))</f>
        <v>185.82627135915504</v>
      </c>
      <c r="CE25" s="59">
        <f t="shared" si="40"/>
        <v>155.46126452522037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2.7230769230769232</v>
      </c>
      <c r="CT25" s="12">
        <f>IF('Données projet'!$A$140&gt;35,CT24+CS25-DB24,IF(A25&lt;'Données projet'!$A$140,$CQ$205^A25,IF(A25='Données projet'!$A$140,'Données projet'!$B$140,CT24+CS25-DB24)))</f>
        <v>39.59999999999998</v>
      </c>
      <c r="CU25" s="17">
        <f>CT25*VLOOKUP('Données projet'!$B$13,Paramètres!$A$1:$I$89,3,0)*VLOOKUP('Données projet'!$B$13,Paramètres!$A$1:$I$89,5,0)</f>
        <v>45.619199999999971</v>
      </c>
      <c r="CV25" s="13">
        <f t="shared" si="41"/>
        <v>13.476432540395011</v>
      </c>
      <c r="CW25" s="20">
        <f t="shared" si="13"/>
        <v>102.92489334118791</v>
      </c>
      <c r="CX25" s="59">
        <f t="shared" si="14"/>
        <v>396.25822667452121</v>
      </c>
      <c r="CY25" s="59">
        <f ca="1">AVERAGE(OFFSET($CX$3,0,0,'Données projet'!$E$13+1,1))-AVERAGE(OFFSET($H$3,0,0,'Données projet'!$E$13+1,1))</f>
        <v>150.78964413039063</v>
      </c>
      <c r="CZ25" s="59">
        <f t="shared" si="42"/>
        <v>131.90332435966184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0.83306891674480177</v>
      </c>
      <c r="DG25" s="21">
        <f>EXP(-LN(2)/25)*DG24+(1-EXP(-LN(2)/25))/(LN(2)/25)*Calculateur!DB25*Calculateur!DD25*VLOOKUP('Données projet'!$B$13,Paramètres!$A$1:$I$89,3,0)*0.475*44/12</f>
        <v>1.1844407613828614</v>
      </c>
      <c r="DH25" s="21">
        <f>EXP(-LN(2)/2)*DH24+(1-EXP(-LN(2)/2))/(LN(2)/2)*DB25*DE25*VLOOKUP('Données projet'!$B$13,Paramètres!$A$1:$I$89,3,0)*0.475*44/12</f>
        <v>0.93159507324328839</v>
      </c>
      <c r="DI25" s="22">
        <f t="shared" si="15"/>
        <v>2.9491047513709514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2.2435897435897436</v>
      </c>
      <c r="DO25" s="12">
        <f>IF('Données projet'!$A$166&gt;35,DO24+DN25-DW24,IF(A25&lt;'Données projet'!$A$166,$DL$205^A25,IF(A25='Données projet'!$A$166,'Données projet'!$B$166,DO24+DN25-DW24)))</f>
        <v>21.90689267211047</v>
      </c>
      <c r="DP25" s="17">
        <f>DO25*VLOOKUP('Données projet'!$B$14,Paramètres!$A$1:$I$89,3,0)*VLOOKUP('Données projet'!$B$14,Paramètres!$A$1:$I$89,5,0)</f>
        <v>22.897084220889862</v>
      </c>
      <c r="DQ25" s="13">
        <f t="shared" si="43"/>
        <v>7.3291537660966464</v>
      </c>
      <c r="DR25" s="20">
        <f t="shared" si="16"/>
        <v>52.644031160668163</v>
      </c>
      <c r="DS25" s="59">
        <f t="shared" si="17"/>
        <v>345.97736449400145</v>
      </c>
      <c r="DT25" s="59">
        <f ca="1">AVERAGE(OFFSET($DS$3,0,0,'Données projet'!$E$14+1,1))-AVERAGE(OFFSET($H$3,0,0,'Données projet'!$E$14+1,1))</f>
        <v>110.10595934547638</v>
      </c>
      <c r="DU25" s="59">
        <f t="shared" si="44"/>
        <v>131.10971921141493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3.3603333333333336</v>
      </c>
      <c r="EJ25" s="12">
        <f>IF('Données projet'!$A$192&gt;35,EJ24+EI25-ER24,IF(A25&lt;'Données projet'!$A$192,$EG$205^A25,IF(A25='Données projet'!$A$192,'Données projet'!$B$192,EJ24+EI25-ER24)))</f>
        <v>73.927333333333365</v>
      </c>
      <c r="EK25" s="17">
        <f>EJ25*VLOOKUP('Données projet'!$B$15,Paramètres!$A$1:$I$89,3,0)*VLOOKUP('Données projet'!$B$15,Paramètres!$A$1:$I$89,5,0)</f>
        <v>74.962316000000044</v>
      </c>
      <c r="EL25" s="13">
        <f t="shared" si="45"/>
        <v>20.900820525249284</v>
      </c>
      <c r="EM25" s="20">
        <f t="shared" si="19"/>
        <v>166.96162944814259</v>
      </c>
      <c r="EN25" s="59">
        <f t="shared" si="20"/>
        <v>460.29496278147587</v>
      </c>
      <c r="EO25" s="59">
        <f ca="1">AVERAGE(OFFSET($EN$3,0,0,'Données projet'!$E$15+1,1))-AVERAGE(OFFSET($H$3,0,0,'Données projet'!$E$15+1,1))</f>
        <v>420.38735944595965</v>
      </c>
      <c r="EP25" s="59">
        <f t="shared" si="46"/>
        <v>200.0823542414671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4.016578947368421</v>
      </c>
      <c r="FE25" s="12">
        <f>IF('Données projet'!$A$218&gt;35,FE24+FD25-FM24,IF(A25&lt;'Données projet'!$A$218,$FB$205^A25,IF(A25='Données projet'!$A$218,'Données projet'!$B$218,FE24+FD25-FM24)))</f>
        <v>88.364736842105245</v>
      </c>
      <c r="FF25" s="17">
        <f>FE25*VLOOKUP('Données projet'!$B$16,Paramètres!$A$1:$I$89,3,0)*VLOOKUP('Données projet'!$B$16,Paramètres!$A$1:$I$89,5,0)</f>
        <v>95.115802736842085</v>
      </c>
      <c r="FG25" s="13">
        <f t="shared" si="47"/>
        <v>25.795035548964155</v>
      </c>
      <c r="FH25" s="20">
        <f t="shared" si="22"/>
        <v>210.58637668111251</v>
      </c>
      <c r="FI25" s="59">
        <f t="shared" si="23"/>
        <v>503.91971001444585</v>
      </c>
      <c r="FJ25" s="59">
        <f ca="1">AVERAGE(OFFSET($FI$3,0,0,'Données projet'!$E$16+1,1))-AVERAGE(OFFSET($H$3,0,0,'Données projet'!$E$16+1,1))</f>
        <v>415.8741608506952</v>
      </c>
      <c r="FK25" s="59">
        <f t="shared" si="48"/>
        <v>259.15848913719356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4.016578947368421</v>
      </c>
      <c r="FZ25" s="12">
        <f>IF('Données projet'!$A$244&gt;35,FZ24+FY25-GH24,IF(A25&lt;'Données projet'!$A$244,$FW$205^A25,IF(A25='Données projet'!$A$244,'Données projet'!$B$244,FZ24+FY25-GH24)))</f>
        <v>88.364736842105245</v>
      </c>
      <c r="GA25" s="17">
        <f>FZ25*VLOOKUP('Données projet'!$B$17,Paramètres!$A$1:$I$89,3,0)*VLOOKUP('Données projet'!$B$17,Paramètres!$A$1:$I$89,5,0)</f>
        <v>75.816944210526302</v>
      </c>
      <c r="GB25" s="13">
        <f t="shared" si="49"/>
        <v>21.111230452867293</v>
      </c>
      <c r="GC25" s="20">
        <f t="shared" si="25"/>
        <v>168.81657087207716</v>
      </c>
      <c r="GD25" s="59">
        <f t="shared" si="26"/>
        <v>462.14990420541051</v>
      </c>
      <c r="GE25" s="59">
        <f ca="1">AVERAGE(OFFSET($GD$3,0,0,'Données projet'!$E$17+1,1))-AVERAGE(OFFSET($H$3,0,0,'Données projet'!$E$17+1,1))</f>
        <v>322.39807389980882</v>
      </c>
      <c r="GF25" s="59">
        <f t="shared" si="50"/>
        <v>202.59410055732792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8.4317999999999991</v>
      </c>
      <c r="D26" s="11">
        <f t="shared" si="32"/>
        <v>3.0317629337641621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88.490661243091765</v>
      </c>
      <c r="H26" s="67">
        <f t="shared" si="1"/>
        <v>313.29903877630591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6.4429411764705877</v>
      </c>
      <c r="N26" s="13">
        <f>IF('Données projet'!$A$36&gt;35,N25+M26-V25,IF(A26&lt;'Données projet'!$A$36,$K$205^A26,IF(A26='Données projet'!$A$36,'Données projet'!$B$36,N25+M26-V25)))</f>
        <v>148.18764705882347</v>
      </c>
      <c r="O26" s="13">
        <f>N26*VLOOKUP('Données projet'!$B$9,Paramètres!$A$1:$I$89,3,0)*VLOOKUP('Données projet'!$B$9,Paramètres!$A$1:$I$89,5,0)</f>
        <v>69.351818823529385</v>
      </c>
      <c r="P26" s="13">
        <f t="shared" si="33"/>
        <v>19.512404292760284</v>
      </c>
      <c r="Q26" s="20">
        <f t="shared" si="2"/>
        <v>154.77185526087118</v>
      </c>
      <c r="R26" s="59">
        <f t="shared" si="0"/>
        <v>448.10518859420449</v>
      </c>
      <c r="S26" s="59">
        <f ca="1">AVERAGE(OFFSET($R$3,0,0,'Données projet'!$E$9+1,1))-AVERAGE(OFFSET($H$3,0,0,'Données projet'!$E$9+1,1))</f>
        <v>215.77907571824977</v>
      </c>
      <c r="T26" s="59">
        <f t="shared" si="34"/>
        <v>174.69390149594869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5.699583333333333</v>
      </c>
      <c r="AI26" s="13">
        <f>IF('Données projet'!$A$62&gt;35,AI25+AH26-AQ25,IF(A26&lt;'Données projet'!$A$62,$AF$205^A26,IF(A26='Données projet'!$A$62,'Données projet'!$B$62,AI25+AH26-AQ25)))</f>
        <v>111.44281790753115</v>
      </c>
      <c r="AJ26" s="13">
        <f>AI26*VLOOKUP('Données projet'!$B$10,Paramètres!$A$1:$I$89,3,0)*VLOOKUP('Données projet'!$B$10,Paramètres!$A$1:$I$89,5,0)</f>
        <v>66.642805108703627</v>
      </c>
      <c r="AK26" s="13">
        <f t="shared" si="35"/>
        <v>18.837378030609944</v>
      </c>
      <c r="AL26" s="20">
        <f t="shared" si="4"/>
        <v>148.87798563430445</v>
      </c>
      <c r="AM26" s="59">
        <f t="shared" si="5"/>
        <v>442.21131896763779</v>
      </c>
      <c r="AN26" s="59">
        <f ca="1">AVERAGE(OFFSET($AM$3,0,0,'Données projet'!$E$10+1,1))-AVERAGE(OFFSET($H$3,0,0,'Données projet'!$E$10+1,1))</f>
        <v>171.701352621833</v>
      </c>
      <c r="AO26" s="59">
        <f t="shared" si="36"/>
        <v>195.58435749168586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8.0399999999999991</v>
      </c>
      <c r="BD26" s="12">
        <f>IF('Données projet'!$A$88&gt;35,BD25+BC26-BL25,IF(A26&lt;'Données projet'!$A$88,$BA$205^A26,IF(A26='Données projet'!$A$88,'Données projet'!$B$88,BD25+BC26-BL25)))</f>
        <v>131.50442686375592</v>
      </c>
      <c r="BE26" s="13">
        <f>BD26*VLOOKUP('Données projet'!$B$11,Paramètres!$A$1:$I$89,3,0)*VLOOKUP('Données projet'!$B$11,Paramètres!$A$1:$I$89,5,0)</f>
        <v>68.38230196915309</v>
      </c>
      <c r="BF26" s="13">
        <f t="shared" si="37"/>
        <v>19.271181102073946</v>
      </c>
      <c r="BG26" s="20">
        <f t="shared" si="7"/>
        <v>152.66314968238711</v>
      </c>
      <c r="BH26" s="59">
        <f t="shared" si="8"/>
        <v>445.9964830157204</v>
      </c>
      <c r="BI26" s="59">
        <f ca="1">AVERAGE(OFFSET($BH$3,0,0,'Données projet'!$E$11+1,1))-AVERAGE(OFFSET($H$3,0,0,'Données projet'!$E$11+1,1))</f>
        <v>348.29124901999882</v>
      </c>
      <c r="BJ26" s="59">
        <f t="shared" si="38"/>
        <v>284.30034973939053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4.5468888888888888</v>
      </c>
      <c r="BY26" s="12">
        <f>IF('Données projet'!$A$114&gt;35,BY25+BX26-CG25,IF(A26&lt;'Données projet'!$A$114,$BV$205^A26,IF(A26='Données projet'!$A$114,'Données projet'!$B$114,BY25+BX26-CG25)))</f>
        <v>104.57844444444441</v>
      </c>
      <c r="BZ26" s="13">
        <f>BY26*VLOOKUP('Données projet'!$B$12,Paramètres!$A$1:$I$89,3,0)*VLOOKUP('Données projet'!$B$12,Paramètres!$A$1:$I$89,5,0)</f>
        <v>62.53790977777777</v>
      </c>
      <c r="CA26" s="13">
        <f t="shared" si="39"/>
        <v>17.808376924580436</v>
      </c>
      <c r="CB26" s="20">
        <f t="shared" si="10"/>
        <v>139.93644933994054</v>
      </c>
      <c r="CC26" s="59">
        <f t="shared" si="11"/>
        <v>433.26978267327388</v>
      </c>
      <c r="CD26" s="59">
        <f ca="1">AVERAGE(OFFSET($CC$3,0,0,'Données projet'!$E$12+1,1))-AVERAGE(OFFSET($H$3,0,0,'Données projet'!$E$12+1,1))</f>
        <v>185.82627135915504</v>
      </c>
      <c r="CE26" s="59">
        <f t="shared" si="40"/>
        <v>155.46126452522037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2.7230769230769232</v>
      </c>
      <c r="CT26" s="12">
        <f>IF('Données projet'!$A$140&gt;35,CT25+CS26-DB25,IF(A26&lt;'Données projet'!$A$140,$CQ$205^A26,IF(A26='Données projet'!$A$140,'Données projet'!$B$140,CT25+CS26-DB25)))</f>
        <v>42.323076923076904</v>
      </c>
      <c r="CU26" s="17">
        <f>CT26*VLOOKUP('Données projet'!$B$13,Paramètres!$A$1:$I$89,3,0)*VLOOKUP('Données projet'!$B$13,Paramètres!$A$1:$I$89,5,0)</f>
        <v>48.756184615384591</v>
      </c>
      <c r="CV26" s="13">
        <f t="shared" si="41"/>
        <v>14.292069489831601</v>
      </c>
      <c r="CW26" s="20">
        <f t="shared" si="13"/>
        <v>109.80904256658486</v>
      </c>
      <c r="CX26" s="59">
        <f t="shared" si="14"/>
        <v>403.14237589991819</v>
      </c>
      <c r="CY26" s="59">
        <f ca="1">AVERAGE(OFFSET($CX$3,0,0,'Données projet'!$E$13+1,1))-AVERAGE(OFFSET($H$3,0,0,'Données projet'!$E$13+1,1))</f>
        <v>150.78964413039063</v>
      </c>
      <c r="CZ26" s="59">
        <f t="shared" si="42"/>
        <v>131.90332435966184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0.81673294340930258</v>
      </c>
      <c r="DG26" s="21">
        <f>EXP(-LN(2)/25)*DG25+(1-EXP(-LN(2)/25))/(LN(2)/25)*Calculateur!DB26*Calculateur!DD26*VLOOKUP('Données projet'!$B$13,Paramètres!$A$1:$I$89,3,0)*0.475*44/12</f>
        <v>1.1520521664758145</v>
      </c>
      <c r="DH26" s="21">
        <f>EXP(-LN(2)/2)*DH25+(1-EXP(-LN(2)/2))/(LN(2)/2)*DB26*DE26*VLOOKUP('Données projet'!$B$13,Paramètres!$A$1:$I$89,3,0)*0.475*44/12</f>
        <v>0.65873719361030769</v>
      </c>
      <c r="DI26" s="22">
        <f t="shared" si="15"/>
        <v>2.6275223034954247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2.2435897435897436</v>
      </c>
      <c r="DO26" s="12">
        <f>IF('Données projet'!$A$166&gt;35,DO25+DN26-DW25,IF(A26&lt;'Données projet'!$A$166,$DL$205^A26,IF(A26='Données projet'!$A$166,'Données projet'!$B$166,DO25+DN26-DW25)))</f>
        <v>25.206716131243986</v>
      </c>
      <c r="DP26" s="17">
        <f>DO26*VLOOKUP('Données projet'!$B$14,Paramètres!$A$1:$I$89,3,0)*VLOOKUP('Données projet'!$B$14,Paramètres!$A$1:$I$89,5,0)</f>
        <v>26.346059700376216</v>
      </c>
      <c r="DQ26" s="13">
        <f t="shared" si="43"/>
        <v>8.2965289373768325</v>
      </c>
      <c r="DR26" s="20">
        <f t="shared" si="16"/>
        <v>60.335841877419888</v>
      </c>
      <c r="DS26" s="59">
        <f t="shared" si="17"/>
        <v>353.66917521075322</v>
      </c>
      <c r="DT26" s="59">
        <f ca="1">AVERAGE(OFFSET($DS$3,0,0,'Données projet'!$E$14+1,1))-AVERAGE(OFFSET($H$3,0,0,'Données projet'!$E$14+1,1))</f>
        <v>110.10595934547638</v>
      </c>
      <c r="DU26" s="59">
        <f t="shared" si="44"/>
        <v>131.10971921141493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3.3603333333333336</v>
      </c>
      <c r="EJ26" s="12">
        <f>IF('Données projet'!$A$192&gt;35,EJ25+EI26-ER25,IF(A26&lt;'Données projet'!$A$192,$EG$205^A26,IF(A26='Données projet'!$A$192,'Données projet'!$B$192,EJ25+EI26-ER25)))</f>
        <v>77.287666666666695</v>
      </c>
      <c r="EK26" s="17">
        <f>EJ26*VLOOKUP('Données projet'!$B$15,Paramètres!$A$1:$I$89,3,0)*VLOOKUP('Données projet'!$B$15,Paramètres!$A$1:$I$89,5,0)</f>
        <v>78.369694000000038</v>
      </c>
      <c r="EL26" s="13">
        <f t="shared" si="45"/>
        <v>21.738089431359974</v>
      </c>
      <c r="EM26" s="20">
        <f t="shared" si="19"/>
        <v>174.35438947628532</v>
      </c>
      <c r="EN26" s="59">
        <f t="shared" si="20"/>
        <v>467.68772280961866</v>
      </c>
      <c r="EO26" s="59">
        <f ca="1">AVERAGE(OFFSET($EN$3,0,0,'Données projet'!$E$15+1,1))-AVERAGE(OFFSET($H$3,0,0,'Données projet'!$E$15+1,1))</f>
        <v>420.38735944595965</v>
      </c>
      <c r="EP26" s="59">
        <f t="shared" si="46"/>
        <v>200.0823542414671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4.016578947368421</v>
      </c>
      <c r="FE26" s="12">
        <f>IF('Données projet'!$A$218&gt;35,FE25+FD26-FM25,IF(A26&lt;'Données projet'!$A$218,$FB$205^A26,IF(A26='Données projet'!$A$218,'Données projet'!$B$218,FE25+FD26-FM25)))</f>
        <v>92.381315789473661</v>
      </c>
      <c r="FF26" s="17">
        <f>FE26*VLOOKUP('Données projet'!$B$16,Paramètres!$A$1:$I$89,3,0)*VLOOKUP('Données projet'!$B$16,Paramètres!$A$1:$I$89,5,0)</f>
        <v>99.439248315789442</v>
      </c>
      <c r="FG26" s="13">
        <f t="shared" si="47"/>
        <v>26.828362502376191</v>
      </c>
      <c r="FH26" s="20">
        <f t="shared" si="22"/>
        <v>219.91608884163847</v>
      </c>
      <c r="FI26" s="59">
        <f t="shared" si="23"/>
        <v>513.24942217497176</v>
      </c>
      <c r="FJ26" s="59">
        <f ca="1">AVERAGE(OFFSET($FI$3,0,0,'Données projet'!$E$16+1,1))-AVERAGE(OFFSET($H$3,0,0,'Données projet'!$E$16+1,1))</f>
        <v>415.8741608506952</v>
      </c>
      <c r="FK26" s="59">
        <f t="shared" si="48"/>
        <v>259.15848913719356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4.016578947368421</v>
      </c>
      <c r="FZ26" s="12">
        <f>IF('Données projet'!$A$244&gt;35,FZ25+FY26-GH25,IF(A26&lt;'Données projet'!$A$244,$FW$205^A26,IF(A26='Données projet'!$A$244,'Données projet'!$B$244,FZ25+FY26-GH25)))</f>
        <v>92.381315789473661</v>
      </c>
      <c r="GA26" s="17">
        <f>FZ26*VLOOKUP('Données projet'!$B$17,Paramètres!$A$1:$I$89,3,0)*VLOOKUP('Données projet'!$B$17,Paramètres!$A$1:$I$89,5,0)</f>
        <v>79.263168947368413</v>
      </c>
      <c r="GB26" s="13">
        <f t="shared" si="49"/>
        <v>21.956928199832298</v>
      </c>
      <c r="GC26" s="20">
        <f t="shared" si="25"/>
        <v>176.29166919804121</v>
      </c>
      <c r="GD26" s="59">
        <f t="shared" si="26"/>
        <v>469.62500253137455</v>
      </c>
      <c r="GE26" s="59">
        <f ca="1">AVERAGE(OFFSET($GD$3,0,0,'Données projet'!$E$17+1,1))-AVERAGE(OFFSET($H$3,0,0,'Données projet'!$E$17+1,1))</f>
        <v>322.39807389980882</v>
      </c>
      <c r="GF26" s="59">
        <f t="shared" si="50"/>
        <v>202.59410055732792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27" s="11">
        <f t="shared" si="32"/>
        <v>3.1479452926301796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92.217402258899639</v>
      </c>
      <c r="H27" s="67">
        <f t="shared" si="1"/>
        <v>314.13988471799752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6.4429411764705877</v>
      </c>
      <c r="N27" s="13">
        <f>IF('Données projet'!$A$36&gt;35,N26+M27-V26,IF(A27&lt;'Données projet'!$A$36,$K$205^A27,IF(A27='Données projet'!$A$36,'Données projet'!$B$36,N26+M27-V26)))</f>
        <v>154.63058823529406</v>
      </c>
      <c r="O27" s="13">
        <f>N27*VLOOKUP('Données projet'!$B$9,Paramètres!$A$1:$I$89,3,0)*VLOOKUP('Données projet'!$B$9,Paramètres!$A$1:$I$89,5,0)</f>
        <v>72.36711529411761</v>
      </c>
      <c r="P27" s="13">
        <f t="shared" si="33"/>
        <v>20.260153113300689</v>
      </c>
      <c r="Q27" s="20">
        <f t="shared" si="2"/>
        <v>161.32582580958686</v>
      </c>
      <c r="R27" s="59">
        <f t="shared" si="0"/>
        <v>454.6591591429202</v>
      </c>
      <c r="S27" s="59">
        <f ca="1">AVERAGE(OFFSET($R$3,0,0,'Données projet'!$E$9+1,1))-AVERAGE(OFFSET($H$3,0,0,'Données projet'!$E$9+1,1))</f>
        <v>215.77907571824977</v>
      </c>
      <c r="T27" s="59">
        <f t="shared" si="34"/>
        <v>174.69390149594869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136.79</v>
      </c>
      <c r="AG27" s="12">
        <f>VLOOKUP(A27,'Données projet'!$A$61:$I$81,9,0)</f>
        <v>5.699583333333333</v>
      </c>
      <c r="AH27" s="12">
        <f t="array" ref="AH27">INDEX(AG:AG,MIN(IF(ISNUMBER(AG27:AG223),ROW(AG27:AG223),"")))</f>
        <v>5.699583333333333</v>
      </c>
      <c r="AI27" s="13">
        <f>IF('Données projet'!$A$62&gt;35,AI26+AH27-AQ26,IF(A27&lt;'Données projet'!$A$62,$AF$205^A27,IF(A27='Données projet'!$A$62,'Données projet'!$B$62,AI26+AH27-AQ26)))</f>
        <v>136.79</v>
      </c>
      <c r="AJ27" s="13">
        <f>AI27*VLOOKUP('Données projet'!$B$10,Paramètres!$A$1:$I$89,3,0)*VLOOKUP('Données projet'!$B$10,Paramètres!$A$1:$I$89,5,0)</f>
        <v>81.800420000000003</v>
      </c>
      <c r="AK27" s="13">
        <f t="shared" si="35"/>
        <v>22.576824358547178</v>
      </c>
      <c r="AL27" s="20">
        <f t="shared" si="4"/>
        <v>181.79036725780301</v>
      </c>
      <c r="AM27" s="59">
        <f t="shared" si="5"/>
        <v>475.1237005911363</v>
      </c>
      <c r="AN27" s="59">
        <f ca="1">AVERAGE(OFFSET($AM$3,0,0,'Données projet'!$E$10+1,1))-AVERAGE(OFFSET($H$3,0,0,'Données projet'!$E$10+1,1))</f>
        <v>171.701352621833</v>
      </c>
      <c r="AO27" s="59">
        <f t="shared" si="36"/>
        <v>195.58435749168586</v>
      </c>
      <c r="AP27" s="15">
        <f>IF(ISNA(VLOOKUP(A27,'Données projet'!$A$61:$I$81,3,0)),0,VLOOKUP(A27,'Données projet'!$A$61:$I$81,3,0))</f>
        <v>1</v>
      </c>
      <c r="AQ27" s="15">
        <f>IF(ISNA(VLOOKUP(A27,'Données projet'!$A$61:$I$81,4,0)),0,VLOOKUP(A27,'Données projet'!$A$61:$I$81,4,0))</f>
        <v>49.61999999999999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0.22500000000000001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8.821764507541543</v>
      </c>
      <c r="AW27" s="21">
        <f>EXP(-LN(2)/2)*AW26+(1-EXP(-LN(2)/2))/(LN(2)/2)*AQ27*AT27*VLOOKUP('Données projet'!$B$10,Paramètres!$A$1:$I$89,3,0)*0.475*44/12</f>
        <v>16.798228614375706</v>
      </c>
      <c r="AX27" s="21">
        <f t="shared" si="6"/>
        <v>25.619993121917247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8.0399999999999991</v>
      </c>
      <c r="BD27" s="12">
        <f>IF('Données projet'!$A$88&gt;35,BD26+BC27-BL26,IF(A27&lt;'Données projet'!$A$88,$BA$205^A27,IF(A27='Données projet'!$A$88,'Données projet'!$B$88,BD26+BC27-BL26)))</f>
        <v>162.58041025786275</v>
      </c>
      <c r="BE27" s="13">
        <f>BD27*VLOOKUP('Données projet'!$B$11,Paramètres!$A$1:$I$89,3,0)*VLOOKUP('Données projet'!$B$11,Paramètres!$A$1:$I$89,5,0)</f>
        <v>84.541813334088644</v>
      </c>
      <c r="BF27" s="13">
        <f t="shared" si="37"/>
        <v>23.244087101873806</v>
      </c>
      <c r="BG27" s="20">
        <f t="shared" si="7"/>
        <v>187.72710992596788</v>
      </c>
      <c r="BH27" s="59">
        <f t="shared" si="8"/>
        <v>481.06044325930122</v>
      </c>
      <c r="BI27" s="59">
        <f ca="1">AVERAGE(OFFSET($BH$3,0,0,'Données projet'!$E$11+1,1))-AVERAGE(OFFSET($H$3,0,0,'Données projet'!$E$11+1,1))</f>
        <v>348.29124901999882</v>
      </c>
      <c r="BJ27" s="59">
        <f t="shared" si="38"/>
        <v>284.30034973939053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4.5468888888888888</v>
      </c>
      <c r="BY27" s="12">
        <f>IF('Données projet'!$A$114&gt;35,BY26+BX27-CG26,IF(A27&lt;'Données projet'!$A$114,$BV$205^A27,IF(A27='Données projet'!$A$114,'Données projet'!$B$114,BY26+BX27-CG26)))</f>
        <v>109.1253333333333</v>
      </c>
      <c r="BZ27" s="13">
        <f>BY27*VLOOKUP('Données projet'!$B$12,Paramètres!$A$1:$I$89,3,0)*VLOOKUP('Données projet'!$B$12,Paramètres!$A$1:$I$89,5,0)</f>
        <v>65.256949333333324</v>
      </c>
      <c r="CA27" s="13">
        <f t="shared" si="39"/>
        <v>18.490824491845885</v>
      </c>
      <c r="CB27" s="20">
        <f t="shared" si="10"/>
        <v>145.86070607885378</v>
      </c>
      <c r="CC27" s="59">
        <f t="shared" si="11"/>
        <v>439.19403941218707</v>
      </c>
      <c r="CD27" s="59">
        <f ca="1">AVERAGE(OFFSET($CC$3,0,0,'Données projet'!$E$12+1,1))-AVERAGE(OFFSET($H$3,0,0,'Données projet'!$E$12+1,1))</f>
        <v>185.82627135915504</v>
      </c>
      <c r="CE27" s="59">
        <f t="shared" si="40"/>
        <v>155.46126452522037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2.7230769230769232</v>
      </c>
      <c r="CT27" s="12">
        <f>IF('Données projet'!$A$140&gt;35,CT26+CS27-DB26,IF(A27&lt;'Données projet'!$A$140,$CQ$205^A27,IF(A27='Données projet'!$A$140,'Données projet'!$B$140,CT26+CS27-DB26)))</f>
        <v>45.046153846153828</v>
      </c>
      <c r="CU27" s="17">
        <f>CT27*VLOOKUP('Données projet'!$B$13,Paramètres!$A$1:$I$89,3,0)*VLOOKUP('Données projet'!$B$13,Paramètres!$A$1:$I$89,5,0)</f>
        <v>51.893169230769203</v>
      </c>
      <c r="CV27" s="13">
        <f t="shared" si="41"/>
        <v>15.101616350429907</v>
      </c>
      <c r="CW27" s="20">
        <f t="shared" si="13"/>
        <v>116.68258488725512</v>
      </c>
      <c r="CX27" s="59">
        <f t="shared" si="14"/>
        <v>410.01591822058845</v>
      </c>
      <c r="CY27" s="59">
        <f ca="1">AVERAGE(OFFSET($CX$3,0,0,'Données projet'!$E$13+1,1))-AVERAGE(OFFSET($H$3,0,0,'Données projet'!$E$13+1,1))</f>
        <v>150.78964413039063</v>
      </c>
      <c r="CZ27" s="59">
        <f t="shared" si="42"/>
        <v>131.90332435966184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0.80071730854695267</v>
      </c>
      <c r="DG27" s="21">
        <f>EXP(-LN(2)/25)*DG26+(1-EXP(-LN(2)/25))/(LN(2)/25)*Calculateur!DB27*Calculateur!DD27*VLOOKUP('Données projet'!$B$13,Paramètres!$A$1:$I$89,3,0)*0.475*44/12</f>
        <v>1.1205492393997429</v>
      </c>
      <c r="DH27" s="21">
        <f>EXP(-LN(2)/2)*DH26+(1-EXP(-LN(2)/2))/(LN(2)/2)*DB27*DE27*VLOOKUP('Données projet'!$B$13,Paramètres!$A$1:$I$89,3,0)*0.475*44/12</f>
        <v>0.46579753662164425</v>
      </c>
      <c r="DI27" s="22">
        <f t="shared" si="15"/>
        <v>2.38706408456834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2.2435897435897436</v>
      </c>
      <c r="DO27" s="12">
        <f>IF('Données projet'!$A$166&gt;35,DO26+DN27-DW26,IF(A27&lt;'Données projet'!$A$166,$DL$205^A27,IF(A27='Données projet'!$A$166,'Données projet'!$B$166,DO26+DN27-DW26)))</f>
        <v>29.003590222999183</v>
      </c>
      <c r="DP27" s="17">
        <f>DO27*VLOOKUP('Données projet'!$B$14,Paramètres!$A$1:$I$89,3,0)*VLOOKUP('Données projet'!$B$14,Paramètres!$A$1:$I$89,5,0)</f>
        <v>30.314552501078751</v>
      </c>
      <c r="DQ27" s="13">
        <f t="shared" si="43"/>
        <v>9.3915879793841288</v>
      </c>
      <c r="DR27" s="20">
        <f t="shared" si="16"/>
        <v>69.154861336806178</v>
      </c>
      <c r="DS27" s="59">
        <f t="shared" si="17"/>
        <v>362.48819467013948</v>
      </c>
      <c r="DT27" s="59">
        <f ca="1">AVERAGE(OFFSET($DS$3,0,0,'Données projet'!$E$14+1,1))-AVERAGE(OFFSET($H$3,0,0,'Données projet'!$E$14+1,1))</f>
        <v>110.10595934547638</v>
      </c>
      <c r="DU27" s="59">
        <f t="shared" si="44"/>
        <v>131.10971921141493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3.3603333333333336</v>
      </c>
      <c r="EJ27" s="12">
        <f>IF('Données projet'!$A$192&gt;35,EJ26+EI27-ER26,IF(A27&lt;'Données projet'!$A$192,$EG$205^A27,IF(A27='Données projet'!$A$192,'Données projet'!$B$192,EJ26+EI27-ER26)))</f>
        <v>80.648000000000025</v>
      </c>
      <c r="EK27" s="17">
        <f>EJ27*VLOOKUP('Données projet'!$B$15,Paramètres!$A$1:$I$89,3,0)*VLOOKUP('Données projet'!$B$15,Paramètres!$A$1:$I$89,5,0)</f>
        <v>81.777072000000032</v>
      </c>
      <c r="EL27" s="13">
        <f t="shared" si="45"/>
        <v>22.571130326229738</v>
      </c>
      <c r="EM27" s="20">
        <f t="shared" si="19"/>
        <v>181.7397857181835</v>
      </c>
      <c r="EN27" s="59">
        <f t="shared" si="20"/>
        <v>475.07311905151681</v>
      </c>
      <c r="EO27" s="59">
        <f ca="1">AVERAGE(OFFSET($EN$3,0,0,'Données projet'!$E$15+1,1))-AVERAGE(OFFSET($H$3,0,0,'Données projet'!$E$15+1,1))</f>
        <v>420.38735944595965</v>
      </c>
      <c r="EP27" s="59">
        <f t="shared" si="46"/>
        <v>200.0823542414671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4.016578947368421</v>
      </c>
      <c r="FE27" s="12">
        <f>IF('Données projet'!$A$218&gt;35,FE26+FD27-FM26,IF(A27&lt;'Données projet'!$A$218,$FB$205^A27,IF(A27='Données projet'!$A$218,'Données projet'!$B$218,FE26+FD27-FM26)))</f>
        <v>96.397894736842076</v>
      </c>
      <c r="FF27" s="17">
        <f>FE27*VLOOKUP('Données projet'!$B$16,Paramètres!$A$1:$I$89,3,0)*VLOOKUP('Données projet'!$B$16,Paramètres!$A$1:$I$89,5,0)</f>
        <v>103.76269389473681</v>
      </c>
      <c r="FG27" s="13">
        <f t="shared" si="47"/>
        <v>27.856471397476621</v>
      </c>
      <c r="FH27" s="20">
        <f t="shared" si="22"/>
        <v>229.2367128839384</v>
      </c>
      <c r="FI27" s="59">
        <f t="shared" si="23"/>
        <v>522.57004621727174</v>
      </c>
      <c r="FJ27" s="59">
        <f ca="1">AVERAGE(OFFSET($FI$3,0,0,'Données projet'!$E$16+1,1))-AVERAGE(OFFSET($H$3,0,0,'Données projet'!$E$16+1,1))</f>
        <v>415.8741608506952</v>
      </c>
      <c r="FK27" s="59">
        <f t="shared" si="48"/>
        <v>259.15848913719356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4.016578947368421</v>
      </c>
      <c r="FZ27" s="12">
        <f>IF('Données projet'!$A$244&gt;35,FZ26+FY27-GH26,IF(A27&lt;'Données projet'!$A$244,$FW$205^A27,IF(A27='Données projet'!$A$244,'Données projet'!$B$244,FZ26+FY27-GH26)))</f>
        <v>96.397894736842076</v>
      </c>
      <c r="GA27" s="17">
        <f>FZ27*VLOOKUP('Données projet'!$B$17,Paramètres!$A$1:$I$89,3,0)*VLOOKUP('Données projet'!$B$17,Paramètres!$A$1:$I$89,5,0)</f>
        <v>82.709393684210511</v>
      </c>
      <c r="GB27" s="13">
        <f t="shared" si="49"/>
        <v>22.798355371890569</v>
      </c>
      <c r="GC27" s="20">
        <f t="shared" si="25"/>
        <v>183.75932960604268</v>
      </c>
      <c r="GD27" s="59">
        <f t="shared" si="26"/>
        <v>477.092662939376</v>
      </c>
      <c r="GE27" s="59">
        <f ca="1">AVERAGE(OFFSET($GD$3,0,0,'Données projet'!$E$17+1,1))-AVERAGE(OFFSET($H$3,0,0,'Données projet'!$E$17+1,1))</f>
        <v>322.39807389980882</v>
      </c>
      <c r="GF27" s="59">
        <f t="shared" si="50"/>
        <v>202.59410055732792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9.1649999999999991</v>
      </c>
      <c r="D28" s="11">
        <f t="shared" si="32"/>
        <v>3.2635653594744962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95.939802774890836</v>
      </c>
      <c r="H28" s="67">
        <f t="shared" si="1"/>
        <v>314.97975133441804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6.4429411764705877</v>
      </c>
      <c r="N28" s="13">
        <f>IF('Données projet'!$A$36&gt;35,N27+M28-V27,IF(A28&lt;'Données projet'!$A$36,$K$205^A28,IF(A28='Données projet'!$A$36,'Données projet'!$B$36,N27+M28-V27)))</f>
        <v>161.07352941176464</v>
      </c>
      <c r="O28" s="13">
        <f>N28*VLOOKUP('Données projet'!$B$9,Paramètres!$A$1:$I$89,3,0)*VLOOKUP('Données projet'!$B$9,Paramètres!$A$1:$I$89,5,0)</f>
        <v>75.38241176470585</v>
      </c>
      <c r="P28" s="13">
        <f t="shared" si="33"/>
        <v>21.004283026460243</v>
      </c>
      <c r="Q28" s="20">
        <f t="shared" si="2"/>
        <v>167.87349342794758</v>
      </c>
      <c r="R28" s="59">
        <f t="shared" si="0"/>
        <v>461.20682676128092</v>
      </c>
      <c r="S28" s="59">
        <f ca="1">AVERAGE(OFFSET($R$3,0,0,'Données projet'!$E$9+1,1))-AVERAGE(OFFSET($H$3,0,0,'Données projet'!$E$9+1,1))</f>
        <v>215.77907571824977</v>
      </c>
      <c r="T28" s="59">
        <f t="shared" si="34"/>
        <v>174.69390149594869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13.379999999999997</v>
      </c>
      <c r="AI28" s="13">
        <f>IF('Données projet'!$A$62&gt;35,AI27+AH28-AQ27,IF(A28&lt;'Données projet'!$A$62,$AF$205^A28,IF(A28='Données projet'!$A$62,'Données projet'!$B$62,AI27+AH28-AQ27)))</f>
        <v>100.55</v>
      </c>
      <c r="AJ28" s="13">
        <f>AI28*VLOOKUP('Données projet'!$B$10,Paramètres!$A$1:$I$89,3,0)*VLOOKUP('Données projet'!$B$10,Paramètres!$A$1:$I$89,5,0)</f>
        <v>60.128900000000002</v>
      </c>
      <c r="AK28" s="13">
        <f t="shared" si="35"/>
        <v>17.200854905166601</v>
      </c>
      <c r="AL28" s="20">
        <f t="shared" si="4"/>
        <v>134.6826564598318</v>
      </c>
      <c r="AM28" s="59">
        <f t="shared" si="5"/>
        <v>428.01598979316509</v>
      </c>
      <c r="AN28" s="59">
        <f ca="1">AVERAGE(OFFSET($AM$3,0,0,'Données projet'!$E$10+1,1))-AVERAGE(OFFSET($H$3,0,0,'Données projet'!$E$10+1,1))</f>
        <v>171.701352621833</v>
      </c>
      <c r="AO28" s="59">
        <f t="shared" si="36"/>
        <v>195.58435749168586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8.5805328931663869</v>
      </c>
      <c r="AW28" s="21">
        <f>EXP(-LN(2)/2)*AW27+(1-EXP(-LN(2)/2))/(LN(2)/2)*AQ28*AT28*VLOOKUP('Données projet'!$B$10,Paramètres!$A$1:$I$89,3,0)*0.475*44/12</f>
        <v>11.878141365146965</v>
      </c>
      <c r="AX28" s="21">
        <f t="shared" si="6"/>
        <v>20.458674258313351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201</v>
      </c>
      <c r="BB28" s="12">
        <f>VLOOKUP(A28,'Données projet'!$A$87:$I$107,9,0)</f>
        <v>8.0399999999999991</v>
      </c>
      <c r="BC28" s="12">
        <f t="array" ref="BC28">INDEX(BB:BB,MIN(IF(ISNUMBER(BB28:BB224),ROW(BB28:BB224),"")))</f>
        <v>8.0399999999999991</v>
      </c>
      <c r="BD28" s="12">
        <f>IF('Données projet'!$A$88&gt;35,BD27+BC28-BL27,IF(A28&lt;'Données projet'!$A$88,$BA$205^A28,IF(A28='Données projet'!$A$88,'Données projet'!$B$88,BD27+BC28-BL27)))</f>
        <v>201</v>
      </c>
      <c r="BE28" s="13">
        <f>BD28*VLOOKUP('Données projet'!$B$11,Paramètres!$A$1:$I$89,3,0)*VLOOKUP('Données projet'!$B$11,Paramètres!$A$1:$I$89,5,0)</f>
        <v>104.52000000000001</v>
      </c>
      <c r="BF28" s="13">
        <f t="shared" si="37"/>
        <v>28.036039012748962</v>
      </c>
      <c r="BG28" s="20">
        <f t="shared" si="7"/>
        <v>230.86843461387113</v>
      </c>
      <c r="BH28" s="59">
        <f t="shared" si="8"/>
        <v>524.20176794720442</v>
      </c>
      <c r="BI28" s="59">
        <f ca="1">AVERAGE(OFFSET($BH$3,0,0,'Données projet'!$E$11+1,1))-AVERAGE(OFFSET($H$3,0,0,'Données projet'!$E$11+1,1))</f>
        <v>348.29124901999882</v>
      </c>
      <c r="BJ28" s="59">
        <f t="shared" si="38"/>
        <v>284.30034973939053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42</v>
      </c>
      <c r="BM28" s="16">
        <f>IF(ISNA(VLOOKUP(A28,'Données projet'!$A$87:$I$107,5,0)),0%,VLOOKUP(A28,'Données projet'!$A$87:$I$107,5,0)*VLOOKUP('Données projet'!$B$11,Paramètres!$A$1:$I$89,7,0))</f>
        <v>0.13750000000000001</v>
      </c>
      <c r="BN28" s="16">
        <f>IF(ISNA(VLOOKUP(A28,'Données projet'!$A$87:$I$107,6,0)),0%,VLOOKUP(A28,'Données projet'!$A$87:$I$107,6,0)*VLOOKUP('Données projet'!$B$11,Paramètres!$A$1:$I$89,7,0))</f>
        <v>0.20350000000000001</v>
      </c>
      <c r="BO28" s="16">
        <f>IF(ISNA(VLOOKUP(A28,'Données projet'!$A$87:$I$107,7,0)),0%,VLOOKUP(A28,'Données projet'!$A$87:$I$107,7,0))</f>
        <v>0.38</v>
      </c>
      <c r="BP28" s="21">
        <f>EXP(-LN(2)/35)*BP27+(1-EXP(-LN(2)/35))/(LN(2)/35)*BL28*BM28*VLOOKUP('Données projet'!$B$11,Paramètres!$A$1:$I$89,3,0)*0.475*44/12</f>
        <v>3.9836730596849397</v>
      </c>
      <c r="BQ28" s="21">
        <f>EXP(-LN(2)/25)*BQ27+(1-EXP(-LN(2)/25))/(LN(2)/25)*Calculateur!BL28*Calculateur!BN28*VLOOKUP('Données projet'!$B$11,Paramètres!$A$1:$I$89,3,0)*0.475*44/12</f>
        <v>5.8726219750067736</v>
      </c>
      <c r="BR28" s="21">
        <f>EXP(-LN(2)/2)*BR27+(1-EXP(-LN(2)/2))/(LN(2)/2)*BL28*BO28*VLOOKUP('Données projet'!$B$11,Paramètres!$A$1:$I$89,3,0)*0.475*44/12</f>
        <v>9.3966222836316451</v>
      </c>
      <c r="BS28" s="22">
        <f t="shared" si="9"/>
        <v>19.252917318323359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4.5468888888888888</v>
      </c>
      <c r="BY28" s="12">
        <f>IF('Données projet'!$A$114&gt;35,BY27+BX28-CG27,IF(A28&lt;'Données projet'!$A$114,$BV$205^A28,IF(A28='Données projet'!$A$114,'Données projet'!$B$114,BY27+BX28-CG27)))</f>
        <v>113.67222222222219</v>
      </c>
      <c r="BZ28" s="13">
        <f>BY28*VLOOKUP('Données projet'!$B$12,Paramètres!$A$1:$I$89,3,0)*VLOOKUP('Données projet'!$B$12,Paramètres!$A$1:$I$89,5,0)</f>
        <v>67.975988888888878</v>
      </c>
      <c r="CA28" s="13">
        <f t="shared" si="39"/>
        <v>19.169969192600018</v>
      </c>
      <c r="CB28" s="20">
        <f t="shared" si="10"/>
        <v>151.77921032525984</v>
      </c>
      <c r="CC28" s="59">
        <f t="shared" si="11"/>
        <v>445.11254365859315</v>
      </c>
      <c r="CD28" s="59">
        <f ca="1">AVERAGE(OFFSET($CC$3,0,0,'Données projet'!$E$12+1,1))-AVERAGE(OFFSET($H$3,0,0,'Données projet'!$E$12+1,1))</f>
        <v>185.82627135915504</v>
      </c>
      <c r="CE28" s="59">
        <f t="shared" si="40"/>
        <v>155.46126452522037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2.7230769230769232</v>
      </c>
      <c r="CT28" s="12">
        <f>IF('Données projet'!$A$140&gt;35,CT27+CS28-DB27,IF(A28&lt;'Données projet'!$A$140,$CQ$205^A28,IF(A28='Données projet'!$A$140,'Données projet'!$B$140,CT27+CS28-DB27)))</f>
        <v>47.769230769230752</v>
      </c>
      <c r="CU28" s="17">
        <f>CT28*VLOOKUP('Données projet'!$B$13,Paramètres!$A$1:$I$89,3,0)*VLOOKUP('Données projet'!$B$13,Paramètres!$A$1:$I$89,5,0)</f>
        <v>55.030153846153823</v>
      </c>
      <c r="CV28" s="13">
        <f t="shared" si="41"/>
        <v>15.90548319753923</v>
      </c>
      <c r="CW28" s="20">
        <f t="shared" si="13"/>
        <v>123.5462345177654</v>
      </c>
      <c r="CX28" s="59">
        <f t="shared" si="14"/>
        <v>416.87956785109873</v>
      </c>
      <c r="CY28" s="59">
        <f ca="1">AVERAGE(OFFSET($CX$3,0,0,'Données projet'!$E$13+1,1))-AVERAGE(OFFSET($H$3,0,0,'Données projet'!$E$13+1,1))</f>
        <v>150.78964413039063</v>
      </c>
      <c r="CZ28" s="59">
        <f t="shared" si="42"/>
        <v>131.90332435966184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0.78501573051568074</v>
      </c>
      <c r="DG28" s="21">
        <f>EXP(-LN(2)/25)*DG27+(1-EXP(-LN(2)/25))/(LN(2)/25)*Calculateur!DB28*Calculateur!DD28*VLOOKUP('Données projet'!$B$13,Paramètres!$A$1:$I$89,3,0)*0.475*44/12</f>
        <v>1.0899077615212336</v>
      </c>
      <c r="DH28" s="21">
        <f>EXP(-LN(2)/2)*DH27+(1-EXP(-LN(2)/2))/(LN(2)/2)*DB28*DE28*VLOOKUP('Données projet'!$B$13,Paramètres!$A$1:$I$89,3,0)*0.475*44/12</f>
        <v>0.3293685968051539</v>
      </c>
      <c r="DI28" s="22">
        <f t="shared" si="15"/>
        <v>2.2042920888420681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2.2435897435897436</v>
      </c>
      <c r="DO28" s="12">
        <f>IF('Données projet'!$A$166&gt;35,DO27+DN28-DW27,IF(A28&lt;'Données projet'!$A$166,$DL$205^A28,IF(A28='Données projet'!$A$166,'Données projet'!$B$166,DO27+DN28-DW27)))</f>
        <v>33.372385416796419</v>
      </c>
      <c r="DP28" s="17">
        <f>DO28*VLOOKUP('Données projet'!$B$14,Paramètres!$A$1:$I$89,3,0)*VLOOKUP('Données projet'!$B$14,Paramètres!$A$1:$I$89,5,0)</f>
        <v>34.880817237635625</v>
      </c>
      <c r="DQ28" s="13">
        <f t="shared" si="43"/>
        <v>10.631183889102406</v>
      </c>
      <c r="DR28" s="20">
        <f t="shared" si="16"/>
        <v>79.266735295735387</v>
      </c>
      <c r="DS28" s="59">
        <f t="shared" si="17"/>
        <v>372.60006862906869</v>
      </c>
      <c r="DT28" s="59">
        <f ca="1">AVERAGE(OFFSET($DS$3,0,0,'Données projet'!$E$14+1,1))-AVERAGE(OFFSET($H$3,0,0,'Données projet'!$E$14+1,1))</f>
        <v>110.10595934547638</v>
      </c>
      <c r="DU28" s="59">
        <f t="shared" si="44"/>
        <v>131.10971921141493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3.3603333333333336</v>
      </c>
      <c r="EJ28" s="12">
        <f>IF('Données projet'!$A$192&gt;35,EJ27+EI28-ER27,IF(A28&lt;'Données projet'!$A$192,$EG$205^A28,IF(A28='Données projet'!$A$192,'Données projet'!$B$192,EJ27+EI28-ER27)))</f>
        <v>84.008333333333354</v>
      </c>
      <c r="EK28" s="17">
        <f>EJ28*VLOOKUP('Données projet'!$B$15,Paramètres!$A$1:$I$89,3,0)*VLOOKUP('Données projet'!$B$15,Paramètres!$A$1:$I$89,5,0)</f>
        <v>85.184450000000027</v>
      </c>
      <c r="EL28" s="13">
        <f t="shared" si="45"/>
        <v>23.400139522539501</v>
      </c>
      <c r="EM28" s="20">
        <f t="shared" si="19"/>
        <v>189.1181600850897</v>
      </c>
      <c r="EN28" s="59">
        <f t="shared" si="20"/>
        <v>482.45149341842301</v>
      </c>
      <c r="EO28" s="59">
        <f ca="1">AVERAGE(OFFSET($EN$3,0,0,'Données projet'!$E$15+1,1))-AVERAGE(OFFSET($H$3,0,0,'Données projet'!$E$15+1,1))</f>
        <v>420.38735944595965</v>
      </c>
      <c r="EP28" s="59">
        <f t="shared" si="46"/>
        <v>200.0823542414671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4.016578947368421</v>
      </c>
      <c r="FE28" s="12">
        <f>IF('Données projet'!$A$218&gt;35,FE27+FD28-FM27,IF(A28&lt;'Données projet'!$A$218,$FB$205^A28,IF(A28='Données projet'!$A$218,'Données projet'!$B$218,FE27+FD28-FM27)))</f>
        <v>100.41447368421049</v>
      </c>
      <c r="FF28" s="17">
        <f>FE28*VLOOKUP('Données projet'!$B$16,Paramètres!$A$1:$I$89,3,0)*VLOOKUP('Données projet'!$B$16,Paramètres!$A$1:$I$89,5,0)</f>
        <v>108.08613947368417</v>
      </c>
      <c r="FG28" s="13">
        <f t="shared" si="47"/>
        <v>28.879604516264717</v>
      </c>
      <c r="FH28" s="20">
        <f t="shared" si="22"/>
        <v>238.54867078249427</v>
      </c>
      <c r="FI28" s="59">
        <f t="shared" si="23"/>
        <v>531.88200411582761</v>
      </c>
      <c r="FJ28" s="59">
        <f ca="1">AVERAGE(OFFSET($FI$3,0,0,'Données projet'!$E$16+1,1))-AVERAGE(OFFSET($H$3,0,0,'Données projet'!$E$16+1,1))</f>
        <v>415.8741608506952</v>
      </c>
      <c r="FK28" s="59">
        <f t="shared" si="48"/>
        <v>259.15848913719356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4.016578947368421</v>
      </c>
      <c r="FZ28" s="12">
        <f>IF('Données projet'!$A$244&gt;35,FZ27+FY28-GH27,IF(A28&lt;'Données projet'!$A$244,$FW$205^A28,IF(A28='Données projet'!$A$244,'Données projet'!$B$244,FZ27+FY28-GH27)))</f>
        <v>100.41447368421049</v>
      </c>
      <c r="GA28" s="17">
        <f>FZ28*VLOOKUP('Données projet'!$B$17,Paramètres!$A$1:$I$89,3,0)*VLOOKUP('Données projet'!$B$17,Paramètres!$A$1:$I$89,5,0)</f>
        <v>86.155618421052608</v>
      </c>
      <c r="GB28" s="13">
        <f t="shared" si="49"/>
        <v>23.635710258015692</v>
      </c>
      <c r="GC28" s="20">
        <f t="shared" si="25"/>
        <v>191.2198974493773</v>
      </c>
      <c r="GD28" s="59">
        <f t="shared" si="26"/>
        <v>484.55323078271061</v>
      </c>
      <c r="GE28" s="59">
        <f ca="1">AVERAGE(OFFSET($GD$3,0,0,'Données projet'!$E$17+1,1))-AVERAGE(OFFSET($H$3,0,0,'Données projet'!$E$17+1,1))</f>
        <v>322.39807389980882</v>
      </c>
      <c r="GF28" s="59">
        <f t="shared" si="50"/>
        <v>202.59410055732792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29" s="11">
        <f t="shared" si="32"/>
        <v>3.3786481992658062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99.658056275034298</v>
      </c>
      <c r="H29" s="67">
        <f t="shared" si="1"/>
        <v>315.81868228038792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6.4429411764705877</v>
      </c>
      <c r="N29" s="13">
        <f>IF('Données projet'!$A$36&gt;35,N28+M29-V28,IF(A29&lt;'Données projet'!$A$36,$K$205^A29,IF(A29='Données projet'!$A$36,'Données projet'!$B$36,N28+M29-V28)))</f>
        <v>167.51647058823522</v>
      </c>
      <c r="O29" s="13">
        <f>N29*VLOOKUP('Données projet'!$B$9,Paramètres!$A$1:$I$89,3,0)*VLOOKUP('Données projet'!$B$9,Paramètres!$A$1:$I$89,5,0)</f>
        <v>78.39770823529409</v>
      </c>
      <c r="P29" s="13">
        <f t="shared" si="33"/>
        <v>21.744955350195998</v>
      </c>
      <c r="Q29" s="20">
        <f t="shared" si="2"/>
        <v>174.41513907806188</v>
      </c>
      <c r="R29" s="59">
        <f t="shared" si="0"/>
        <v>467.7484724113952</v>
      </c>
      <c r="S29" s="59">
        <f ca="1">AVERAGE(OFFSET($R$3,0,0,'Données projet'!$E$9+1,1))-AVERAGE(OFFSET($H$3,0,0,'Données projet'!$E$9+1,1))</f>
        <v>215.77907571824977</v>
      </c>
      <c r="T29" s="59">
        <f t="shared" si="34"/>
        <v>174.69390149594869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13.379999999999997</v>
      </c>
      <c r="AI29" s="13">
        <f>IF('Données projet'!$A$62&gt;35,AI28+AH29-AQ28,IF(A29&lt;'Données projet'!$A$62,$AF$205^A29,IF(A29='Données projet'!$A$62,'Données projet'!$B$62,AI28+AH29-AQ28)))</f>
        <v>113.92999999999999</v>
      </c>
      <c r="AJ29" s="13">
        <f>AI29*VLOOKUP('Données projet'!$B$10,Paramètres!$A$1:$I$89,3,0)*VLOOKUP('Données projet'!$B$10,Paramètres!$A$1:$I$89,5,0)</f>
        <v>68.130140000000011</v>
      </c>
      <c r="AK29" s="13">
        <f t="shared" si="35"/>
        <v>19.208376244552774</v>
      </c>
      <c r="AL29" s="20">
        <f t="shared" si="4"/>
        <v>152.11458245926272</v>
      </c>
      <c r="AM29" s="59">
        <f t="shared" si="5"/>
        <v>445.44791579259606</v>
      </c>
      <c r="AN29" s="59">
        <f ca="1">AVERAGE(OFFSET($AM$3,0,0,'Données projet'!$E$10+1,1))-AVERAGE(OFFSET($H$3,0,0,'Données projet'!$E$10+1,1))</f>
        <v>171.701352621833</v>
      </c>
      <c r="AO29" s="59">
        <f t="shared" si="36"/>
        <v>195.58435749168586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8.3458977699721384</v>
      </c>
      <c r="AW29" s="21">
        <f>EXP(-LN(2)/2)*AW28+(1-EXP(-LN(2)/2))/(LN(2)/2)*AQ29*AT29*VLOOKUP('Données projet'!$B$10,Paramètres!$A$1:$I$89,3,0)*0.475*44/12</f>
        <v>8.3991143071878547</v>
      </c>
      <c r="AX29" s="21">
        <f t="shared" si="6"/>
        <v>16.745012077159991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22.6</v>
      </c>
      <c r="BD29" s="12">
        <f>IF('Données projet'!$A$88&gt;35,BD28+BC29-BL28,IF(A29&lt;'Données projet'!$A$88,$BA$205^A29,IF(A29='Données projet'!$A$88,'Données projet'!$B$88,BD28+BC29-BL28)))</f>
        <v>181.6</v>
      </c>
      <c r="BE29" s="13">
        <f>BD29*VLOOKUP('Données projet'!$B$11,Paramètres!$A$1:$I$89,3,0)*VLOOKUP('Données projet'!$B$11,Paramètres!$A$1:$I$89,5,0)</f>
        <v>94.432000000000002</v>
      </c>
      <c r="BF29" s="13">
        <f t="shared" si="37"/>
        <v>25.631107919879334</v>
      </c>
      <c r="BG29" s="20">
        <f t="shared" si="7"/>
        <v>209.10991296045651</v>
      </c>
      <c r="BH29" s="59">
        <f t="shared" si="8"/>
        <v>502.4432462937898</v>
      </c>
      <c r="BI29" s="59">
        <f ca="1">AVERAGE(OFFSET($BH$3,0,0,'Données projet'!$E$11+1,1))-AVERAGE(OFFSET($H$3,0,0,'Données projet'!$E$11+1,1))</f>
        <v>348.29124901999882</v>
      </c>
      <c r="BJ29" s="59">
        <f t="shared" si="38"/>
        <v>284.30034973939053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3.9055556607851614</v>
      </c>
      <c r="BQ29" s="21">
        <f>EXP(-LN(2)/25)*BQ28+(1-EXP(-LN(2)/25))/(LN(2)/25)*Calculateur!BL29*Calculateur!BN29*VLOOKUP('Données projet'!$B$11,Paramètres!$A$1:$I$89,3,0)*0.475*44/12</f>
        <v>5.7120348182724454</v>
      </c>
      <c r="BR29" s="21">
        <f>EXP(-LN(2)/2)*BR28+(1-EXP(-LN(2)/2))/(LN(2)/2)*BL29*BO29*VLOOKUP('Données projet'!$B$11,Paramètres!$A$1:$I$89,3,0)*0.475*44/12</f>
        <v>6.6444153370045589</v>
      </c>
      <c r="BS29" s="22">
        <f t="shared" si="9"/>
        <v>16.262005816062167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4.5468888888888888</v>
      </c>
      <c r="BY29" s="12">
        <f>IF('Données projet'!$A$114&gt;35,BY28+BX29-CG28,IF(A29&lt;'Données projet'!$A$114,$BV$205^A29,IF(A29='Données projet'!$A$114,'Données projet'!$B$114,BY28+BX29-CG28)))</f>
        <v>118.21911111111108</v>
      </c>
      <c r="BZ29" s="13">
        <f>BY29*VLOOKUP('Données projet'!$B$12,Paramètres!$A$1:$I$89,3,0)*VLOOKUP('Données projet'!$B$12,Paramètres!$A$1:$I$89,5,0)</f>
        <v>70.695028444444418</v>
      </c>
      <c r="CA29" s="13">
        <f t="shared" si="39"/>
        <v>19.84595825682749</v>
      </c>
      <c r="CB29" s="20">
        <f t="shared" si="10"/>
        <v>157.69221850471524</v>
      </c>
      <c r="CC29" s="59">
        <f t="shared" si="11"/>
        <v>451.02555183804856</v>
      </c>
      <c r="CD29" s="59">
        <f ca="1">AVERAGE(OFFSET($CC$3,0,0,'Données projet'!$E$12+1,1))-AVERAGE(OFFSET($H$3,0,0,'Données projet'!$E$12+1,1))</f>
        <v>185.82627135915504</v>
      </c>
      <c r="CE29" s="59">
        <f t="shared" si="40"/>
        <v>155.46126452522037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2.7230769230769232</v>
      </c>
      <c r="CT29" s="12">
        <f>IF('Données projet'!$A$140&gt;35,CT28+CS29-DB28,IF(A29&lt;'Données projet'!$A$140,$CQ$205^A29,IF(A29='Données projet'!$A$140,'Données projet'!$B$140,CT28+CS29-DB28)))</f>
        <v>50.492307692307676</v>
      </c>
      <c r="CU29" s="17">
        <f>CT29*VLOOKUP('Données projet'!$B$13,Paramètres!$A$1:$I$89,3,0)*VLOOKUP('Données projet'!$B$13,Paramètres!$A$1:$I$89,5,0)</f>
        <v>58.167138461538435</v>
      </c>
      <c r="CV29" s="13">
        <f t="shared" si="41"/>
        <v>16.70403071325542</v>
      </c>
      <c r="CW29" s="20">
        <f t="shared" si="13"/>
        <v>130.4006196460993</v>
      </c>
      <c r="CX29" s="59">
        <f t="shared" si="14"/>
        <v>423.73395297943262</v>
      </c>
      <c r="CY29" s="59">
        <f ca="1">AVERAGE(OFFSET($CX$3,0,0,'Données projet'!$E$13+1,1))-AVERAGE(OFFSET($H$3,0,0,'Données projet'!$E$13+1,1))</f>
        <v>150.78964413039063</v>
      </c>
      <c r="CZ29" s="59">
        <f t="shared" si="42"/>
        <v>131.90332435966184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0.76962205085258506</v>
      </c>
      <c r="DG29" s="21">
        <f>EXP(-LN(2)/25)*DG28+(1-EXP(-LN(2)/25))/(LN(2)/25)*Calculateur!DB29*Calculateur!DD29*VLOOKUP('Données projet'!$B$13,Paramètres!$A$1:$I$89,3,0)*0.475*44/12</f>
        <v>1.0601041764666772</v>
      </c>
      <c r="DH29" s="21">
        <f>EXP(-LN(2)/2)*DH28+(1-EXP(-LN(2)/2))/(LN(2)/2)*DB29*DE29*VLOOKUP('Données projet'!$B$13,Paramètres!$A$1:$I$89,3,0)*0.475*44/12</f>
        <v>0.23289876831082218</v>
      </c>
      <c r="DI29" s="22">
        <f t="shared" si="15"/>
        <v>2.0626249956300846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2.2435897435897436</v>
      </c>
      <c r="DO29" s="12">
        <f>IF('Données projet'!$A$166&gt;35,DO28+DN29-DW28,IF(A29&lt;'Données projet'!$A$166,$DL$205^A29,IF(A29='Données projet'!$A$166,'Données projet'!$B$166,DO28+DN29-DW28)))</f>
        <v>38.399249880590808</v>
      </c>
      <c r="DP29" s="17">
        <f>DO29*VLOOKUP('Données projet'!$B$14,Paramètres!$A$1:$I$89,3,0)*VLOOKUP('Données projet'!$B$14,Paramètres!$A$1:$I$89,5,0)</f>
        <v>40.134895975193515</v>
      </c>
      <c r="DQ29" s="13">
        <f t="shared" si="43"/>
        <v>12.034394090968426</v>
      </c>
      <c r="DR29" s="20">
        <f t="shared" si="16"/>
        <v>90.861513531898709</v>
      </c>
      <c r="DS29" s="59">
        <f t="shared" si="17"/>
        <v>384.19484686523202</v>
      </c>
      <c r="DT29" s="59">
        <f ca="1">AVERAGE(OFFSET($DS$3,0,0,'Données projet'!$E$14+1,1))-AVERAGE(OFFSET($H$3,0,0,'Données projet'!$E$14+1,1))</f>
        <v>110.10595934547638</v>
      </c>
      <c r="DU29" s="59">
        <f t="shared" si="44"/>
        <v>131.10971921141493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3.3603333333333336</v>
      </c>
      <c r="EJ29" s="12">
        <f>IF('Données projet'!$A$192&gt;35,EJ28+EI29-ER28,IF(A29&lt;'Données projet'!$A$192,$EG$205^A29,IF(A29='Données projet'!$A$192,'Données projet'!$B$192,EJ28+EI29-ER28)))</f>
        <v>87.368666666666684</v>
      </c>
      <c r="EK29" s="17">
        <f>EJ29*VLOOKUP('Données projet'!$B$15,Paramètres!$A$1:$I$89,3,0)*VLOOKUP('Données projet'!$B$15,Paramètres!$A$1:$I$89,5,0)</f>
        <v>88.591828000000021</v>
      </c>
      <c r="EL29" s="13">
        <f t="shared" si="45"/>
        <v>24.225296739001799</v>
      </c>
      <c r="EM29" s="20">
        <f t="shared" si="19"/>
        <v>196.48982558709483</v>
      </c>
      <c r="EN29" s="59">
        <f t="shared" si="20"/>
        <v>489.82315892042811</v>
      </c>
      <c r="EO29" s="59">
        <f ca="1">AVERAGE(OFFSET($EN$3,0,0,'Données projet'!$E$15+1,1))-AVERAGE(OFFSET($H$3,0,0,'Données projet'!$E$15+1,1))</f>
        <v>420.38735944595965</v>
      </c>
      <c r="EP29" s="59">
        <f t="shared" si="46"/>
        <v>200.0823542414671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4.016578947368421</v>
      </c>
      <c r="FE29" s="12">
        <f>IF('Données projet'!$A$218&gt;35,FE28+FD29-FM28,IF(A29&lt;'Données projet'!$A$218,$FB$205^A29,IF(A29='Données projet'!$A$218,'Données projet'!$B$218,FE28+FD29-FM28)))</f>
        <v>104.43105263157891</v>
      </c>
      <c r="FF29" s="17">
        <f>FE29*VLOOKUP('Données projet'!$B$16,Paramètres!$A$1:$I$89,3,0)*VLOOKUP('Données projet'!$B$16,Paramètres!$A$1:$I$89,5,0)</f>
        <v>112.40958505263153</v>
      </c>
      <c r="FG29" s="13">
        <f t="shared" si="47"/>
        <v>29.897983661065066</v>
      </c>
      <c r="FH29" s="20">
        <f t="shared" si="22"/>
        <v>247.85234884302153</v>
      </c>
      <c r="FI29" s="59">
        <f t="shared" si="23"/>
        <v>541.18568217635482</v>
      </c>
      <c r="FJ29" s="59">
        <f ca="1">AVERAGE(OFFSET($FI$3,0,0,'Données projet'!$E$16+1,1))-AVERAGE(OFFSET($H$3,0,0,'Données projet'!$E$16+1,1))</f>
        <v>415.8741608506952</v>
      </c>
      <c r="FK29" s="59">
        <f t="shared" si="48"/>
        <v>259.15848913719356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4.016578947368421</v>
      </c>
      <c r="FZ29" s="12">
        <f>IF('Données projet'!$A$244&gt;35,FZ28+FY29-GH28,IF(A29&lt;'Données projet'!$A$244,$FW$205^A29,IF(A29='Données projet'!$A$244,'Données projet'!$B$244,FZ28+FY29-GH28)))</f>
        <v>104.43105263157891</v>
      </c>
      <c r="GA29" s="17">
        <f>FZ29*VLOOKUP('Données projet'!$B$17,Paramètres!$A$1:$I$89,3,0)*VLOOKUP('Données projet'!$B$17,Paramètres!$A$1:$I$89,5,0)</f>
        <v>89.60184315789472</v>
      </c>
      <c r="GB29" s="13">
        <f t="shared" si="49"/>
        <v>24.469174386160201</v>
      </c>
      <c r="GC29" s="20">
        <f t="shared" si="25"/>
        <v>198.67368888922897</v>
      </c>
      <c r="GD29" s="59">
        <f t="shared" si="26"/>
        <v>492.00702222256228</v>
      </c>
      <c r="GE29" s="59">
        <f ca="1">AVERAGE(OFFSET($GD$3,0,0,'Données projet'!$E$17+1,1))-AVERAGE(OFFSET($H$3,0,0,'Données projet'!$E$17+1,1))</f>
        <v>322.39807389980882</v>
      </c>
      <c r="GF29" s="59">
        <f t="shared" si="50"/>
        <v>202.59410055732792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9.8981999999999992</v>
      </c>
      <c r="D30" s="11">
        <f t="shared" si="32"/>
        <v>3.493216839708992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103.37234051705188</v>
      </c>
      <c r="H30" s="67">
        <f t="shared" si="1"/>
        <v>316.65671766249312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6.4429411764705877</v>
      </c>
      <c r="N30" s="13">
        <f>IF('Données projet'!$A$36&gt;35,N29+M30-V29,IF(A30&lt;'Données projet'!$A$36,$K$205^A30,IF(A30='Données projet'!$A$36,'Données projet'!$B$36,N29+M30-V29)))</f>
        <v>173.95941176470581</v>
      </c>
      <c r="O30" s="13">
        <f>N30*VLOOKUP('Données projet'!$B$9,Paramètres!$A$1:$I$89,3,0)*VLOOKUP('Données projet'!$B$9,Paramètres!$A$1:$I$89,5,0)</f>
        <v>81.413004705882315</v>
      </c>
      <c r="P30" s="13">
        <f t="shared" si="33"/>
        <v>22.48231829064984</v>
      </c>
      <c r="Q30" s="20">
        <f t="shared" si="2"/>
        <v>180.95102088562683</v>
      </c>
      <c r="R30" s="59">
        <f t="shared" si="0"/>
        <v>474.28435421896017</v>
      </c>
      <c r="S30" s="59">
        <f ca="1">AVERAGE(OFFSET($R$3,0,0,'Données projet'!$E$9+1,1))-AVERAGE(OFFSET($H$3,0,0,'Données projet'!$E$9+1,1))</f>
        <v>215.77907571824977</v>
      </c>
      <c r="T30" s="59">
        <f t="shared" si="34"/>
        <v>174.69390149594869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13.379999999999997</v>
      </c>
      <c r="AI30" s="13">
        <f>IF('Données projet'!$A$62&gt;35,AI29+AH30-AQ29,IF(A30&lt;'Données projet'!$A$62,$AF$205^A30,IF(A30='Données projet'!$A$62,'Données projet'!$B$62,AI29+AH30-AQ29)))</f>
        <v>127.30999999999999</v>
      </c>
      <c r="AJ30" s="13">
        <f>AI30*VLOOKUP('Données projet'!$B$10,Paramètres!$A$1:$I$89,3,0)*VLOOKUP('Données projet'!$B$10,Paramètres!$A$1:$I$89,5,0)</f>
        <v>76.131379999999993</v>
      </c>
      <c r="AK30" s="13">
        <f t="shared" si="35"/>
        <v>21.188575101613203</v>
      </c>
      <c r="AL30" s="20">
        <f t="shared" si="4"/>
        <v>169.49892180197631</v>
      </c>
      <c r="AM30" s="59">
        <f t="shared" si="5"/>
        <v>462.83225513530965</v>
      </c>
      <c r="AN30" s="59">
        <f ca="1">AVERAGE(OFFSET($AM$3,0,0,'Données projet'!$E$10+1,1))-AVERAGE(OFFSET($H$3,0,0,'Données projet'!$E$10+1,1))</f>
        <v>171.701352621833</v>
      </c>
      <c r="AO30" s="59">
        <f t="shared" si="36"/>
        <v>195.58435749168586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8.1176787565605615</v>
      </c>
      <c r="AW30" s="21">
        <f>EXP(-LN(2)/2)*AW29+(1-EXP(-LN(2)/2))/(LN(2)/2)*AQ30*AT30*VLOOKUP('Données projet'!$B$10,Paramètres!$A$1:$I$89,3,0)*0.475*44/12</f>
        <v>5.9390706825734831</v>
      </c>
      <c r="AX30" s="21">
        <f t="shared" si="6"/>
        <v>14.056749439134045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22.6</v>
      </c>
      <c r="BD30" s="12">
        <f>IF('Données projet'!$A$88&gt;35,BD29+BC30-BL29,IF(A30&lt;'Données projet'!$A$88,$BA$205^A30,IF(A30='Données projet'!$A$88,'Données projet'!$B$88,BD29+BC30-BL29)))</f>
        <v>204.2</v>
      </c>
      <c r="BE30" s="13">
        <f>BD30*VLOOKUP('Données projet'!$B$11,Paramètres!$A$1:$I$89,3,0)*VLOOKUP('Données projet'!$B$11,Paramètres!$A$1:$I$89,5,0)</f>
        <v>106.18400000000001</v>
      </c>
      <c r="BF30" s="13">
        <f t="shared" si="37"/>
        <v>28.430066083908567</v>
      </c>
      <c r="BG30" s="20">
        <f t="shared" si="7"/>
        <v>234.45283176280745</v>
      </c>
      <c r="BH30" s="59">
        <f t="shared" si="8"/>
        <v>527.78616509614073</v>
      </c>
      <c r="BI30" s="59">
        <f ca="1">AVERAGE(OFFSET($BH$3,0,0,'Données projet'!$E$11+1,1))-AVERAGE(OFFSET($H$3,0,0,'Données projet'!$E$11+1,1))</f>
        <v>348.29124901999882</v>
      </c>
      <c r="BJ30" s="59">
        <f t="shared" si="38"/>
        <v>284.30034973939053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3.8289700964308993</v>
      </c>
      <c r="BQ30" s="21">
        <f>EXP(-LN(2)/25)*BQ29+(1-EXP(-LN(2)/25))/(LN(2)/25)*Calculateur!BL30*Calculateur!BN30*VLOOKUP('Données projet'!$B$11,Paramètres!$A$1:$I$89,3,0)*0.475*44/12</f>
        <v>5.5558389257839291</v>
      </c>
      <c r="BR30" s="21">
        <f>EXP(-LN(2)/2)*BR29+(1-EXP(-LN(2)/2))/(LN(2)/2)*BL30*BO30*VLOOKUP('Données projet'!$B$11,Paramètres!$A$1:$I$89,3,0)*0.475*44/12</f>
        <v>4.6983111418158234</v>
      </c>
      <c r="BS30" s="22">
        <f t="shared" si="9"/>
        <v>14.083120164030651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4.5468888888888888</v>
      </c>
      <c r="BY30" s="12">
        <f>IF('Données projet'!$A$114&gt;35,BY29+BX30-CG29,IF(A30&lt;'Données projet'!$A$114,$BV$205^A30,IF(A30='Données projet'!$A$114,'Données projet'!$B$114,BY29+BX30-CG29)))</f>
        <v>122.76599999999996</v>
      </c>
      <c r="BZ30" s="13">
        <f>BY30*VLOOKUP('Données projet'!$B$12,Paramètres!$A$1:$I$89,3,0)*VLOOKUP('Données projet'!$B$12,Paramètres!$A$1:$I$89,5,0)</f>
        <v>73.414067999999986</v>
      </c>
      <c r="CA30" s="13">
        <f t="shared" si="39"/>
        <v>20.518926947758693</v>
      </c>
      <c r="CB30" s="20">
        <f t="shared" si="10"/>
        <v>163.59996620067969</v>
      </c>
      <c r="CC30" s="59">
        <f t="shared" si="11"/>
        <v>456.93329953401303</v>
      </c>
      <c r="CD30" s="59">
        <f ca="1">AVERAGE(OFFSET($CC$3,0,0,'Données projet'!$E$12+1,1))-AVERAGE(OFFSET($H$3,0,0,'Données projet'!$E$12+1,1))</f>
        <v>185.82627135915504</v>
      </c>
      <c r="CE30" s="59">
        <f t="shared" si="40"/>
        <v>155.46126452522037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2.7230769230769232</v>
      </c>
      <c r="CT30" s="12">
        <f>IF('Données projet'!$A$140&gt;35,CT29+CS30-DB29,IF(A30&lt;'Données projet'!$A$140,$CQ$205^A30,IF(A30='Données projet'!$A$140,'Données projet'!$B$140,CT29+CS30-DB29)))</f>
        <v>53.2153846153846</v>
      </c>
      <c r="CU30" s="17">
        <f>CT30*VLOOKUP('Données projet'!$B$13,Paramètres!$A$1:$I$89,3,0)*VLOOKUP('Données projet'!$B$13,Paramètres!$A$1:$I$89,5,0)</f>
        <v>61.304123076923055</v>
      </c>
      <c r="CV30" s="13">
        <f t="shared" si="41"/>
        <v>17.497578478923295</v>
      </c>
      <c r="CW30" s="20">
        <f t="shared" si="13"/>
        <v>137.24629687643241</v>
      </c>
      <c r="CX30" s="59">
        <f t="shared" si="14"/>
        <v>430.5796302097657</v>
      </c>
      <c r="CY30" s="59">
        <f ca="1">AVERAGE(OFFSET($CX$3,0,0,'Données projet'!$E$13+1,1))-AVERAGE(OFFSET($H$3,0,0,'Données projet'!$E$13+1,1))</f>
        <v>150.78964413039063</v>
      </c>
      <c r="CZ30" s="59">
        <f t="shared" si="42"/>
        <v>131.90332435966184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0.75453023185846524</v>
      </c>
      <c r="DG30" s="21">
        <f>EXP(-LN(2)/25)*DG29+(1-EXP(-LN(2)/25))/(LN(2)/25)*Calculateur!DB30*Calculateur!DD30*VLOOKUP('Données projet'!$B$13,Paramètres!$A$1:$I$89,3,0)*0.475*44/12</f>
        <v>1.0311155720127403</v>
      </c>
      <c r="DH30" s="21">
        <f>EXP(-LN(2)/2)*DH29+(1-EXP(-LN(2)/2))/(LN(2)/2)*DB30*DE30*VLOOKUP('Données projet'!$B$13,Paramètres!$A$1:$I$89,3,0)*0.475*44/12</f>
        <v>0.16468429840257698</v>
      </c>
      <c r="DI30" s="22">
        <f t="shared" si="15"/>
        <v>1.9503301022737825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2.2435897435897436</v>
      </c>
      <c r="DO30" s="12">
        <f>IF('Données projet'!$A$166&gt;35,DO29+DN30-DW29,IF(A30&lt;'Données projet'!$A$166,$DL$205^A30,IF(A30='Données projet'!$A$166,'Données projet'!$B$166,DO29+DN30-DW29)))</f>
        <v>44.183308234536099</v>
      </c>
      <c r="DP30" s="17">
        <f>DO30*VLOOKUP('Données projet'!$B$14,Paramètres!$A$1:$I$89,3,0)*VLOOKUP('Données projet'!$B$14,Paramètres!$A$1:$I$89,5,0)</f>
        <v>46.18039376673714</v>
      </c>
      <c r="DQ30" s="13">
        <f t="shared" si="43"/>
        <v>13.622814039101691</v>
      </c>
      <c r="DR30" s="20">
        <f t="shared" si="16"/>
        <v>104.15725359516928</v>
      </c>
      <c r="DS30" s="59">
        <f t="shared" si="17"/>
        <v>397.49058692850258</v>
      </c>
      <c r="DT30" s="59">
        <f ca="1">AVERAGE(OFFSET($DS$3,0,0,'Données projet'!$E$14+1,1))-AVERAGE(OFFSET($H$3,0,0,'Données projet'!$E$14+1,1))</f>
        <v>110.10595934547638</v>
      </c>
      <c r="DU30" s="59">
        <f t="shared" si="44"/>
        <v>131.10971921141493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3.3603333333333336</v>
      </c>
      <c r="EJ30" s="12">
        <f>IF('Données projet'!$A$192&gt;35,EJ29+EI30-ER29,IF(A30&lt;'Données projet'!$A$192,$EG$205^A30,IF(A30='Données projet'!$A$192,'Données projet'!$B$192,EJ29+EI30-ER29)))</f>
        <v>90.729000000000013</v>
      </c>
      <c r="EK30" s="17">
        <f>EJ30*VLOOKUP('Données projet'!$B$15,Paramètres!$A$1:$I$89,3,0)*VLOOKUP('Données projet'!$B$15,Paramètres!$A$1:$I$89,5,0)</f>
        <v>91.999206000000029</v>
      </c>
      <c r="EL30" s="13">
        <f t="shared" si="45"/>
        <v>25.046767086912915</v>
      </c>
      <c r="EM30" s="20">
        <f t="shared" si="19"/>
        <v>203.85506979304003</v>
      </c>
      <c r="EN30" s="59">
        <f t="shared" si="20"/>
        <v>497.18840312637337</v>
      </c>
      <c r="EO30" s="59">
        <f ca="1">AVERAGE(OFFSET($EN$3,0,0,'Données projet'!$E$15+1,1))-AVERAGE(OFFSET($H$3,0,0,'Données projet'!$E$15+1,1))</f>
        <v>420.38735944595965</v>
      </c>
      <c r="EP30" s="59">
        <f t="shared" si="46"/>
        <v>200.0823542414671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4.016578947368421</v>
      </c>
      <c r="FE30" s="12">
        <f>IF('Données projet'!$A$218&gt;35,FE29+FD30-FM29,IF(A30&lt;'Données projet'!$A$218,$FB$205^A30,IF(A30='Données projet'!$A$218,'Données projet'!$B$218,FE29+FD30-FM29)))</f>
        <v>108.44763157894732</v>
      </c>
      <c r="FF30" s="17">
        <f>FE30*VLOOKUP('Données projet'!$B$16,Paramètres!$A$1:$I$89,3,0)*VLOOKUP('Données projet'!$B$16,Paramètres!$A$1:$I$89,5,0)</f>
        <v>116.7330306315789</v>
      </c>
      <c r="FG30" s="13">
        <f t="shared" si="47"/>
        <v>30.911812606258344</v>
      </c>
      <c r="FH30" s="20">
        <f t="shared" si="22"/>
        <v>257.14810197256651</v>
      </c>
      <c r="FI30" s="59">
        <f t="shared" si="23"/>
        <v>550.48143530589982</v>
      </c>
      <c r="FJ30" s="59">
        <f ca="1">AVERAGE(OFFSET($FI$3,0,0,'Données projet'!$E$16+1,1))-AVERAGE(OFFSET($H$3,0,0,'Données projet'!$E$16+1,1))</f>
        <v>415.8741608506952</v>
      </c>
      <c r="FK30" s="59">
        <f t="shared" si="48"/>
        <v>259.15848913719356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4.016578947368421</v>
      </c>
      <c r="FZ30" s="12">
        <f>IF('Données projet'!$A$244&gt;35,FZ29+FY30-GH29,IF(A30&lt;'Données projet'!$A$244,$FW$205^A30,IF(A30='Données projet'!$A$244,'Données projet'!$B$244,FZ29+FY30-GH29)))</f>
        <v>108.44763157894732</v>
      </c>
      <c r="GA30" s="17">
        <f>FZ30*VLOOKUP('Données projet'!$B$17,Paramètres!$A$1:$I$89,3,0)*VLOOKUP('Données projet'!$B$17,Paramètres!$A$1:$I$89,5,0)</f>
        <v>93.048067894736818</v>
      </c>
      <c r="GB30" s="13">
        <f t="shared" si="49"/>
        <v>25.298914529806645</v>
      </c>
      <c r="GC30" s="20">
        <f t="shared" si="25"/>
        <v>206.1209943894132</v>
      </c>
      <c r="GD30" s="59">
        <f t="shared" si="26"/>
        <v>499.45432772274648</v>
      </c>
      <c r="GE30" s="59">
        <f ca="1">AVERAGE(OFFSET($GD$3,0,0,'Données projet'!$E$17+1,1))-AVERAGE(OFFSET($H$3,0,0,'Données projet'!$E$17+1,1))</f>
        <v>322.39807389980882</v>
      </c>
      <c r="GF30" s="59">
        <f t="shared" si="50"/>
        <v>202.59410055732792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31" s="11">
        <f t="shared" si="32"/>
        <v>3.6072925061053467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107.08281934537462</v>
      </c>
      <c r="H31" s="67">
        <f t="shared" si="1"/>
        <v>317.49389444813346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6.4429411764705877</v>
      </c>
      <c r="N31" s="13">
        <f>IF('Données projet'!$A$36&gt;35,N30+M31-V30,IF(A31&lt;'Données projet'!$A$36,$K$205^A31,IF(A31='Données projet'!$A$36,'Données projet'!$B$36,N30+M31-V30)))</f>
        <v>180.40235294117639</v>
      </c>
      <c r="O31" s="13">
        <f>N31*VLOOKUP('Données projet'!$B$9,Paramètres!$A$1:$I$89,3,0)*VLOOKUP('Données projet'!$B$9,Paramètres!$A$1:$I$89,5,0)</f>
        <v>84.428301176470555</v>
      </c>
      <c r="P31" s="13">
        <f t="shared" si="33"/>
        <v>23.216508453707245</v>
      </c>
      <c r="Q31" s="20">
        <f t="shared" si="2"/>
        <v>187.48137677255966</v>
      </c>
      <c r="R31" s="59">
        <f t="shared" si="0"/>
        <v>480.81471010589297</v>
      </c>
      <c r="S31" s="59">
        <f ca="1">AVERAGE(OFFSET($R$3,0,0,'Données projet'!$E$9+1,1))-AVERAGE(OFFSET($H$3,0,0,'Données projet'!$E$9+1,1))</f>
        <v>215.77907571824977</v>
      </c>
      <c r="T31" s="59">
        <f t="shared" si="34"/>
        <v>174.69390149594869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13.379999999999997</v>
      </c>
      <c r="AI31" s="13">
        <f>IF('Données projet'!$A$62&gt;35,AI30+AH31-AQ30,IF(A31&lt;'Données projet'!$A$62,$AF$205^A31,IF(A31='Données projet'!$A$62,'Données projet'!$B$62,AI30+AH31-AQ30)))</f>
        <v>140.69</v>
      </c>
      <c r="AJ31" s="13">
        <f>AI31*VLOOKUP('Données projet'!$B$10,Paramètres!$A$1:$I$89,3,0)*VLOOKUP('Données projet'!$B$10,Paramètres!$A$1:$I$89,5,0)</f>
        <v>84.132620000000003</v>
      </c>
      <c r="AK31" s="13">
        <f t="shared" si="35"/>
        <v>23.144650165495708</v>
      </c>
      <c r="AL31" s="20">
        <f t="shared" si="4"/>
        <v>186.84124553823835</v>
      </c>
      <c r="AM31" s="59">
        <f t="shared" si="5"/>
        <v>480.17457887157167</v>
      </c>
      <c r="AN31" s="59">
        <f ca="1">AVERAGE(OFFSET($AM$3,0,0,'Données projet'!$E$10+1,1))-AVERAGE(OFFSET($H$3,0,0,'Données projet'!$E$10+1,1))</f>
        <v>171.701352621833</v>
      </c>
      <c r="AO31" s="59">
        <f t="shared" si="36"/>
        <v>195.58435749168586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7.8957004040722403</v>
      </c>
      <c r="AW31" s="21">
        <f>EXP(-LN(2)/2)*AW30+(1-EXP(-LN(2)/2))/(LN(2)/2)*AQ31*AT31*VLOOKUP('Données projet'!$B$10,Paramètres!$A$1:$I$89,3,0)*0.475*44/12</f>
        <v>4.1995571535939273</v>
      </c>
      <c r="AX31" s="21">
        <f t="shared" si="6"/>
        <v>12.095257557666168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22.6</v>
      </c>
      <c r="BD31" s="12">
        <f>IF('Données projet'!$A$88&gt;35,BD30+BC31-BL30,IF(A31&lt;'Données projet'!$A$88,$BA$205^A31,IF(A31='Données projet'!$A$88,'Données projet'!$B$88,BD30+BC31-BL30)))</f>
        <v>226.79999999999998</v>
      </c>
      <c r="BE31" s="13">
        <f>BD31*VLOOKUP('Données projet'!$B$11,Paramètres!$A$1:$I$89,3,0)*VLOOKUP('Données projet'!$B$11,Paramètres!$A$1:$I$89,5,0)</f>
        <v>117.93600000000001</v>
      </c>
      <c r="BF31" s="13">
        <f t="shared" si="37"/>
        <v>31.1931201812605</v>
      </c>
      <c r="BG31" s="20">
        <f t="shared" si="7"/>
        <v>259.73321764902869</v>
      </c>
      <c r="BH31" s="59">
        <f t="shared" si="8"/>
        <v>553.06655098236206</v>
      </c>
      <c r="BI31" s="59">
        <f ca="1">AVERAGE(OFFSET($BH$3,0,0,'Données projet'!$E$11+1,1))-AVERAGE(OFFSET($H$3,0,0,'Données projet'!$E$11+1,1))</f>
        <v>348.29124901999882</v>
      </c>
      <c r="BJ31" s="59">
        <f t="shared" si="38"/>
        <v>284.30034973939053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3.7538863282810424</v>
      </c>
      <c r="BQ31" s="21">
        <f>EXP(-LN(2)/25)*BQ30+(1-EXP(-LN(2)/25))/(LN(2)/25)*Calculateur!BL31*Calculateur!BN31*VLOOKUP('Données projet'!$B$11,Paramètres!$A$1:$I$89,3,0)*0.475*44/12</f>
        <v>5.4039142181894961</v>
      </c>
      <c r="BR31" s="21">
        <f>EXP(-LN(2)/2)*BR30+(1-EXP(-LN(2)/2))/(LN(2)/2)*BL31*BO31*VLOOKUP('Données projet'!$B$11,Paramètres!$A$1:$I$89,3,0)*0.475*44/12</f>
        <v>3.3222076685022799</v>
      </c>
      <c r="BS31" s="22">
        <f t="shared" si="9"/>
        <v>12.480008214972818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4.5468888888888888</v>
      </c>
      <c r="BY31" s="12">
        <f>IF('Données projet'!$A$114&gt;35,BY30+BX31-CG30,IF(A31&lt;'Données projet'!$A$114,$BV$205^A31,IF(A31='Données projet'!$A$114,'Données projet'!$B$114,BY30+BX31-CG30)))</f>
        <v>127.31288888888885</v>
      </c>
      <c r="BZ31" s="13">
        <f>BY31*VLOOKUP('Données projet'!$B$12,Paramètres!$A$1:$I$89,3,0)*VLOOKUP('Données projet'!$B$12,Paramètres!$A$1:$I$89,5,0)</f>
        <v>76.13310755555554</v>
      </c>
      <c r="CA31" s="13">
        <f t="shared" si="39"/>
        <v>21.188999941423358</v>
      </c>
      <c r="CB31" s="20">
        <f t="shared" si="10"/>
        <v>169.50267055723825</v>
      </c>
      <c r="CC31" s="59">
        <f t="shared" si="11"/>
        <v>462.83600389057153</v>
      </c>
      <c r="CD31" s="59">
        <f ca="1">AVERAGE(OFFSET($CC$3,0,0,'Données projet'!$E$12+1,1))-AVERAGE(OFFSET($H$3,0,0,'Données projet'!$E$12+1,1))</f>
        <v>185.82627135915504</v>
      </c>
      <c r="CE31" s="59">
        <f t="shared" si="40"/>
        <v>155.46126452522037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2.7230769230769232</v>
      </c>
      <c r="CT31" s="12">
        <f>IF('Données projet'!$A$140&gt;35,CT30+CS31-DB30,IF(A31&lt;'Données projet'!$A$140,$CQ$205^A31,IF(A31='Données projet'!$A$140,'Données projet'!$B$140,CT30+CS31-DB30)))</f>
        <v>55.938461538461524</v>
      </c>
      <c r="CU31" s="17">
        <f>CT31*VLOOKUP('Données projet'!$B$13,Paramètres!$A$1:$I$89,3,0)*VLOOKUP('Données projet'!$B$13,Paramètres!$A$1:$I$89,5,0)</f>
        <v>64.441107692307668</v>
      </c>
      <c r="CV31" s="13">
        <f t="shared" si="41"/>
        <v>18.286411521986583</v>
      </c>
      <c r="CW31" s="20">
        <f t="shared" si="13"/>
        <v>144.08376263156248</v>
      </c>
      <c r="CX31" s="59">
        <f t="shared" si="14"/>
        <v>437.41709596489579</v>
      </c>
      <c r="CY31" s="59">
        <f ca="1">AVERAGE(OFFSET($CX$3,0,0,'Données projet'!$E$13+1,1))-AVERAGE(OFFSET($H$3,0,0,'Données projet'!$E$13+1,1))</f>
        <v>150.78964413039063</v>
      </c>
      <c r="CZ31" s="59">
        <f t="shared" si="42"/>
        <v>131.90332435966184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0.73973435422971945</v>
      </c>
      <c r="DG31" s="21">
        <f>EXP(-LN(2)/25)*DG30+(1-EXP(-LN(2)/25))/(LN(2)/25)*Calculateur!DB31*Calculateur!DD31*VLOOKUP('Données projet'!$B$13,Paramètres!$A$1:$I$89,3,0)*0.475*44/12</f>
        <v>1.0029196624720407</v>
      </c>
      <c r="DH31" s="21">
        <f>EXP(-LN(2)/2)*DH30+(1-EXP(-LN(2)/2))/(LN(2)/2)*DB31*DE31*VLOOKUP('Données projet'!$B$13,Paramètres!$A$1:$I$89,3,0)*0.475*44/12</f>
        <v>0.1164493841554111</v>
      </c>
      <c r="DI31" s="22">
        <f t="shared" si="15"/>
        <v>1.8591034008571712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2.2435897435897436</v>
      </c>
      <c r="DO31" s="12">
        <f>IF('Données projet'!$A$166&gt;35,DO30+DN31-DW30,IF(A31&lt;'Données projet'!$A$166,$DL$205^A31,IF(A31='Données projet'!$A$166,'Données projet'!$B$166,DO30+DN31-DW30)))</f>
        <v>50.83861618699904</v>
      </c>
      <c r="DP31" s="17">
        <f>DO31*VLOOKUP('Données projet'!$B$14,Paramètres!$A$1:$I$89,3,0)*VLOOKUP('Données projet'!$B$14,Paramètres!$A$1:$I$89,5,0)</f>
        <v>53.136521638651402</v>
      </c>
      <c r="DQ31" s="13">
        <f t="shared" si="43"/>
        <v>15.420889572099087</v>
      </c>
      <c r="DR31" s="20">
        <f t="shared" si="16"/>
        <v>119.40415785872376</v>
      </c>
      <c r="DS31" s="59">
        <f t="shared" si="17"/>
        <v>412.73749119205706</v>
      </c>
      <c r="DT31" s="59">
        <f ca="1">AVERAGE(OFFSET($DS$3,0,0,'Données projet'!$E$14+1,1))-AVERAGE(OFFSET($H$3,0,0,'Données projet'!$E$14+1,1))</f>
        <v>110.10595934547638</v>
      </c>
      <c r="DU31" s="59">
        <f t="shared" si="44"/>
        <v>131.10971921141493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3.3603333333333336</v>
      </c>
      <c r="EJ31" s="12">
        <f>IF('Données projet'!$A$192&gt;35,EJ30+EI31-ER30,IF(A31&lt;'Données projet'!$A$192,$EG$205^A31,IF(A31='Données projet'!$A$192,'Données projet'!$B$192,EJ30+EI31-ER30)))</f>
        <v>94.089333333333343</v>
      </c>
      <c r="EK31" s="17">
        <f>EJ31*VLOOKUP('Données projet'!$B$15,Paramètres!$A$1:$I$89,3,0)*VLOOKUP('Données projet'!$B$15,Paramètres!$A$1:$I$89,5,0)</f>
        <v>95.406584000000024</v>
      </c>
      <c r="EL31" s="13">
        <f t="shared" si="45"/>
        <v>25.864702754127851</v>
      </c>
      <c r="EM31" s="20">
        <f t="shared" si="19"/>
        <v>211.21415776343937</v>
      </c>
      <c r="EN31" s="59">
        <f t="shared" si="20"/>
        <v>504.54749109677266</v>
      </c>
      <c r="EO31" s="59">
        <f ca="1">AVERAGE(OFFSET($EN$3,0,0,'Données projet'!$E$15+1,1))-AVERAGE(OFFSET($H$3,0,0,'Données projet'!$E$15+1,1))</f>
        <v>420.38735944595965</v>
      </c>
      <c r="EP31" s="59">
        <f t="shared" si="46"/>
        <v>200.0823542414671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4.016578947368421</v>
      </c>
      <c r="FE31" s="12">
        <f>IF('Données projet'!$A$218&gt;35,FE30+FD31-FM30,IF(A31&lt;'Données projet'!$A$218,$FB$205^A31,IF(A31='Données projet'!$A$218,'Données projet'!$B$218,FE30+FD31-FM30)))</f>
        <v>112.46421052631574</v>
      </c>
      <c r="FF31" s="17">
        <f>FE31*VLOOKUP('Données projet'!$B$16,Paramètres!$A$1:$I$89,3,0)*VLOOKUP('Données projet'!$B$16,Paramètres!$A$1:$I$89,5,0)</f>
        <v>121.05647621052626</v>
      </c>
      <c r="FG31" s="13">
        <f t="shared" si="47"/>
        <v>31.921279176582079</v>
      </c>
      <c r="FH31" s="20">
        <f t="shared" si="22"/>
        <v>266.43625729921371</v>
      </c>
      <c r="FI31" s="59">
        <f t="shared" si="23"/>
        <v>559.76959063254708</v>
      </c>
      <c r="FJ31" s="59">
        <f ca="1">AVERAGE(OFFSET($FI$3,0,0,'Données projet'!$E$16+1,1))-AVERAGE(OFFSET($H$3,0,0,'Données projet'!$E$16+1,1))</f>
        <v>415.8741608506952</v>
      </c>
      <c r="FK31" s="59">
        <f t="shared" si="48"/>
        <v>259.15848913719356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4.016578947368421</v>
      </c>
      <c r="FZ31" s="12">
        <f>IF('Données projet'!$A$244&gt;35,FZ30+FY31-GH30,IF(A31&lt;'Données projet'!$A$244,$FW$205^A31,IF(A31='Données projet'!$A$244,'Données projet'!$B$244,FZ30+FY31-GH30)))</f>
        <v>112.46421052631574</v>
      </c>
      <c r="GA31" s="17">
        <f>FZ31*VLOOKUP('Données projet'!$B$17,Paramètres!$A$1:$I$89,3,0)*VLOOKUP('Données projet'!$B$17,Paramètres!$A$1:$I$89,5,0)</f>
        <v>96.494292631578915</v>
      </c>
      <c r="GB31" s="13">
        <f t="shared" si="49"/>
        <v>26.125084408895095</v>
      </c>
      <c r="GC31" s="20">
        <f t="shared" si="25"/>
        <v>213.56208167882559</v>
      </c>
      <c r="GD31" s="59">
        <f t="shared" si="26"/>
        <v>506.89541501215888</v>
      </c>
      <c r="GE31" s="59">
        <f ca="1">AVERAGE(OFFSET($GD$3,0,0,'Données projet'!$E$17+1,1))-AVERAGE(OFFSET($H$3,0,0,'Données projet'!$E$17+1,1))</f>
        <v>322.39807389980882</v>
      </c>
      <c r="GF31" s="59">
        <f t="shared" si="50"/>
        <v>202.59410055732792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10.631399999999999</v>
      </c>
      <c r="D32" s="11">
        <f t="shared" si="32"/>
        <v>3.7208948217184883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110.78964423782692</v>
      </c>
      <c r="H32" s="67">
        <f t="shared" si="1"/>
        <v>318.33024681449302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6.4429411764705877</v>
      </c>
      <c r="N32" s="13">
        <f>IF('Données projet'!$A$36&gt;35,N31+M32-V31,IF(A32&lt;'Données projet'!$A$36,$K$205^A32,IF(A32='Données projet'!$A$36,'Données projet'!$B$36,N31+M32-V31)))</f>
        <v>186.84529411764697</v>
      </c>
      <c r="O32" s="13">
        <f>N32*VLOOKUP('Données projet'!$B$9,Paramètres!$A$1:$I$89,3,0)*VLOOKUP('Données projet'!$B$9,Paramètres!$A$1:$I$89,5,0)</f>
        <v>87.443597647058795</v>
      </c>
      <c r="P32" s="13">
        <f t="shared" si="33"/>
        <v>23.947652134550808</v>
      </c>
      <c r="Q32" s="20">
        <f t="shared" si="2"/>
        <v>194.00642670297006</v>
      </c>
      <c r="R32" s="59">
        <f t="shared" si="0"/>
        <v>487.33976003630335</v>
      </c>
      <c r="S32" s="59">
        <f ca="1">AVERAGE(OFFSET($R$3,0,0,'Données projet'!$E$9+1,1))-AVERAGE(OFFSET($H$3,0,0,'Données projet'!$E$9+1,1))</f>
        <v>215.77907571824977</v>
      </c>
      <c r="T32" s="59">
        <f t="shared" si="34"/>
        <v>174.69390149594869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13.379999999999997</v>
      </c>
      <c r="AI32" s="13">
        <f>IF('Données projet'!$A$62&gt;35,AI31+AH32-AQ31,IF(A32&lt;'Données projet'!$A$62,$AF$205^A32,IF(A32='Données projet'!$A$62,'Données projet'!$B$62,AI31+AH32-AQ31)))</f>
        <v>154.07</v>
      </c>
      <c r="AJ32" s="13">
        <f>AI32*VLOOKUP('Données projet'!$B$10,Paramètres!$A$1:$I$89,3,0)*VLOOKUP('Données projet'!$B$10,Paramètres!$A$1:$I$89,5,0)</f>
        <v>92.133860000000013</v>
      </c>
      <c r="AK32" s="13">
        <f t="shared" si="35"/>
        <v>25.07915668715065</v>
      </c>
      <c r="AL32" s="20">
        <f t="shared" si="4"/>
        <v>204.14600406345403</v>
      </c>
      <c r="AM32" s="59">
        <f t="shared" si="5"/>
        <v>497.47933739678734</v>
      </c>
      <c r="AN32" s="59">
        <f ca="1">AVERAGE(OFFSET($AM$3,0,0,'Données projet'!$E$10+1,1))-AVERAGE(OFFSET($H$3,0,0,'Données projet'!$E$10+1,1))</f>
        <v>171.701352621833</v>
      </c>
      <c r="AO32" s="59">
        <f t="shared" si="36"/>
        <v>195.58435749168586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7.6797920613060464</v>
      </c>
      <c r="AW32" s="21">
        <f>EXP(-LN(2)/2)*AW31+(1-EXP(-LN(2)/2))/(LN(2)/2)*AQ32*AT32*VLOOKUP('Données projet'!$B$10,Paramètres!$A$1:$I$89,3,0)*0.475*44/12</f>
        <v>2.9695353412867416</v>
      </c>
      <c r="AX32" s="21">
        <f t="shared" si="6"/>
        <v>10.649327402592789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22.6</v>
      </c>
      <c r="BD32" s="12">
        <f>IF('Données projet'!$A$88&gt;35,BD31+BC32-BL31,IF(A32&lt;'Données projet'!$A$88,$BA$205^A32,IF(A32='Données projet'!$A$88,'Données projet'!$B$88,BD31+BC32-BL31)))</f>
        <v>249.39999999999998</v>
      </c>
      <c r="BE32" s="13">
        <f>BD32*VLOOKUP('Données projet'!$B$11,Paramètres!$A$1:$I$89,3,0)*VLOOKUP('Données projet'!$B$11,Paramètres!$A$1:$I$89,5,0)</f>
        <v>129.68799999999999</v>
      </c>
      <c r="BF32" s="13">
        <f t="shared" si="37"/>
        <v>33.924255213794552</v>
      </c>
      <c r="BG32" s="20">
        <f t="shared" si="7"/>
        <v>284.95801116402544</v>
      </c>
      <c r="BH32" s="59">
        <f t="shared" si="8"/>
        <v>578.29134449735875</v>
      </c>
      <c r="BI32" s="59">
        <f ca="1">AVERAGE(OFFSET($BH$3,0,0,'Données projet'!$E$11+1,1))-AVERAGE(OFFSET($H$3,0,0,'Données projet'!$E$11+1,1))</f>
        <v>348.29124901999882</v>
      </c>
      <c r="BJ32" s="59">
        <f t="shared" si="38"/>
        <v>284.30034973939053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3.6802749070280276</v>
      </c>
      <c r="BQ32" s="21">
        <f>EXP(-LN(2)/25)*BQ31+(1-EXP(-LN(2)/25))/(LN(2)/25)*Calculateur!BL32*Calculateur!BN32*VLOOKUP('Données projet'!$B$11,Paramètres!$A$1:$I$89,3,0)*0.475*44/12</f>
        <v>5.2561438997136065</v>
      </c>
      <c r="BR32" s="21">
        <f>EXP(-LN(2)/2)*BR31+(1-EXP(-LN(2)/2))/(LN(2)/2)*BL32*BO32*VLOOKUP('Données projet'!$B$11,Paramètres!$A$1:$I$89,3,0)*0.475*44/12</f>
        <v>2.3491555709079122</v>
      </c>
      <c r="BS32" s="22">
        <f t="shared" si="9"/>
        <v>11.285574377649548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4.5468888888888888</v>
      </c>
      <c r="BY32" s="12">
        <f>IF('Données projet'!$A$114&gt;35,BY31+BX32-CG31,IF(A32&lt;'Données projet'!$A$114,$BV$205^A32,IF(A32='Données projet'!$A$114,'Données projet'!$B$114,BY31+BX32-CG31)))</f>
        <v>131.85977777777774</v>
      </c>
      <c r="BZ32" s="13">
        <f>BY32*VLOOKUP('Données projet'!$B$12,Paramètres!$A$1:$I$89,3,0)*VLOOKUP('Données projet'!$B$12,Paramètres!$A$1:$I$89,5,0)</f>
        <v>78.852147111111094</v>
      </c>
      <c r="CA32" s="13">
        <f t="shared" si="39"/>
        <v>21.856292503586921</v>
      </c>
      <c r="CB32" s="20">
        <f t="shared" si="10"/>
        <v>175.40053232893237</v>
      </c>
      <c r="CC32" s="59">
        <f t="shared" si="11"/>
        <v>468.73386566226566</v>
      </c>
      <c r="CD32" s="59">
        <f ca="1">AVERAGE(OFFSET($CC$3,0,0,'Données projet'!$E$12+1,1))-AVERAGE(OFFSET($H$3,0,0,'Données projet'!$E$12+1,1))</f>
        <v>185.82627135915504</v>
      </c>
      <c r="CE32" s="59">
        <f t="shared" si="40"/>
        <v>155.46126452522037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2.7230769230769232</v>
      </c>
      <c r="CT32" s="12">
        <f>IF('Données projet'!$A$140&gt;35,CT31+CS32-DB31,IF(A32&lt;'Données projet'!$A$140,$CQ$205^A32,IF(A32='Données projet'!$A$140,'Données projet'!$B$140,CT31+CS32-DB31)))</f>
        <v>58.661538461538449</v>
      </c>
      <c r="CU32" s="17">
        <f>CT32*VLOOKUP('Données projet'!$B$13,Paramètres!$A$1:$I$89,3,0)*VLOOKUP('Données projet'!$B$13,Paramètres!$A$1:$I$89,5,0)</f>
        <v>67.578092307692287</v>
      </c>
      <c r="CV32" s="13">
        <f t="shared" si="41"/>
        <v>19.070785551873172</v>
      </c>
      <c r="CW32" s="20">
        <f t="shared" si="13"/>
        <v>150.91346227207649</v>
      </c>
      <c r="CX32" s="59">
        <f t="shared" si="14"/>
        <v>444.24679560540983</v>
      </c>
      <c r="CY32" s="59">
        <f ca="1">AVERAGE(OFFSET($CX$3,0,0,'Données projet'!$E$13+1,1))-AVERAGE(OFFSET($H$3,0,0,'Données projet'!$E$13+1,1))</f>
        <v>150.78964413039063</v>
      </c>
      <c r="CZ32" s="59">
        <f t="shared" si="42"/>
        <v>131.90332435966184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0.7252286147366791</v>
      </c>
      <c r="DG32" s="21">
        <f>EXP(-LN(2)/25)*DG31+(1-EXP(-LN(2)/25))/(LN(2)/25)*Calculateur!DB32*Calculateur!DD32*VLOOKUP('Données projet'!$B$13,Paramètres!$A$1:$I$89,3,0)*0.475*44/12</f>
        <v>0.97549477156048991</v>
      </c>
      <c r="DH32" s="21">
        <f>EXP(-LN(2)/2)*DH31+(1-EXP(-LN(2)/2))/(LN(2)/2)*DB32*DE32*VLOOKUP('Données projet'!$B$13,Paramètres!$A$1:$I$89,3,0)*0.475*44/12</f>
        <v>8.2342149201288503E-2</v>
      </c>
      <c r="DI32" s="22">
        <f t="shared" si="15"/>
        <v>1.7830655354984575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2.2435897435897436</v>
      </c>
      <c r="DO32" s="12">
        <f>IF('Données projet'!$A$166&gt;35,DO31+DN32-DW31,IF(A32&lt;'Données projet'!$A$166,$DL$205^A32,IF(A32='Données projet'!$A$166,'Données projet'!$B$166,DO31+DN32-DW31)))</f>
        <v>58.496409596345337</v>
      </c>
      <c r="DP32" s="17">
        <f>DO32*VLOOKUP('Données projet'!$B$14,Paramètres!$A$1:$I$89,3,0)*VLOOKUP('Données projet'!$B$14,Paramètres!$A$1:$I$89,5,0)</f>
        <v>61.14044731010015</v>
      </c>
      <c r="DQ32" s="13">
        <f t="shared" si="43"/>
        <v>17.456293135346634</v>
      </c>
      <c r="DR32" s="20">
        <f t="shared" si="16"/>
        <v>136.88932294248647</v>
      </c>
      <c r="DS32" s="59">
        <f t="shared" si="17"/>
        <v>430.22265627581976</v>
      </c>
      <c r="DT32" s="59">
        <f ca="1">AVERAGE(OFFSET($DS$3,0,0,'Données projet'!$E$14+1,1))-AVERAGE(OFFSET($H$3,0,0,'Données projet'!$E$14+1,1))</f>
        <v>110.10595934547638</v>
      </c>
      <c r="DU32" s="59">
        <f t="shared" si="44"/>
        <v>131.10971921141493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3.3603333333333336</v>
      </c>
      <c r="EJ32" s="12">
        <f>IF('Données projet'!$A$192&gt;35,EJ31+EI32-ER31,IF(A32&lt;'Données projet'!$A$192,$EG$205^A32,IF(A32='Données projet'!$A$192,'Données projet'!$B$192,EJ31+EI32-ER31)))</f>
        <v>97.449666666666673</v>
      </c>
      <c r="EK32" s="17">
        <f>EJ32*VLOOKUP('Données projet'!$B$15,Paramètres!$A$1:$I$89,3,0)*VLOOKUP('Données projet'!$B$15,Paramètres!$A$1:$I$89,5,0)</f>
        <v>98.813962000000018</v>
      </c>
      <c r="EL32" s="13">
        <f t="shared" si="45"/>
        <v>26.679244441706949</v>
      </c>
      <c r="EM32" s="20">
        <f t="shared" si="19"/>
        <v>218.56733455263964</v>
      </c>
      <c r="EN32" s="59">
        <f t="shared" si="20"/>
        <v>511.90066788597295</v>
      </c>
      <c r="EO32" s="59">
        <f ca="1">AVERAGE(OFFSET($EN$3,0,0,'Données projet'!$E$15+1,1))-AVERAGE(OFFSET($H$3,0,0,'Données projet'!$E$15+1,1))</f>
        <v>420.38735944595965</v>
      </c>
      <c r="EP32" s="59">
        <f t="shared" si="46"/>
        <v>200.0823542414671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4.016578947368421</v>
      </c>
      <c r="FE32" s="12">
        <f>IF('Données projet'!$A$218&gt;35,FE31+FD32-FM31,IF(A32&lt;'Données projet'!$A$218,$FB$205^A32,IF(A32='Données projet'!$A$218,'Données projet'!$B$218,FE31+FD32-FM31)))</f>
        <v>116.48078947368415</v>
      </c>
      <c r="FF32" s="17">
        <f>FE32*VLOOKUP('Données projet'!$B$16,Paramètres!$A$1:$I$89,3,0)*VLOOKUP('Données projet'!$B$16,Paramètres!$A$1:$I$89,5,0)</f>
        <v>125.37992178947361</v>
      </c>
      <c r="FG32" s="13">
        <f t="shared" si="47"/>
        <v>32.926557020187957</v>
      </c>
      <c r="FH32" s="20">
        <f t="shared" si="22"/>
        <v>275.71711726016053</v>
      </c>
      <c r="FI32" s="59">
        <f t="shared" si="23"/>
        <v>569.05045059349391</v>
      </c>
      <c r="FJ32" s="59">
        <f ca="1">AVERAGE(OFFSET($FI$3,0,0,'Données projet'!$E$16+1,1))-AVERAGE(OFFSET($H$3,0,0,'Données projet'!$E$16+1,1))</f>
        <v>415.8741608506952</v>
      </c>
      <c r="FK32" s="59">
        <f t="shared" si="48"/>
        <v>259.15848913719356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4.016578947368421</v>
      </c>
      <c r="FZ32" s="12">
        <f>IF('Données projet'!$A$244&gt;35,FZ31+FY32-GH31,IF(A32&lt;'Données projet'!$A$244,$FW$205^A32,IF(A32='Données projet'!$A$244,'Données projet'!$B$244,FZ31+FY32-GH31)))</f>
        <v>116.48078947368415</v>
      </c>
      <c r="GA32" s="17">
        <f>FZ32*VLOOKUP('Données projet'!$B$17,Paramètres!$A$1:$I$89,3,0)*VLOOKUP('Données projet'!$B$17,Paramètres!$A$1:$I$89,5,0)</f>
        <v>99.940517368421013</v>
      </c>
      <c r="GB32" s="13">
        <f t="shared" si="49"/>
        <v>26.947826140932676</v>
      </c>
      <c r="GC32" s="20">
        <f t="shared" si="25"/>
        <v>220.99719827879099</v>
      </c>
      <c r="GD32" s="59">
        <f t="shared" si="26"/>
        <v>514.33053161212433</v>
      </c>
      <c r="GE32" s="59">
        <f ca="1">AVERAGE(OFFSET($GD$3,0,0,'Données projet'!$E$17+1,1))-AVERAGE(OFFSET($H$3,0,0,'Données projet'!$E$17+1,1))</f>
        <v>322.39807389980882</v>
      </c>
      <c r="GF32" s="59">
        <f t="shared" si="50"/>
        <v>202.59410055732792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33" s="11">
        <f t="shared" si="32"/>
        <v>3.8340419797271834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114.49295563298176</v>
      </c>
      <c r="H33" s="67">
        <f t="shared" si="1"/>
        <v>319.1658064480248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6.4429411764705877</v>
      </c>
      <c r="N33" s="13">
        <f>IF('Données projet'!$A$36&gt;35,N32+M33-V32,IF(A33&lt;'Données projet'!$A$36,$K$205^A33,IF(A33='Données projet'!$A$36,'Données projet'!$B$36,N32+M33-V32)))</f>
        <v>193.28823529411756</v>
      </c>
      <c r="O33" s="13">
        <f>N33*VLOOKUP('Données projet'!$B$9,Paramètres!$A$1:$I$89,3,0)*VLOOKUP('Données projet'!$B$9,Paramètres!$A$1:$I$89,5,0)</f>
        <v>90.45889411764702</v>
      </c>
      <c r="P33" s="13">
        <f t="shared" si="33"/>
        <v>24.67586642434733</v>
      </c>
      <c r="Q33" s="20">
        <f t="shared" si="2"/>
        <v>200.52637461064015</v>
      </c>
      <c r="R33" s="59">
        <f t="shared" si="0"/>
        <v>493.85970794397349</v>
      </c>
      <c r="S33" s="59">
        <f ca="1">AVERAGE(OFFSET($R$3,0,0,'Données projet'!$E$9+1,1))-AVERAGE(OFFSET($H$3,0,0,'Données projet'!$E$9+1,1))</f>
        <v>215.77907571824977</v>
      </c>
      <c r="T33" s="59">
        <f t="shared" si="34"/>
        <v>174.69390149594869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167.45</v>
      </c>
      <c r="AG33" s="12">
        <f>VLOOKUP(A33,'Données projet'!$A$61:$I$81,9,0)</f>
        <v>13.379999999999997</v>
      </c>
      <c r="AH33" s="12">
        <f t="array" ref="AH33">INDEX(AG:AG,MIN(IF(ISNUMBER(AG33:AG229),ROW(AG33:AG229),"")))</f>
        <v>13.379999999999997</v>
      </c>
      <c r="AI33" s="13">
        <f>IF('Données projet'!$A$62&gt;35,AI32+AH33-AQ32,IF(A33&lt;'Données projet'!$A$62,$AF$205^A33,IF(A33='Données projet'!$A$62,'Données projet'!$B$62,AI32+AH33-AQ32)))</f>
        <v>167.45</v>
      </c>
      <c r="AJ33" s="13">
        <f>AI33*VLOOKUP('Données projet'!$B$10,Paramètres!$A$1:$I$89,3,0)*VLOOKUP('Données projet'!$B$10,Paramètres!$A$1:$I$89,5,0)</f>
        <v>100.13510000000001</v>
      </c>
      <c r="AK33" s="13">
        <f t="shared" si="35"/>
        <v>26.994180730934367</v>
      </c>
      <c r="AL33" s="20">
        <f t="shared" si="4"/>
        <v>221.41683060637737</v>
      </c>
      <c r="AM33" s="59">
        <f t="shared" si="5"/>
        <v>514.75016393971066</v>
      </c>
      <c r="AN33" s="59">
        <f ca="1">AVERAGE(OFFSET($AM$3,0,0,'Données projet'!$E$10+1,1))-AVERAGE(OFFSET($H$3,0,0,'Données projet'!$E$10+1,1))</f>
        <v>171.701352621833</v>
      </c>
      <c r="AO33" s="59">
        <f t="shared" si="36"/>
        <v>195.58435749168586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37.829999999999984</v>
      </c>
      <c r="AR33" s="16">
        <f>IF(ISNA(VLOOKUP(A33,'Données projet'!$A$61:$I$81,5,0)),0%,VLOOKUP(A33,'Données projet'!$A$61:$I$81,5,0)*VLOOKUP('Données projet'!$B$10,Paramètres!$A$1:$I$89,7,0))</f>
        <v>0.1125</v>
      </c>
      <c r="AS33" s="16">
        <f>IF(ISNA(VLOOKUP(A33,'Données projet'!$A$61:$I$81,6,0)),0%,VLOOKUP(A33,'Données projet'!$A$61:$I$81,6,0)*VLOOKUP('Données projet'!$B$10,Paramètres!$A$1:$I$89,7,0))</f>
        <v>0.16650000000000001</v>
      </c>
      <c r="AT33" s="16">
        <f>IF(ISNA(VLOOKUP(A33,'Données projet'!$A$61:$I$81,7,0)),0%,VLOOKUP(A33,'Données projet'!$A$61:$I$81,7,0))</f>
        <v>0.38</v>
      </c>
      <c r="AU33" s="21">
        <f>EXP(-LN(2)/35)*AU32+(1-EXP(-LN(2)/35))/(LN(2)/35)*AQ33*AR33*VLOOKUP('Données projet'!$B$10,Paramètres!$A$1:$I$89,3,0)*0.475*44/12</f>
        <v>3.3761241160726634</v>
      </c>
      <c r="AV33" s="21">
        <f>EXP(-LN(2)/25)*AV32+(1-EXP(-LN(2)/25))/(LN(2)/25)*Calculateur!AQ33*Calculateur!AS33*VLOOKUP('Données projet'!$B$10,Paramètres!$A$1:$I$89,3,0)*0.475*44/12</f>
        <v>12.446777666481765</v>
      </c>
      <c r="AW33" s="21">
        <f>EXP(-LN(2)/2)*AW32+(1-EXP(-LN(2)/2))/(LN(2)/2)*AQ33*AT33*VLOOKUP('Données projet'!$B$10,Paramètres!$A$1:$I$89,3,0)*0.475*44/12</f>
        <v>11.833001294374409</v>
      </c>
      <c r="AX33" s="21">
        <f t="shared" si="6"/>
        <v>27.655903076928837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272</v>
      </c>
      <c r="BB33" s="12">
        <f>VLOOKUP(A33,'Données projet'!$A$87:$I$107,9,0)</f>
        <v>22.6</v>
      </c>
      <c r="BC33" s="12">
        <f t="array" ref="BC33">INDEX(BB:BB,MIN(IF(ISNUMBER(BB33:BB229),ROW(BB33:BB229),"")))</f>
        <v>22.6</v>
      </c>
      <c r="BD33" s="12">
        <f>IF('Données projet'!$A$88&gt;35,BD32+BC33-BL32,IF(A33&lt;'Données projet'!$A$88,$BA$205^A33,IF(A33='Données projet'!$A$88,'Données projet'!$B$88,BD32+BC33-BL32)))</f>
        <v>272</v>
      </c>
      <c r="BE33" s="13">
        <f>BD33*VLOOKUP('Données projet'!$B$11,Paramètres!$A$1:$I$89,3,0)*VLOOKUP('Données projet'!$B$11,Paramètres!$A$1:$I$89,5,0)</f>
        <v>141.44000000000003</v>
      </c>
      <c r="BF33" s="13">
        <f t="shared" si="37"/>
        <v>36.626692547798257</v>
      </c>
      <c r="BG33" s="20">
        <f t="shared" si="7"/>
        <v>310.13282285408201</v>
      </c>
      <c r="BH33" s="59">
        <f t="shared" si="8"/>
        <v>603.46615618741532</v>
      </c>
      <c r="BI33" s="59">
        <f ca="1">AVERAGE(OFFSET($BH$3,0,0,'Données projet'!$E$11+1,1))-AVERAGE(OFFSET($H$3,0,0,'Données projet'!$E$11+1,1))</f>
        <v>348.29124901999882</v>
      </c>
      <c r="BJ33" s="59">
        <f t="shared" si="38"/>
        <v>284.30034973939053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0.13750000000000001</v>
      </c>
      <c r="BN33" s="16">
        <f>IF(ISNA(VLOOKUP(A33,'Données projet'!$A$87:$I$107,6,0)),0%,VLOOKUP(A33,'Données projet'!$A$87:$I$107,6,0)*VLOOKUP('Données projet'!$B$11,Paramètres!$A$1:$I$89,7,0))</f>
        <v>0.20350000000000001</v>
      </c>
      <c r="BO33" s="16">
        <f>IF(ISNA(VLOOKUP(A33,'Données projet'!$A$87:$I$107,7,0)),0%,VLOOKUP(A33,'Données projet'!$A$87:$I$107,7,0))</f>
        <v>0.38</v>
      </c>
      <c r="BP33" s="21">
        <f>EXP(-LN(2)/35)*BP32+(1-EXP(-LN(2)/35))/(LN(2)/35)*BL33*BM33*VLOOKUP('Données projet'!$B$11,Paramètres!$A$1:$I$89,3,0)*0.475*44/12</f>
        <v>8.9196710404271702</v>
      </c>
      <c r="BQ33" s="21">
        <f>EXP(-LN(2)/25)*BQ32+(1-EXP(-LN(2)/25))/(LN(2)/25)*Calculateur!BL33*Calculateur!BN33*VLOOKUP('Données projet'!$B$11,Paramètres!$A$1:$I$89,3,0)*0.475*44/12</f>
        <v>12.942577001709708</v>
      </c>
      <c r="BR33" s="21">
        <f>EXP(-LN(2)/2)*BR32+(1-EXP(-LN(2)/2))/(LN(2)/2)*BL33*BO33*VLOOKUP('Données projet'!$B$11,Paramètres!$A$1:$I$89,3,0)*0.475*44/12</f>
        <v>14.189933545760002</v>
      </c>
      <c r="BS33" s="22">
        <f t="shared" si="9"/>
        <v>36.052181587896882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4.5468888888888888</v>
      </c>
      <c r="BY33" s="12">
        <f>IF('Données projet'!$A$114&gt;35,BY32+BX33-CG32,IF(A33&lt;'Données projet'!$A$114,$BV$205^A33,IF(A33='Données projet'!$A$114,'Données projet'!$B$114,BY32+BX33-CG32)))</f>
        <v>136.40666666666664</v>
      </c>
      <c r="BZ33" s="13">
        <f>BY33*VLOOKUP('Données projet'!$B$12,Paramètres!$A$1:$I$89,3,0)*VLOOKUP('Données projet'!$B$12,Paramètres!$A$1:$I$89,5,0)</f>
        <v>81.571186666666648</v>
      </c>
      <c r="CA33" s="13">
        <f t="shared" si="39"/>
        <v>22.520911499789953</v>
      </c>
      <c r="CB33" s="20">
        <f t="shared" si="10"/>
        <v>181.29373763991188</v>
      </c>
      <c r="CC33" s="59">
        <f t="shared" si="11"/>
        <v>474.62707097324517</v>
      </c>
      <c r="CD33" s="59">
        <f ca="1">AVERAGE(OFFSET($CC$3,0,0,'Données projet'!$E$12+1,1))-AVERAGE(OFFSET($H$3,0,0,'Données projet'!$E$12+1,1))</f>
        <v>185.82627135915504</v>
      </c>
      <c r="CE33" s="59">
        <f t="shared" si="40"/>
        <v>155.46126452522037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61.38461538461538</v>
      </c>
      <c r="CR33" s="12">
        <f>VLOOKUP(A33,'Données projet'!$A$139:$I$159,9,0)</f>
        <v>2.7230769230769232</v>
      </c>
      <c r="CS33" s="12">
        <f t="array" ref="CS33">INDEX(CR:CR,MIN(IF(ISNUMBER(CR33:CR229),ROW(CR33:CR229),"")))</f>
        <v>2.7230769230769232</v>
      </c>
      <c r="CT33" s="12">
        <f>IF('Données projet'!$A$140&gt;35,CT32+CS33-DB32,IF(A33&lt;'Données projet'!$A$140,$CQ$205^A33,IF(A33='Données projet'!$A$140,'Données projet'!$B$140,CT32+CS33-DB32)))</f>
        <v>61.384615384615373</v>
      </c>
      <c r="CU33" s="17">
        <f>CT33*VLOOKUP('Données projet'!$B$13,Paramètres!$A$1:$I$89,3,0)*VLOOKUP('Données projet'!$B$13,Paramètres!$A$1:$I$89,5,0)</f>
        <v>70.715076923076907</v>
      </c>
      <c r="CV33" s="13">
        <f t="shared" si="41"/>
        <v>19.850931196169036</v>
      </c>
      <c r="CW33" s="20">
        <f t="shared" si="13"/>
        <v>157.73579747435335</v>
      </c>
      <c r="CX33" s="59">
        <f t="shared" si="14"/>
        <v>451.06913080768663</v>
      </c>
      <c r="CY33" s="59">
        <f ca="1">AVERAGE(OFFSET($CX$3,0,0,'Données projet'!$E$13+1,1))-AVERAGE(OFFSET($H$3,0,0,'Données projet'!$E$13+1,1))</f>
        <v>150.78964413039063</v>
      </c>
      <c r="CZ33" s="59">
        <f t="shared" si="42"/>
        <v>131.90332435966184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9.2307692307692299</v>
      </c>
      <c r="DC33" s="16">
        <f>IF(ISNA(VLOOKUP(A33,'Données projet'!$A$139:$I$159,5,0)),0%,VLOOKUP(A33,'Données projet'!$A$139:$I$159,5,0)*VLOOKUP('Données projet'!$B$13,Paramètres!$A$1:$I$89,7,0))</f>
        <v>0.1125</v>
      </c>
      <c r="DD33" s="16">
        <f>IF(ISNA(VLOOKUP(A33,'Données projet'!$A$139:$I$159,6,0)),0%,VLOOKUP(A33,'Données projet'!$A$139:$I$159,6,0)*VLOOKUP('Données projet'!$B$13,Paramètres!$A$1:$I$89,7,0))</f>
        <v>0.16650000000000001</v>
      </c>
      <c r="DE33" s="16">
        <f>IF(ISNA(VLOOKUP(A33,'Données projet'!$A$139:$I$159,7,0)),0%,VLOOKUP(A33,'Données projet'!$A$139:$I$159,7,0))</f>
        <v>0.38</v>
      </c>
      <c r="DF33" s="21">
        <f>EXP(-LN(2)/35)*DF32+(1-EXP(-LN(2)/35))/(LN(2)/35)*DB33*DC33*VLOOKUP('Données projet'!$B$13,Paramètres!$A$1:$I$89,3,0)*0.475*44/12</f>
        <v>1.5706210910722918</v>
      </c>
      <c r="DG33" s="21">
        <f>EXP(-LN(2)/25)*DG32+(1-EXP(-LN(2)/25))/(LN(2)/25)*Calculateur!DB33*Calculateur!DD33*VLOOKUP('Données projet'!$B$13,Paramètres!$A$1:$I$89,3,0)*0.475*44/12</f>
        <v>2.2160389432071166</v>
      </c>
      <c r="DH33" s="21">
        <f>EXP(-LN(2)/2)*DH32+(1-EXP(-LN(2)/2))/(LN(2)/2)*DB33*DE33*VLOOKUP('Données projet'!$B$13,Paramètres!$A$1:$I$89,3,0)*0.475*44/12</f>
        <v>2.5364547449036334</v>
      </c>
      <c r="DI33" s="22">
        <f t="shared" si="15"/>
        <v>6.323114779183042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67.307692307692307</v>
      </c>
      <c r="DM33" s="12">
        <f>VLOOKUP(A33,'Données projet'!$A$165:$I$185,9,0)</f>
        <v>2.2435897435897436</v>
      </c>
      <c r="DN33" s="12">
        <f t="array" ref="DN33">INDEX(DM:DM,MIN(IF(ISNUMBER(DM33:DM229),ROW(DM33:DM229),"")))</f>
        <v>2.2435897435897436</v>
      </c>
      <c r="DO33" s="12">
        <f>IF('Données projet'!$A$166&gt;35,DO32+DN33-DW32,IF(A33&lt;'Données projet'!$A$166,$DL$205^A33,IF(A33='Données projet'!$A$166,'Données projet'!$B$166,DO32+DN33-DW32)))</f>
        <v>67.307692307692307</v>
      </c>
      <c r="DP33" s="17">
        <f>DO33*VLOOKUP('Données projet'!$B$14,Paramètres!$A$1:$I$89,3,0)*VLOOKUP('Données projet'!$B$14,Paramètres!$A$1:$I$89,5,0)</f>
        <v>70.350000000000009</v>
      </c>
      <c r="DQ33" s="13">
        <f t="shared" si="43"/>
        <v>19.760349660922358</v>
      </c>
      <c r="DR33" s="20">
        <f t="shared" si="16"/>
        <v>156.94219232610644</v>
      </c>
      <c r="DS33" s="59">
        <f t="shared" si="17"/>
        <v>450.27552565943972</v>
      </c>
      <c r="DT33" s="59">
        <f ca="1">AVERAGE(OFFSET($DS$3,0,0,'Données projet'!$E$14+1,1))-AVERAGE(OFFSET($H$3,0,0,'Données projet'!$E$14+1,1))</f>
        <v>110.10595934547638</v>
      </c>
      <c r="DU33" s="59">
        <f t="shared" si="44"/>
        <v>131.10971921141493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25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0.215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6.1860243031160467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6.1860243031160467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3.3603333333333336</v>
      </c>
      <c r="EJ33" s="12">
        <f>IF('Données projet'!$A$192&gt;35,EJ32+EI33-ER32,IF(A33&lt;'Données projet'!$A$192,$EG$205^A33,IF(A33='Données projet'!$A$192,'Données projet'!$B$192,EJ32+EI33-ER32)))</f>
        <v>100.81</v>
      </c>
      <c r="EK33" s="17">
        <f>EJ33*VLOOKUP('Données projet'!$B$15,Paramètres!$A$1:$I$89,3,0)*VLOOKUP('Données projet'!$B$15,Paramètres!$A$1:$I$89,5,0)</f>
        <v>102.22134</v>
      </c>
      <c r="EL33" s="13">
        <f t="shared" si="45"/>
        <v>27.490522596837476</v>
      </c>
      <c r="EM33" s="20">
        <f t="shared" si="19"/>
        <v>225.91482735615861</v>
      </c>
      <c r="EN33" s="59">
        <f t="shared" si="20"/>
        <v>519.2481606894919</v>
      </c>
      <c r="EO33" s="59">
        <f ca="1">AVERAGE(OFFSET($EN$3,0,0,'Données projet'!$E$15+1,1))-AVERAGE(OFFSET($H$3,0,0,'Données projet'!$E$15+1,1))</f>
        <v>420.38735944595965</v>
      </c>
      <c r="EP33" s="59">
        <f t="shared" si="46"/>
        <v>200.0823542414671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4.016578947368421</v>
      </c>
      <c r="FE33" s="12">
        <f>IF('Données projet'!$A$218&gt;35,FE32+FD33-FM32,IF(A33&lt;'Données projet'!$A$218,$FB$205^A33,IF(A33='Données projet'!$A$218,'Données projet'!$B$218,FE32+FD33-FM32)))</f>
        <v>120.49736842105257</v>
      </c>
      <c r="FF33" s="17">
        <f>FE33*VLOOKUP('Données projet'!$B$16,Paramètres!$A$1:$I$89,3,0)*VLOOKUP('Données projet'!$B$16,Paramètres!$A$1:$I$89,5,0)</f>
        <v>129.703367368421</v>
      </c>
      <c r="FG33" s="13">
        <f t="shared" si="47"/>
        <v>33.927807130269002</v>
      </c>
      <c r="FH33" s="20">
        <f t="shared" si="22"/>
        <v>284.99096225188504</v>
      </c>
      <c r="FI33" s="59">
        <f t="shared" si="23"/>
        <v>578.32429558521835</v>
      </c>
      <c r="FJ33" s="59">
        <f ca="1">AVERAGE(OFFSET($FI$3,0,0,'Données projet'!$E$16+1,1))-AVERAGE(OFFSET($H$3,0,0,'Données projet'!$E$16+1,1))</f>
        <v>415.8741608506952</v>
      </c>
      <c r="FK33" s="59">
        <f t="shared" si="48"/>
        <v>259.15848913719356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4.016578947368421</v>
      </c>
      <c r="FZ33" s="12">
        <f>IF('Données projet'!$A$244&gt;35,FZ32+FY33-GH32,IF(A33&lt;'Données projet'!$A$244,$FW$205^A33,IF(A33='Données projet'!$A$244,'Données projet'!$B$244,FZ32+FY33-GH32)))</f>
        <v>120.49736842105257</v>
      </c>
      <c r="GA33" s="17">
        <f>FZ33*VLOOKUP('Données projet'!$B$17,Paramètres!$A$1:$I$89,3,0)*VLOOKUP('Données projet'!$B$17,Paramètres!$A$1:$I$89,5,0)</f>
        <v>103.38674210526312</v>
      </c>
      <c r="GB33" s="13">
        <f t="shared" si="49"/>
        <v>27.767271486326973</v>
      </c>
      <c r="GC33" s="20">
        <f t="shared" si="25"/>
        <v>228.42657367201937</v>
      </c>
      <c r="GD33" s="59">
        <f t="shared" si="26"/>
        <v>521.75990700535272</v>
      </c>
      <c r="GE33" s="59">
        <f ca="1">AVERAGE(OFFSET($GD$3,0,0,'Données projet'!$E$17+1,1))-AVERAGE(OFFSET($H$3,0,0,'Données projet'!$E$17+1,1))</f>
        <v>322.39807389980882</v>
      </c>
      <c r="GF33" s="59">
        <f t="shared" si="50"/>
        <v>202.59410055732792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11.364599999999999</v>
      </c>
      <c r="D34" s="11">
        <f t="shared" si="32"/>
        <v>3.9467508916070462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118.19288407556316</v>
      </c>
      <c r="H34" s="67">
        <f t="shared" si="1"/>
        <v>320.00060280288227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6.4429411764705877</v>
      </c>
      <c r="N34" s="13">
        <f>IF('Données projet'!$A$36&gt;35,N33+M34-V33,IF(A34&lt;'Données projet'!$A$36,$K$205^A34,IF(A34='Données projet'!$A$36,'Données projet'!$B$36,N33+M34-V33)))</f>
        <v>199.73117647058814</v>
      </c>
      <c r="O34" s="13">
        <f>N34*VLOOKUP('Données projet'!$B$9,Paramètres!$A$1:$I$89,3,0)*VLOOKUP('Données projet'!$B$9,Paramètres!$A$1:$I$89,5,0)</f>
        <v>93.47419058823526</v>
      </c>
      <c r="P34" s="13">
        <f t="shared" si="33"/>
        <v>25.401260165231442</v>
      </c>
      <c r="Q34" s="20">
        <f t="shared" si="2"/>
        <v>207.04141006228784</v>
      </c>
      <c r="R34" s="59">
        <f t="shared" si="0"/>
        <v>500.37474339562118</v>
      </c>
      <c r="S34" s="59">
        <f ca="1">AVERAGE(OFFSET($R$3,0,0,'Données projet'!$E$9+1,1))-AVERAGE(OFFSET($H$3,0,0,'Données projet'!$E$9+1,1))</f>
        <v>215.77907571824977</v>
      </c>
      <c r="T34" s="59">
        <f t="shared" si="34"/>
        <v>174.69390149594869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13.357499999999998</v>
      </c>
      <c r="AI34" s="13">
        <f>IF('Données projet'!$A$62&gt;35,AI33+AH34-AQ33,IF(A34&lt;'Données projet'!$A$62,$AF$205^A34,IF(A34='Données projet'!$A$62,'Données projet'!$B$62,AI33+AH34-AQ33)))</f>
        <v>142.97749999999999</v>
      </c>
      <c r="AJ34" s="13">
        <f>AI34*VLOOKUP('Données projet'!$B$10,Paramètres!$A$1:$I$89,3,0)*VLOOKUP('Données projet'!$B$10,Paramètres!$A$1:$I$89,5,0)</f>
        <v>85.500545000000002</v>
      </c>
      <c r="AK34" s="13">
        <f t="shared" si="35"/>
        <v>23.476847014641212</v>
      </c>
      <c r="AL34" s="20">
        <f t="shared" si="4"/>
        <v>189.80229109216677</v>
      </c>
      <c r="AM34" s="59">
        <f t="shared" si="5"/>
        <v>483.13562442550005</v>
      </c>
      <c r="AN34" s="59">
        <f ca="1">AVERAGE(OFFSET($AM$3,0,0,'Données projet'!$E$10+1,1))-AVERAGE(OFFSET($H$3,0,0,'Données projet'!$E$10+1,1))</f>
        <v>171.701352621833</v>
      </c>
      <c r="AO34" s="59">
        <f t="shared" si="36"/>
        <v>195.58435749168586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3.3099203813888569</v>
      </c>
      <c r="AV34" s="21">
        <f>EXP(-LN(2)/25)*AV33+(1-EXP(-LN(2)/25))/(LN(2)/25)*Calculateur!AQ34*Calculateur!AS34*VLOOKUP('Données projet'!$B$10,Paramètres!$A$1:$I$89,3,0)*0.475*44/12</f>
        <v>12.106419876644232</v>
      </c>
      <c r="AW34" s="21">
        <f>EXP(-LN(2)/2)*AW33+(1-EXP(-LN(2)/2))/(LN(2)/2)*AQ34*AT34*VLOOKUP('Données projet'!$B$10,Paramètres!$A$1:$I$89,3,0)*0.475*44/12</f>
        <v>8.3671954570413387</v>
      </c>
      <c r="AX34" s="21">
        <f t="shared" si="6"/>
        <v>23.783535715074429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23.4</v>
      </c>
      <c r="BD34" s="12">
        <f>IF('Données projet'!$A$88&gt;35,BD33+BC34-BL33,IF(A34&lt;'Données projet'!$A$88,$BA$205^A34,IF(A34='Données projet'!$A$88,'Données projet'!$B$88,BD33+BC34-BL33)))</f>
        <v>239.39999999999998</v>
      </c>
      <c r="BE34" s="13">
        <f>BD34*VLOOKUP('Données projet'!$B$11,Paramètres!$A$1:$I$89,3,0)*VLOOKUP('Données projet'!$B$11,Paramètres!$A$1:$I$89,5,0)</f>
        <v>124.48799999999999</v>
      </c>
      <c r="BF34" s="13">
        <f t="shared" si="37"/>
        <v>32.719504245667267</v>
      </c>
      <c r="BG34" s="20">
        <f t="shared" si="7"/>
        <v>273.80306989453715</v>
      </c>
      <c r="BH34" s="59">
        <f t="shared" si="8"/>
        <v>567.13640322787046</v>
      </c>
      <c r="BI34" s="59">
        <f ca="1">AVERAGE(OFFSET($BH$3,0,0,'Données projet'!$E$11+1,1))-AVERAGE(OFFSET($H$3,0,0,'Données projet'!$E$11+1,1))</f>
        <v>348.29124901999882</v>
      </c>
      <c r="BJ34" s="59">
        <f t="shared" si="38"/>
        <v>284.30034973939053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8.7447617317865269</v>
      </c>
      <c r="BQ34" s="21">
        <f>EXP(-LN(2)/25)*BQ33+(1-EXP(-LN(2)/25))/(LN(2)/25)*Calculateur!BL34*Calculateur!BN34*VLOOKUP('Données projet'!$B$11,Paramètres!$A$1:$I$89,3,0)*0.475*44/12</f>
        <v>12.588661552977412</v>
      </c>
      <c r="BR34" s="21">
        <f>EXP(-LN(2)/2)*BR33+(1-EXP(-LN(2)/2))/(LN(2)/2)*BL34*BO34*VLOOKUP('Données projet'!$B$11,Paramètres!$A$1:$I$89,3,0)*0.475*44/12</f>
        <v>10.03379823479337</v>
      </c>
      <c r="BS34" s="22">
        <f t="shared" si="9"/>
        <v>31.367221519557308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4.5468888888888888</v>
      </c>
      <c r="BY34" s="12">
        <f>IF('Données projet'!$A$114&gt;35,BY33+BX34-CG33,IF(A34&lt;'Données projet'!$A$114,$BV$205^A34,IF(A34='Données projet'!$A$114,'Données projet'!$B$114,BY33+BX34-CG33)))</f>
        <v>140.95355555555554</v>
      </c>
      <c r="BZ34" s="13">
        <f>BY34*VLOOKUP('Données projet'!$B$12,Paramètres!$A$1:$I$89,3,0)*VLOOKUP('Données projet'!$B$12,Paramètres!$A$1:$I$89,5,0)</f>
        <v>84.29022622222223</v>
      </c>
      <c r="CA34" s="13">
        <f t="shared" si="39"/>
        <v>23.182956266932717</v>
      </c>
      <c r="CB34" s="20">
        <f t="shared" si="10"/>
        <v>187.18245950194489</v>
      </c>
      <c r="CC34" s="59">
        <f t="shared" si="11"/>
        <v>480.51579283527821</v>
      </c>
      <c r="CD34" s="59">
        <f ca="1">AVERAGE(OFFSET($CC$3,0,0,'Données projet'!$E$12+1,1))-AVERAGE(OFFSET($H$3,0,0,'Données projet'!$E$12+1,1))</f>
        <v>185.82627135915504</v>
      </c>
      <c r="CE34" s="59">
        <f t="shared" si="40"/>
        <v>155.46126452522037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2.4692307692307707</v>
      </c>
      <c r="CT34" s="12">
        <f>IF('Données projet'!$A$140&gt;35,CT33+CS34-DB33,IF(A34&lt;'Données projet'!$A$140,$CQ$205^A34,IF(A34='Données projet'!$A$140,'Données projet'!$B$140,CT33+CS34-DB33)))</f>
        <v>54.623076923076908</v>
      </c>
      <c r="CU34" s="17">
        <f>CT34*VLOOKUP('Données projet'!$B$13,Paramètres!$A$1:$I$89,3,0)*VLOOKUP('Données projet'!$B$13,Paramètres!$A$1:$I$89,5,0)</f>
        <v>62.925784615384593</v>
      </c>
      <c r="CV34" s="13">
        <f t="shared" si="41"/>
        <v>17.90593693919395</v>
      </c>
      <c r="CW34" s="20">
        <f t="shared" si="13"/>
        <v>140.78191504089094</v>
      </c>
      <c r="CX34" s="59">
        <f t="shared" si="14"/>
        <v>434.11524837422428</v>
      </c>
      <c r="CY34" s="59">
        <f ca="1">AVERAGE(OFFSET($CX$3,0,0,'Données projet'!$E$13+1,1))-AVERAGE(OFFSET($H$3,0,0,'Données projet'!$E$13+1,1))</f>
        <v>150.78964413039063</v>
      </c>
      <c r="CZ34" s="59">
        <f t="shared" si="42"/>
        <v>131.90332435966184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1.5398221694606367</v>
      </c>
      <c r="DG34" s="21">
        <f>EXP(-LN(2)/25)*DG33+(1-EXP(-LN(2)/25))/(LN(2)/25)*Calculateur!DB34*Calculateur!DD34*VLOOKUP('Données projet'!$B$13,Paramètres!$A$1:$I$89,3,0)*0.475*44/12</f>
        <v>2.155441241768695</v>
      </c>
      <c r="DH34" s="21">
        <f>EXP(-LN(2)/2)*DH33+(1-EXP(-LN(2)/2))/(LN(2)/2)*DB34*DE34*VLOOKUP('Données projet'!$B$13,Paramètres!$A$1:$I$89,3,0)*0.475*44/12</f>
        <v>1.7935443502941539</v>
      </c>
      <c r="DI34" s="22">
        <f t="shared" si="15"/>
        <v>5.4888077615234856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3.333333333333333</v>
      </c>
      <c r="DO34" s="12">
        <f>IF('Données projet'!$A$166&gt;35,DO33+DN34-DW33,IF(A34&lt;'Données projet'!$A$166,$DL$205^A34,IF(A34='Données projet'!$A$166,'Données projet'!$B$166,DO33+DN34-DW33)))</f>
        <v>45.641025641025635</v>
      </c>
      <c r="DP34" s="17">
        <f>DO34*VLOOKUP('Données projet'!$B$14,Paramètres!$A$1:$I$89,3,0)*VLOOKUP('Données projet'!$B$14,Paramètres!$A$1:$I$89,5,0)</f>
        <v>47.704000000000001</v>
      </c>
      <c r="DQ34" s="13">
        <f t="shared" si="43"/>
        <v>14.01919520363184</v>
      </c>
      <c r="DR34" s="20">
        <f t="shared" si="16"/>
        <v>107.50123164632545</v>
      </c>
      <c r="DS34" s="59">
        <f t="shared" si="17"/>
        <v>400.83456497965875</v>
      </c>
      <c r="DT34" s="59">
        <f ca="1">AVERAGE(OFFSET($DS$3,0,0,'Données projet'!$E$14+1,1))-AVERAGE(OFFSET($H$3,0,0,'Données projet'!$E$14+1,1))</f>
        <v>110.10595934547638</v>
      </c>
      <c r="DU34" s="59">
        <f t="shared" si="44"/>
        <v>131.10971921141493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6.0168671432384588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6.0168671432384588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3.3603333333333336</v>
      </c>
      <c r="EJ34" s="12">
        <f>IF('Données projet'!$A$192&gt;35,EJ33+EI34-ER33,IF(A34&lt;'Données projet'!$A$192,$EG$205^A34,IF(A34='Données projet'!$A$192,'Données projet'!$B$192,EJ33+EI34-ER33)))</f>
        <v>104.17033333333333</v>
      </c>
      <c r="EK34" s="17">
        <f>EJ34*VLOOKUP('Données projet'!$B$15,Paramètres!$A$1:$I$89,3,0)*VLOOKUP('Données projet'!$B$15,Paramètres!$A$1:$I$89,5,0)</f>
        <v>105.62871800000001</v>
      </c>
      <c r="EL34" s="13">
        <f t="shared" si="45"/>
        <v>28.298658476747377</v>
      </c>
      <c r="EM34" s="20">
        <f t="shared" si="19"/>
        <v>233.25684736366836</v>
      </c>
      <c r="EN34" s="59">
        <f t="shared" si="20"/>
        <v>526.59018069700164</v>
      </c>
      <c r="EO34" s="59">
        <f ca="1">AVERAGE(OFFSET($EN$3,0,0,'Données projet'!$E$15+1,1))-AVERAGE(OFFSET($H$3,0,0,'Données projet'!$E$15+1,1))</f>
        <v>420.38735944595965</v>
      </c>
      <c r="EP34" s="59">
        <f t="shared" si="46"/>
        <v>200.0823542414671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4.016578947368421</v>
      </c>
      <c r="FE34" s="12">
        <f>IF('Données projet'!$A$218&gt;35,FE33+FD34-FM33,IF(A34&lt;'Données projet'!$A$218,$FB$205^A34,IF(A34='Données projet'!$A$218,'Données projet'!$B$218,FE33+FD34-FM33)))</f>
        <v>124.51394736842099</v>
      </c>
      <c r="FF34" s="17">
        <f>FE34*VLOOKUP('Données projet'!$B$16,Paramètres!$A$1:$I$89,3,0)*VLOOKUP('Données projet'!$B$16,Paramètres!$A$1:$I$89,5,0)</f>
        <v>134.02681294736834</v>
      </c>
      <c r="FG34" s="13">
        <f t="shared" si="47"/>
        <v>34.925179158103305</v>
      </c>
      <c r="FH34" s="20">
        <f t="shared" si="22"/>
        <v>294.25805291702977</v>
      </c>
      <c r="FI34" s="59">
        <f t="shared" si="23"/>
        <v>587.59138625036303</v>
      </c>
      <c r="FJ34" s="59">
        <f ca="1">AVERAGE(OFFSET($FI$3,0,0,'Données projet'!$E$16+1,1))-AVERAGE(OFFSET($H$3,0,0,'Données projet'!$E$16+1,1))</f>
        <v>415.8741608506952</v>
      </c>
      <c r="FK34" s="59">
        <f t="shared" si="48"/>
        <v>259.15848913719356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4.016578947368421</v>
      </c>
      <c r="FZ34" s="12">
        <f>IF('Données projet'!$A$244&gt;35,FZ33+FY34-GH33,IF(A34&lt;'Données projet'!$A$244,$FW$205^A34,IF(A34='Données projet'!$A$244,'Données projet'!$B$244,FZ33+FY34-GH33)))</f>
        <v>124.51394736842099</v>
      </c>
      <c r="GA34" s="17">
        <f>FZ34*VLOOKUP('Données projet'!$B$17,Paramètres!$A$1:$I$89,3,0)*VLOOKUP('Données projet'!$B$17,Paramètres!$A$1:$I$89,5,0)</f>
        <v>106.83296684210521</v>
      </c>
      <c r="GB34" s="13">
        <f t="shared" si="49"/>
        <v>28.58354292301042</v>
      </c>
      <c r="GC34" s="20">
        <f t="shared" si="25"/>
        <v>235.85042117424302</v>
      </c>
      <c r="GD34" s="59">
        <f t="shared" si="26"/>
        <v>529.1837545075764</v>
      </c>
      <c r="GE34" s="59">
        <f ca="1">AVERAGE(OFFSET($GD$3,0,0,'Données projet'!$E$17+1,1))-AVERAGE(OFFSET($H$3,0,0,'Données projet'!$E$17+1,1))</f>
        <v>322.39807389980882</v>
      </c>
      <c r="GF34" s="59">
        <f t="shared" si="50"/>
        <v>202.59410055732792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35" s="11">
        <f t="shared" si="32"/>
        <v>4.0590373158284008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121.88955120990344</v>
      </c>
      <c r="H35" s="67">
        <f t="shared" si="1"/>
        <v>320.83466332506777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6.4429411764705877</v>
      </c>
      <c r="N35" s="13">
        <f>IF('Données projet'!$A$36&gt;35,N34+M35-V34,IF(A35&lt;'Données projet'!$A$36,$K$205^A35,IF(A35='Données projet'!$A$36,'Données projet'!$B$36,N34+M35-V34)))</f>
        <v>206.17411764705872</v>
      </c>
      <c r="O35" s="13">
        <f>N35*VLOOKUP('Données projet'!$B$9,Paramètres!$A$1:$I$89,3,0)*VLOOKUP('Données projet'!$B$9,Paramètres!$A$1:$I$89,5,0)</f>
        <v>96.489487058823485</v>
      </c>
      <c r="P35" s="13">
        <f t="shared" si="33"/>
        <v>26.123934778604053</v>
      </c>
      <c r="Q35" s="20">
        <f t="shared" ref="Q35:Q66" si="53">(O35+P35)*0.475*44/12</f>
        <v>213.55170970018628</v>
      </c>
      <c r="R35" s="59">
        <f t="shared" si="0"/>
        <v>506.88504303351959</v>
      </c>
      <c r="S35" s="59">
        <f ca="1">AVERAGE(OFFSET($R$3,0,0,'Données projet'!$E$9+1,1))-AVERAGE(OFFSET($H$3,0,0,'Données projet'!$E$9+1,1))</f>
        <v>215.77907571824977</v>
      </c>
      <c r="T35" s="59">
        <f t="shared" si="34"/>
        <v>174.69390149594869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13.357499999999998</v>
      </c>
      <c r="AI35" s="13">
        <f>IF('Données projet'!$A$62&gt;35,AI34+AH35-AQ34,IF(A35&lt;'Données projet'!$A$62,$AF$205^A35,IF(A35='Données projet'!$A$62,'Données projet'!$B$62,AI34+AH35-AQ34)))</f>
        <v>156.33499999999998</v>
      </c>
      <c r="AJ35" s="13">
        <f>AI35*VLOOKUP('Données projet'!$B$10,Paramètres!$A$1:$I$89,3,0)*VLOOKUP('Données projet'!$B$10,Paramètres!$A$1:$I$89,5,0)</f>
        <v>93.488329999999991</v>
      </c>
      <c r="AK35" s="13">
        <f t="shared" si="35"/>
        <v>25.404655219928944</v>
      </c>
      <c r="AL35" s="20">
        <f t="shared" si="4"/>
        <v>207.07194925804288</v>
      </c>
      <c r="AM35" s="59">
        <f t="shared" si="5"/>
        <v>500.40528259137619</v>
      </c>
      <c r="AN35" s="59">
        <f ca="1">AVERAGE(OFFSET($AM$3,0,0,'Données projet'!$E$10+1,1))-AVERAGE(OFFSET($H$3,0,0,'Données projet'!$E$10+1,1))</f>
        <v>171.701352621833</v>
      </c>
      <c r="AO35" s="59">
        <f t="shared" si="36"/>
        <v>195.58435749168586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3.2450148615619088</v>
      </c>
      <c r="AV35" s="21">
        <f>EXP(-LN(2)/25)*AV34+(1-EXP(-LN(2)/25))/(LN(2)/25)*Calculateur!AQ35*Calculateur!AS35*VLOOKUP('Données projet'!$B$10,Paramètres!$A$1:$I$89,3,0)*0.475*44/12</f>
        <v>11.775369188468444</v>
      </c>
      <c r="AW35" s="21">
        <f>EXP(-LN(2)/2)*AW34+(1-EXP(-LN(2)/2))/(LN(2)/2)*AQ35*AT35*VLOOKUP('Données projet'!$B$10,Paramètres!$A$1:$I$89,3,0)*0.475*44/12</f>
        <v>5.9165006471872044</v>
      </c>
      <c r="AX35" s="21">
        <f t="shared" si="6"/>
        <v>20.936884697217558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23.4</v>
      </c>
      <c r="BD35" s="12">
        <f>IF('Données projet'!$A$88&gt;35,BD34+BC35-BL34,IF(A35&lt;'Données projet'!$A$88,$BA$205^A35,IF(A35='Données projet'!$A$88,'Données projet'!$B$88,BD34+BC35-BL34)))</f>
        <v>262.79999999999995</v>
      </c>
      <c r="BE35" s="13">
        <f>BD35*VLOOKUP('Données projet'!$B$11,Paramètres!$A$1:$I$89,3,0)*VLOOKUP('Données projet'!$B$11,Paramètres!$A$1:$I$89,5,0)</f>
        <v>136.65600000000001</v>
      </c>
      <c r="BF35" s="13">
        <f t="shared" si="37"/>
        <v>35.52986752364091</v>
      </c>
      <c r="BG35" s="20">
        <f t="shared" si="7"/>
        <v>299.89038593700792</v>
      </c>
      <c r="BH35" s="59">
        <f t="shared" si="8"/>
        <v>593.22371927034123</v>
      </c>
      <c r="BI35" s="59">
        <f ca="1">AVERAGE(OFFSET($BH$3,0,0,'Données projet'!$E$11+1,1))-AVERAGE(OFFSET($H$3,0,0,'Données projet'!$E$11+1,1))</f>
        <v>348.29124901999882</v>
      </c>
      <c r="BJ35" s="59">
        <f t="shared" si="38"/>
        <v>284.30034973939053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8.573282288004183</v>
      </c>
      <c r="BQ35" s="21">
        <f>EXP(-LN(2)/25)*BQ34+(1-EXP(-LN(2)/25))/(LN(2)/25)*Calculateur!BL35*Calculateur!BN35*VLOOKUP('Données projet'!$B$11,Paramètres!$A$1:$I$89,3,0)*0.475*44/12</f>
        <v>12.244423940802305</v>
      </c>
      <c r="BR35" s="21">
        <f>EXP(-LN(2)/2)*BR34+(1-EXP(-LN(2)/2))/(LN(2)/2)*BL35*BO35*VLOOKUP('Données projet'!$B$11,Paramètres!$A$1:$I$89,3,0)*0.475*44/12</f>
        <v>7.0949667728800021</v>
      </c>
      <c r="BS35" s="22">
        <f t="shared" si="9"/>
        <v>27.912673001686489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4.5468888888888888</v>
      </c>
      <c r="BY35" s="12">
        <f>IF('Données projet'!$A$114&gt;35,BY34+BX35-CG34,IF(A35&lt;'Données projet'!$A$114,$BV$205^A35,IF(A35='Données projet'!$A$114,'Données projet'!$B$114,BY34+BX35-CG34)))</f>
        <v>145.50044444444444</v>
      </c>
      <c r="BZ35" s="13">
        <f>BY35*VLOOKUP('Données projet'!$B$12,Paramètres!$A$1:$I$89,3,0)*VLOOKUP('Données projet'!$B$12,Paramètres!$A$1:$I$89,5,0)</f>
        <v>87.009265777777784</v>
      </c>
      <c r="CA35" s="13">
        <f t="shared" si="39"/>
        <v>23.842519369237866</v>
      </c>
      <c r="CB35" s="20">
        <f t="shared" si="10"/>
        <v>193.06685913105227</v>
      </c>
      <c r="CC35" s="59">
        <f t="shared" si="11"/>
        <v>486.40019246438555</v>
      </c>
      <c r="CD35" s="59">
        <f ca="1">AVERAGE(OFFSET($CC$3,0,0,'Données projet'!$E$12+1,1))-AVERAGE(OFFSET($H$3,0,0,'Données projet'!$E$12+1,1))</f>
        <v>185.82627135915504</v>
      </c>
      <c r="CE35" s="59">
        <f t="shared" si="40"/>
        <v>155.46126452522037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2.4692307692307707</v>
      </c>
      <c r="CT35" s="12">
        <f>IF('Données projet'!$A$140&gt;35,CT34+CS35-DB34,IF(A35&lt;'Données projet'!$A$140,$CQ$205^A35,IF(A35='Données projet'!$A$140,'Données projet'!$B$140,CT34+CS35-DB34)))</f>
        <v>57.092307692307678</v>
      </c>
      <c r="CU35" s="17">
        <f>CT35*VLOOKUP('Données projet'!$B$13,Paramètres!$A$1:$I$89,3,0)*VLOOKUP('Données projet'!$B$13,Paramètres!$A$1:$I$89,5,0)</f>
        <v>65.770338461538444</v>
      </c>
      <c r="CV35" s="13">
        <f t="shared" si="41"/>
        <v>18.619303911936065</v>
      </c>
      <c r="CW35" s="20">
        <f t="shared" si="13"/>
        <v>146.97862713380144</v>
      </c>
      <c r="CX35" s="59">
        <f t="shared" si="14"/>
        <v>440.31196046713478</v>
      </c>
      <c r="CY35" s="59">
        <f ca="1">AVERAGE(OFFSET($CX$3,0,0,'Données projet'!$E$13+1,1))-AVERAGE(OFFSET($H$3,0,0,'Données projet'!$E$13+1,1))</f>
        <v>150.78964413039063</v>
      </c>
      <c r="CZ35" s="59">
        <f t="shared" si="42"/>
        <v>131.90332435966184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1.5096271959162988</v>
      </c>
      <c r="DG35" s="21">
        <f>EXP(-LN(2)/25)*DG34+(1-EXP(-LN(2)/25))/(LN(2)/25)*Calculateur!DB35*Calculateur!DD35*VLOOKUP('Données projet'!$B$13,Paramètres!$A$1:$I$89,3,0)*0.475*44/12</f>
        <v>2.0965005876628013</v>
      </c>
      <c r="DH35" s="21">
        <f>EXP(-LN(2)/2)*DH34+(1-EXP(-LN(2)/2))/(LN(2)/2)*DB35*DE35*VLOOKUP('Données projet'!$B$13,Paramètres!$A$1:$I$89,3,0)*0.475*44/12</f>
        <v>1.2682273724518169</v>
      </c>
      <c r="DI35" s="22">
        <f t="shared" si="15"/>
        <v>4.8743551560309175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3.333333333333333</v>
      </c>
      <c r="DO35" s="12">
        <f>IF('Données projet'!$A$166&gt;35,DO34+DN35-DW34,IF(A35&lt;'Données projet'!$A$166,$DL$205^A35,IF(A35='Données projet'!$A$166,'Données projet'!$B$166,DO34+DN35-DW34)))</f>
        <v>48.974358974358971</v>
      </c>
      <c r="DP35" s="17">
        <f>DO35*VLOOKUP('Données projet'!$B$14,Paramètres!$A$1:$I$89,3,0)*VLOOKUP('Données projet'!$B$14,Paramètres!$A$1:$I$89,5,0)</f>
        <v>51.188000000000002</v>
      </c>
      <c r="DQ35" s="13">
        <f t="shared" si="43"/>
        <v>14.920145287447474</v>
      </c>
      <c r="DR35" s="20">
        <f t="shared" si="16"/>
        <v>115.13835304230435</v>
      </c>
      <c r="DS35" s="59">
        <f t="shared" si="17"/>
        <v>408.47168637563766</v>
      </c>
      <c r="DT35" s="59">
        <f ca="1">AVERAGE(OFFSET($DS$3,0,0,'Données projet'!$E$14+1,1))-AVERAGE(OFFSET($H$3,0,0,'Données projet'!$E$14+1,1))</f>
        <v>110.10595934547638</v>
      </c>
      <c r="DU35" s="59">
        <f t="shared" si="44"/>
        <v>131.10971921141493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5.8523355947933116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5.8523355947933116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3.3603333333333336</v>
      </c>
      <c r="EJ35" s="12">
        <f>IF('Données projet'!$A$192&gt;35,EJ34+EI35-ER34,IF(A35&lt;'Données projet'!$A$192,$EG$205^A35,IF(A35='Données projet'!$A$192,'Données projet'!$B$192,EJ34+EI35-ER34)))</f>
        <v>107.53066666666666</v>
      </c>
      <c r="EK35" s="17">
        <f>EJ35*VLOOKUP('Données projet'!$B$15,Paramètres!$A$1:$I$89,3,0)*VLOOKUP('Données projet'!$B$15,Paramètres!$A$1:$I$89,5,0)</f>
        <v>109.036096</v>
      </c>
      <c r="EL35" s="13">
        <f t="shared" si="45"/>
        <v>29.103765071483942</v>
      </c>
      <c r="EM35" s="20">
        <f t="shared" si="19"/>
        <v>240.59359136616786</v>
      </c>
      <c r="EN35" s="59">
        <f t="shared" si="20"/>
        <v>533.92692469950111</v>
      </c>
      <c r="EO35" s="59">
        <f ca="1">AVERAGE(OFFSET($EN$3,0,0,'Données projet'!$E$15+1,1))-AVERAGE(OFFSET($H$3,0,0,'Données projet'!$E$15+1,1))</f>
        <v>420.38735944595965</v>
      </c>
      <c r="EP35" s="59">
        <f t="shared" si="46"/>
        <v>200.0823542414671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4.016578947368421</v>
      </c>
      <c r="FE35" s="12">
        <f>IF('Données projet'!$A$218&gt;35,FE34+FD35-FM34,IF(A35&lt;'Données projet'!$A$218,$FB$205^A35,IF(A35='Données projet'!$A$218,'Données projet'!$B$218,FE34+FD35-FM34)))</f>
        <v>128.53052631578942</v>
      </c>
      <c r="FF35" s="17">
        <f>FE35*VLOOKUP('Données projet'!$B$16,Paramètres!$A$1:$I$89,3,0)*VLOOKUP('Données projet'!$B$16,Paramètres!$A$1:$I$89,5,0)</f>
        <v>138.35025852631571</v>
      </c>
      <c r="FG35" s="13">
        <f t="shared" si="47"/>
        <v>35.918812551914193</v>
      </c>
      <c r="FH35" s="20">
        <f t="shared" si="22"/>
        <v>303.51863212791704</v>
      </c>
      <c r="FI35" s="59">
        <f t="shared" si="23"/>
        <v>596.8519654612503</v>
      </c>
      <c r="FJ35" s="59">
        <f ca="1">AVERAGE(OFFSET($FI$3,0,0,'Données projet'!$E$16+1,1))-AVERAGE(OFFSET($H$3,0,0,'Données projet'!$E$16+1,1))</f>
        <v>415.8741608506952</v>
      </c>
      <c r="FK35" s="59">
        <f t="shared" si="48"/>
        <v>259.15848913719356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4.016578947368421</v>
      </c>
      <c r="FZ35" s="12">
        <f>IF('Données projet'!$A$244&gt;35,FZ34+FY35-GH34,IF(A35&lt;'Données projet'!$A$244,$FW$205^A35,IF(A35='Données projet'!$A$244,'Données projet'!$B$244,FZ34+FY35-GH34)))</f>
        <v>128.53052631578942</v>
      </c>
      <c r="GA35" s="17">
        <f>FZ35*VLOOKUP('Données projet'!$B$17,Paramètres!$A$1:$I$89,3,0)*VLOOKUP('Données projet'!$B$17,Paramètres!$A$1:$I$89,5,0)</f>
        <v>110.27919157894733</v>
      </c>
      <c r="GB35" s="13">
        <f t="shared" si="49"/>
        <v>29.396754578508553</v>
      </c>
      <c r="GC35" s="20">
        <f t="shared" si="25"/>
        <v>243.26893955756896</v>
      </c>
      <c r="GD35" s="59">
        <f t="shared" si="26"/>
        <v>536.60227289090221</v>
      </c>
      <c r="GE35" s="59">
        <f ca="1">AVERAGE(OFFSET($GD$3,0,0,'Données projet'!$E$17+1,1))-AVERAGE(OFFSET($H$3,0,0,'Données projet'!$E$17+1,1))</f>
        <v>322.39807389980882</v>
      </c>
      <c r="GF35" s="59">
        <f t="shared" si="50"/>
        <v>202.59410055732792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12.097799999999999</v>
      </c>
      <c r="D36" s="11">
        <f t="shared" si="32"/>
        <v>4.1709159700149741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125.58307064572961</v>
      </c>
      <c r="H36" s="67">
        <f t="shared" si="1"/>
        <v>321.66801364777604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6.4429411764705877</v>
      </c>
      <c r="N36" s="13">
        <f>IF('Données projet'!$A$36&gt;35,N35+M36-V35,IF(A36&lt;'Données projet'!$A$36,$K$205^A36,IF(A36='Données projet'!$A$36,'Données projet'!$B$36,N35+M36-V35)))</f>
        <v>212.61705882352931</v>
      </c>
      <c r="O36" s="13">
        <f>N36*VLOOKUP('Données projet'!$B$9,Paramètres!$A$1:$I$89,3,0)*VLOOKUP('Données projet'!$B$9,Paramètres!$A$1:$I$89,5,0)</f>
        <v>99.504783529411725</v>
      </c>
      <c r="P36" s="13">
        <f t="shared" si="33"/>
        <v>26.84398498698495</v>
      </c>
      <c r="Q36" s="20">
        <f t="shared" si="53"/>
        <v>220.05743849939086</v>
      </c>
      <c r="R36" s="59">
        <f t="shared" si="0"/>
        <v>513.39077183272411</v>
      </c>
      <c r="S36" s="59">
        <f ca="1">AVERAGE(OFFSET($R$3,0,0,'Données projet'!$E$9+1,1))-AVERAGE(OFFSET($H$3,0,0,'Données projet'!$E$9+1,1))</f>
        <v>215.77907571824977</v>
      </c>
      <c r="T36" s="59">
        <f t="shared" si="34"/>
        <v>174.69390149594869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13.357499999999998</v>
      </c>
      <c r="AI36" s="13">
        <f>IF('Données projet'!$A$62&gt;35,AI35+AH36-AQ35,IF(A36&lt;'Données projet'!$A$62,$AF$205^A36,IF(A36='Données projet'!$A$62,'Données projet'!$B$62,AI35+AH36-AQ35)))</f>
        <v>169.69249999999997</v>
      </c>
      <c r="AJ36" s="13">
        <f>AI36*VLOOKUP('Données projet'!$B$10,Paramètres!$A$1:$I$89,3,0)*VLOOKUP('Données projet'!$B$10,Paramètres!$A$1:$I$89,5,0)</f>
        <v>101.47611499999998</v>
      </c>
      <c r="AK36" s="13">
        <f t="shared" si="35"/>
        <v>27.313361124474454</v>
      </c>
      <c r="AL36" s="20">
        <f t="shared" si="4"/>
        <v>224.30833758345966</v>
      </c>
      <c r="AM36" s="59">
        <f t="shared" si="5"/>
        <v>517.64167091679292</v>
      </c>
      <c r="AN36" s="59">
        <f ca="1">AVERAGE(OFFSET($AM$3,0,0,'Données projet'!$E$10+1,1))-AVERAGE(OFFSET($H$3,0,0,'Données projet'!$E$10+1,1))</f>
        <v>171.701352621833</v>
      </c>
      <c r="AO36" s="59">
        <f t="shared" si="36"/>
        <v>195.58435749168586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3.181382099390309</v>
      </c>
      <c r="AV36" s="21">
        <f>EXP(-LN(2)/25)*AV35+(1-EXP(-LN(2)/25))/(LN(2)/25)*Calculateur!AQ36*Calculateur!AS36*VLOOKUP('Données projet'!$B$10,Paramètres!$A$1:$I$89,3,0)*0.475*44/12</f>
        <v>11.453371098770022</v>
      </c>
      <c r="AW36" s="21">
        <f>EXP(-LN(2)/2)*AW35+(1-EXP(-LN(2)/2))/(LN(2)/2)*AQ36*AT36*VLOOKUP('Données projet'!$B$10,Paramètres!$A$1:$I$89,3,0)*0.475*44/12</f>
        <v>4.1835977285206694</v>
      </c>
      <c r="AX36" s="21">
        <f t="shared" si="6"/>
        <v>18.818350926680999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23.4</v>
      </c>
      <c r="BD36" s="12">
        <f>IF('Données projet'!$A$88&gt;35,BD35+BC36-BL35,IF(A36&lt;'Données projet'!$A$88,$BA$205^A36,IF(A36='Données projet'!$A$88,'Données projet'!$B$88,BD35+BC36-BL35)))</f>
        <v>286.19999999999993</v>
      </c>
      <c r="BE36" s="13">
        <f>BD36*VLOOKUP('Données projet'!$B$11,Paramètres!$A$1:$I$89,3,0)*VLOOKUP('Données projet'!$B$11,Paramètres!$A$1:$I$89,5,0)</f>
        <v>148.82399999999998</v>
      </c>
      <c r="BF36" s="13">
        <f t="shared" si="37"/>
        <v>38.311213100614353</v>
      </c>
      <c r="BG36" s="20">
        <f t="shared" si="7"/>
        <v>325.92716281690332</v>
      </c>
      <c r="BH36" s="59">
        <f t="shared" si="8"/>
        <v>619.26049615023658</v>
      </c>
      <c r="BI36" s="59">
        <f ca="1">AVERAGE(OFFSET($BH$3,0,0,'Données projet'!$E$11+1,1))-AVERAGE(OFFSET($H$3,0,0,'Données projet'!$E$11+1,1))</f>
        <v>348.29124901999882</v>
      </c>
      <c r="BJ36" s="59">
        <f t="shared" si="38"/>
        <v>284.30034973939053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8.4051654515222776</v>
      </c>
      <c r="BQ36" s="21">
        <f>EXP(-LN(2)/25)*BQ35+(1-EXP(-LN(2)/25))/(LN(2)/25)*Calculateur!BL36*Calculateur!BN36*VLOOKUP('Données projet'!$B$11,Paramètres!$A$1:$I$89,3,0)*0.475*44/12</f>
        <v>11.909599524234796</v>
      </c>
      <c r="BR36" s="21">
        <f>EXP(-LN(2)/2)*BR35+(1-EXP(-LN(2)/2))/(LN(2)/2)*BL36*BO36*VLOOKUP('Données projet'!$B$11,Paramètres!$A$1:$I$89,3,0)*0.475*44/12</f>
        <v>5.0168991173966848</v>
      </c>
      <c r="BS36" s="22">
        <f t="shared" si="9"/>
        <v>25.331664093153755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4.5468888888888888</v>
      </c>
      <c r="BY36" s="12">
        <f>IF('Données projet'!$A$114&gt;35,BY35+BX36-CG35,IF(A36&lt;'Données projet'!$A$114,$BV$205^A36,IF(A36='Données projet'!$A$114,'Données projet'!$B$114,BY35+BX36-CG35)))</f>
        <v>150.04733333333334</v>
      </c>
      <c r="BZ36" s="13">
        <f>BY36*VLOOKUP('Données projet'!$B$12,Paramètres!$A$1:$I$89,3,0)*VLOOKUP('Données projet'!$B$12,Paramètres!$A$1:$I$89,5,0)</f>
        <v>89.728305333333353</v>
      </c>
      <c r="CA36" s="13">
        <f t="shared" si="39"/>
        <v>24.499687257063314</v>
      </c>
      <c r="CB36" s="20">
        <f t="shared" si="10"/>
        <v>198.94708709494088</v>
      </c>
      <c r="CC36" s="59">
        <f t="shared" si="11"/>
        <v>492.28042042827417</v>
      </c>
      <c r="CD36" s="59">
        <f ca="1">AVERAGE(OFFSET($CC$3,0,0,'Données projet'!$E$12+1,1))-AVERAGE(OFFSET($H$3,0,0,'Données projet'!$E$12+1,1))</f>
        <v>185.82627135915504</v>
      </c>
      <c r="CE36" s="59">
        <f t="shared" si="40"/>
        <v>155.46126452522037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2.4692307692307707</v>
      </c>
      <c r="CT36" s="12">
        <f>IF('Données projet'!$A$140&gt;35,CT35+CS36-DB35,IF(A36&lt;'Données projet'!$A$140,$CQ$205^A36,IF(A36='Données projet'!$A$140,'Données projet'!$B$140,CT35+CS36-DB35)))</f>
        <v>59.561538461538447</v>
      </c>
      <c r="CU36" s="17">
        <f>CT36*VLOOKUP('Données projet'!$B$13,Paramètres!$A$1:$I$89,3,0)*VLOOKUP('Données projet'!$B$13,Paramètres!$A$1:$I$89,5,0)</f>
        <v>68.614892307692287</v>
      </c>
      <c r="CV36" s="13">
        <f t="shared" si="41"/>
        <v>19.329087442977542</v>
      </c>
      <c r="CW36" s="20">
        <f t="shared" si="13"/>
        <v>153.16909806574992</v>
      </c>
      <c r="CX36" s="59">
        <f t="shared" si="14"/>
        <v>446.50243139908321</v>
      </c>
      <c r="CY36" s="59">
        <f ca="1">AVERAGE(OFFSET($CX$3,0,0,'Données projet'!$E$13+1,1))-AVERAGE(OFFSET($H$3,0,0,'Données projet'!$E$13+1,1))</f>
        <v>150.78964413039063</v>
      </c>
      <c r="CZ36" s="59">
        <f t="shared" si="42"/>
        <v>131.90332435966184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1.4800243273860501</v>
      </c>
      <c r="DG36" s="21">
        <f>EXP(-LN(2)/25)*DG35+(1-EXP(-LN(2)/25))/(LN(2)/25)*Calculateur!DB36*Calculateur!DD36*VLOOKUP('Données projet'!$B$13,Paramètres!$A$1:$I$89,3,0)*0.475*44/12</f>
        <v>2.0391716688429877</v>
      </c>
      <c r="DH36" s="21">
        <f>EXP(-LN(2)/2)*DH35+(1-EXP(-LN(2)/2))/(LN(2)/2)*DB36*DE36*VLOOKUP('Données projet'!$B$13,Paramètres!$A$1:$I$89,3,0)*0.475*44/12</f>
        <v>0.89677217514707708</v>
      </c>
      <c r="DI36" s="22">
        <f t="shared" si="15"/>
        <v>4.4159681713761145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3.333333333333333</v>
      </c>
      <c r="DO36" s="12">
        <f>IF('Données projet'!$A$166&gt;35,DO35+DN36-DW35,IF(A36&lt;'Données projet'!$A$166,$DL$205^A36,IF(A36='Données projet'!$A$166,'Données projet'!$B$166,DO35+DN36-DW35)))</f>
        <v>52.307692307692307</v>
      </c>
      <c r="DP36" s="17">
        <f>DO36*VLOOKUP('Données projet'!$B$14,Paramètres!$A$1:$I$89,3,0)*VLOOKUP('Données projet'!$B$14,Paramètres!$A$1:$I$89,5,0)</f>
        <v>54.672000000000004</v>
      </c>
      <c r="DQ36" s="13">
        <f t="shared" si="43"/>
        <v>15.813979985542121</v>
      </c>
      <c r="DR36" s="20">
        <f t="shared" si="16"/>
        <v>122.76308180815255</v>
      </c>
      <c r="DS36" s="59">
        <f t="shared" si="17"/>
        <v>416.09641514148586</v>
      </c>
      <c r="DT36" s="59">
        <f ca="1">AVERAGE(OFFSET($DS$3,0,0,'Données projet'!$E$14+1,1))-AVERAGE(OFFSET($H$3,0,0,'Données projet'!$E$14+1,1))</f>
        <v>110.10595934547638</v>
      </c>
      <c r="DU36" s="59">
        <f t="shared" si="44"/>
        <v>131.10971921141493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5.6923031701927354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5.6923031701927354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3.3603333333333336</v>
      </c>
      <c r="EJ36" s="12">
        <f>IF('Données projet'!$A$192&gt;35,EJ35+EI36-ER35,IF(A36&lt;'Données projet'!$A$192,$EG$205^A36,IF(A36='Données projet'!$A$192,'Données projet'!$B$192,EJ35+EI36-ER35)))</f>
        <v>110.89099999999999</v>
      </c>
      <c r="EK36" s="17">
        <f>EJ36*VLOOKUP('Données projet'!$B$15,Paramètres!$A$1:$I$89,3,0)*VLOOKUP('Données projet'!$B$15,Paramètres!$A$1:$I$89,5,0)</f>
        <v>112.44347399999999</v>
      </c>
      <c r="EL36" s="13">
        <f t="shared" si="45"/>
        <v>29.905947908104487</v>
      </c>
      <c r="EM36" s="20">
        <f t="shared" si="19"/>
        <v>247.92524315661532</v>
      </c>
      <c r="EN36" s="59">
        <f t="shared" si="20"/>
        <v>541.25857648994861</v>
      </c>
      <c r="EO36" s="59">
        <f ca="1">AVERAGE(OFFSET($EN$3,0,0,'Données projet'!$E$15+1,1))-AVERAGE(OFFSET($H$3,0,0,'Données projet'!$E$15+1,1))</f>
        <v>420.38735944595965</v>
      </c>
      <c r="EP36" s="59">
        <f t="shared" si="46"/>
        <v>200.0823542414671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4.016578947368421</v>
      </c>
      <c r="FE36" s="12">
        <f>IF('Données projet'!$A$218&gt;35,FE35+FD36-FM35,IF(A36&lt;'Données projet'!$A$218,$FB$205^A36,IF(A36='Données projet'!$A$218,'Données projet'!$B$218,FE35+FD36-FM35)))</f>
        <v>132.54710526315785</v>
      </c>
      <c r="FF36" s="17">
        <f>FE36*VLOOKUP('Données projet'!$B$16,Paramètres!$A$1:$I$89,3,0)*VLOOKUP('Données projet'!$B$16,Paramètres!$A$1:$I$89,5,0)</f>
        <v>142.67370410526308</v>
      </c>
      <c r="FG36" s="13">
        <f t="shared" si="47"/>
        <v>36.908837549372954</v>
      </c>
      <c r="FH36" s="20">
        <f t="shared" si="22"/>
        <v>312.77292671515772</v>
      </c>
      <c r="FI36" s="59">
        <f t="shared" si="23"/>
        <v>606.10626004849109</v>
      </c>
      <c r="FJ36" s="59">
        <f ca="1">AVERAGE(OFFSET($FI$3,0,0,'Données projet'!$E$16+1,1))-AVERAGE(OFFSET($H$3,0,0,'Données projet'!$E$16+1,1))</f>
        <v>415.8741608506952</v>
      </c>
      <c r="FK36" s="59">
        <f t="shared" si="48"/>
        <v>259.15848913719356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4.016578947368421</v>
      </c>
      <c r="FZ36" s="12">
        <f>IF('Données projet'!$A$244&gt;35,FZ35+FY36-GH35,IF(A36&lt;'Données projet'!$A$244,$FW$205^A36,IF(A36='Données projet'!$A$244,'Données projet'!$B$244,FZ35+FY36-GH35)))</f>
        <v>132.54710526315785</v>
      </c>
      <c r="GA36" s="17">
        <f>FZ36*VLOOKUP('Données projet'!$B$17,Paramètres!$A$1:$I$89,3,0)*VLOOKUP('Données projet'!$B$17,Paramètres!$A$1:$I$89,5,0)</f>
        <v>113.72541631578945</v>
      </c>
      <c r="GB36" s="13">
        <f t="shared" si="49"/>
        <v>30.207013042226411</v>
      </c>
      <c r="GC36" s="20">
        <f t="shared" si="25"/>
        <v>250.68231446521096</v>
      </c>
      <c r="GD36" s="59">
        <f t="shared" si="26"/>
        <v>544.01564779854425</v>
      </c>
      <c r="GE36" s="59">
        <f ca="1">AVERAGE(OFFSET($GD$3,0,0,'Données projet'!$E$17+1,1))-AVERAGE(OFFSET($H$3,0,0,'Données projet'!$E$17+1,1))</f>
        <v>322.39807389980882</v>
      </c>
      <c r="GF36" s="59">
        <f t="shared" si="50"/>
        <v>202.59410055732792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37" s="11">
        <f t="shared" si="32"/>
        <v>4.2824006291256396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129.27354871605758</v>
      </c>
      <c r="H37" s="67">
        <f t="shared" si="1"/>
        <v>322.50067776239382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6.4429411764705877</v>
      </c>
      <c r="N37" s="13">
        <f>IF('Données projet'!$A$36&gt;35,N36+M37-V36,IF(A37&lt;'Données projet'!$A$36,$K$205^A37,IF(A37='Données projet'!$A$36,'Données projet'!$B$36,N36+M37-V36)))</f>
        <v>219.05999999999989</v>
      </c>
      <c r="O37" s="13">
        <f>N37*VLOOKUP('Données projet'!$B$9,Paramètres!$A$1:$I$89,3,0)*VLOOKUP('Données projet'!$B$9,Paramètres!$A$1:$I$89,5,0)</f>
        <v>102.52007999999994</v>
      </c>
      <c r="P37" s="13">
        <f t="shared" si="33"/>
        <v>27.561499445909675</v>
      </c>
      <c r="Q37" s="20">
        <f t="shared" si="53"/>
        <v>226.55875086829255</v>
      </c>
      <c r="R37" s="59">
        <f t="shared" si="0"/>
        <v>519.89208420162583</v>
      </c>
      <c r="S37" s="59">
        <f ca="1">AVERAGE(OFFSET($R$3,0,0,'Données projet'!$E$9+1,1))-AVERAGE(OFFSET($H$3,0,0,'Données projet'!$E$9+1,1))</f>
        <v>215.77907571824977</v>
      </c>
      <c r="T37" s="59">
        <f t="shared" si="34"/>
        <v>174.69390149594869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13.357499999999998</v>
      </c>
      <c r="AI37" s="13">
        <f>IF('Données projet'!$A$62&gt;35,AI36+AH37-AQ36,IF(A37&lt;'Données projet'!$A$62,$AF$205^A37,IF(A37='Données projet'!$A$62,'Données projet'!$B$62,AI36+AH37-AQ36)))</f>
        <v>183.04999999999995</v>
      </c>
      <c r="AJ37" s="13">
        <f>AI37*VLOOKUP('Données projet'!$B$10,Paramètres!$A$1:$I$89,3,0)*VLOOKUP('Données projet'!$B$10,Paramètres!$A$1:$I$89,5,0)</f>
        <v>109.4639</v>
      </c>
      <c r="AK37" s="13">
        <f t="shared" si="35"/>
        <v>29.204639338894335</v>
      </c>
      <c r="AL37" s="20">
        <f t="shared" si="4"/>
        <v>241.51437268190762</v>
      </c>
      <c r="AM37" s="59">
        <f t="shared" si="5"/>
        <v>534.84770601524087</v>
      </c>
      <c r="AN37" s="59">
        <f ca="1">AVERAGE(OFFSET($AM$3,0,0,'Données projet'!$E$10+1,1))-AVERAGE(OFFSET($H$3,0,0,'Données projet'!$E$10+1,1))</f>
        <v>171.701352621833</v>
      </c>
      <c r="AO37" s="59">
        <f t="shared" si="36"/>
        <v>195.58435749168586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3.1189971368727418</v>
      </c>
      <c r="AV37" s="21">
        <f>EXP(-LN(2)/25)*AV36+(1-EXP(-LN(2)/25))/(LN(2)/25)*Calculateur!AQ37*Calculateur!AS37*VLOOKUP('Données projet'!$B$10,Paramètres!$A$1:$I$89,3,0)*0.475*44/12</f>
        <v>11.140178063767546</v>
      </c>
      <c r="AW37" s="21">
        <f>EXP(-LN(2)/2)*AW36+(1-EXP(-LN(2)/2))/(LN(2)/2)*AQ37*AT37*VLOOKUP('Données projet'!$B$10,Paramètres!$A$1:$I$89,3,0)*0.475*44/12</f>
        <v>2.9582503235936022</v>
      </c>
      <c r="AX37" s="21">
        <f t="shared" si="6"/>
        <v>17.217425524233892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23.4</v>
      </c>
      <c r="BD37" s="12">
        <f>IF('Données projet'!$A$88&gt;35,BD36+BC37-BL36,IF(A37&lt;'Données projet'!$A$88,$BA$205^A37,IF(A37='Données projet'!$A$88,'Données projet'!$B$88,BD36+BC37-BL36)))</f>
        <v>309.59999999999991</v>
      </c>
      <c r="BE37" s="13">
        <f>BD37*VLOOKUP('Données projet'!$B$11,Paramètres!$A$1:$I$89,3,0)*VLOOKUP('Données projet'!$B$11,Paramètres!$A$1:$I$89,5,0)</f>
        <v>160.99199999999996</v>
      </c>
      <c r="BF37" s="13">
        <f t="shared" si="37"/>
        <v>41.066183224007823</v>
      </c>
      <c r="BG37" s="20">
        <f t="shared" si="7"/>
        <v>351.91800244848019</v>
      </c>
      <c r="BH37" s="59">
        <f t="shared" si="8"/>
        <v>645.25133578181351</v>
      </c>
      <c r="BI37" s="59">
        <f ca="1">AVERAGE(OFFSET($BH$3,0,0,'Données projet'!$E$11+1,1))-AVERAGE(OFFSET($H$3,0,0,'Données projet'!$E$11+1,1))</f>
        <v>348.29124901999882</v>
      </c>
      <c r="BJ37" s="59">
        <f t="shared" si="38"/>
        <v>284.30034973939053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8.2403452836626379</v>
      </c>
      <c r="BQ37" s="21">
        <f>EXP(-LN(2)/25)*BQ36+(1-EXP(-LN(2)/25))/(LN(2)/25)*Calculateur!BL37*Calculateur!BN37*VLOOKUP('Données projet'!$B$11,Paramètres!$A$1:$I$89,3,0)*0.475*44/12</f>
        <v>11.583930898945976</v>
      </c>
      <c r="BR37" s="21">
        <f>EXP(-LN(2)/2)*BR36+(1-EXP(-LN(2)/2))/(LN(2)/2)*BL37*BO37*VLOOKUP('Données projet'!$B$11,Paramètres!$A$1:$I$89,3,0)*0.475*44/12</f>
        <v>3.5474833864400011</v>
      </c>
      <c r="BS37" s="22">
        <f t="shared" si="9"/>
        <v>23.371759569048614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4.5468888888888888</v>
      </c>
      <c r="BY37" s="12">
        <f>IF('Données projet'!$A$114&gt;35,BY36+BX37-CG36,IF(A37&lt;'Données projet'!$A$114,$BV$205^A37,IF(A37='Données projet'!$A$114,'Données projet'!$B$114,BY36+BX37-CG36)))</f>
        <v>154.59422222222224</v>
      </c>
      <c r="BZ37" s="13">
        <f>BY37*VLOOKUP('Données projet'!$B$12,Paramètres!$A$1:$I$89,3,0)*VLOOKUP('Données projet'!$B$12,Paramètres!$A$1:$I$89,5,0)</f>
        <v>92.447344888888907</v>
      </c>
      <c r="CA37" s="13">
        <f t="shared" si="39"/>
        <v>25.154540843615376</v>
      </c>
      <c r="CB37" s="20">
        <f t="shared" si="10"/>
        <v>204.82328431744494</v>
      </c>
      <c r="CC37" s="59">
        <f t="shared" si="11"/>
        <v>498.15661765077823</v>
      </c>
      <c r="CD37" s="59">
        <f ca="1">AVERAGE(OFFSET($CC$3,0,0,'Données projet'!$E$12+1,1))-AVERAGE(OFFSET($H$3,0,0,'Données projet'!$E$12+1,1))</f>
        <v>185.82627135915504</v>
      </c>
      <c r="CE37" s="59">
        <f t="shared" si="40"/>
        <v>155.46126452522037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2.4692307692307707</v>
      </c>
      <c r="CT37" s="12">
        <f>IF('Données projet'!$A$140&gt;35,CT36+CS37-DB36,IF(A37&lt;'Données projet'!$A$140,$CQ$205^A37,IF(A37='Données projet'!$A$140,'Données projet'!$B$140,CT36+CS37-DB36)))</f>
        <v>62.030769230769216</v>
      </c>
      <c r="CU37" s="17">
        <f>CT37*VLOOKUP('Données projet'!$B$13,Paramètres!$A$1:$I$89,3,0)*VLOOKUP('Données projet'!$B$13,Paramètres!$A$1:$I$89,5,0)</f>
        <v>71.45944615384613</v>
      </c>
      <c r="CV37" s="13">
        <f t="shared" si="41"/>
        <v>20.035453079684597</v>
      </c>
      <c r="CW37" s="20">
        <f t="shared" si="13"/>
        <v>159.353616165066</v>
      </c>
      <c r="CX37" s="59">
        <f t="shared" si="14"/>
        <v>452.68694949839931</v>
      </c>
      <c r="CY37" s="59">
        <f ca="1">AVERAGE(OFFSET($CX$3,0,0,'Données projet'!$E$13+1,1))-AVERAGE(OFFSET($H$3,0,0,'Données projet'!$E$13+1,1))</f>
        <v>150.78964413039063</v>
      </c>
      <c r="CZ37" s="59">
        <f t="shared" si="42"/>
        <v>131.90332435966184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1.4510019530517126</v>
      </c>
      <c r="DG37" s="21">
        <f>EXP(-LN(2)/25)*DG36+(1-EXP(-LN(2)/25))/(LN(2)/25)*Calculateur!DB37*Calculateur!DD37*VLOOKUP('Données projet'!$B$13,Paramètres!$A$1:$I$89,3,0)*0.475*44/12</f>
        <v>1.9834104123230987</v>
      </c>
      <c r="DH37" s="21">
        <f>EXP(-LN(2)/2)*DH36+(1-EXP(-LN(2)/2))/(LN(2)/2)*DB37*DE37*VLOOKUP('Données projet'!$B$13,Paramètres!$A$1:$I$89,3,0)*0.475*44/12</f>
        <v>0.63411368622590858</v>
      </c>
      <c r="DI37" s="22">
        <f t="shared" si="15"/>
        <v>4.0685260516007196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3.333333333333333</v>
      </c>
      <c r="DO37" s="12">
        <f>IF('Données projet'!$A$166&gt;35,DO36+DN37-DW36,IF(A37&lt;'Données projet'!$A$166,$DL$205^A37,IF(A37='Données projet'!$A$166,'Données projet'!$B$166,DO36+DN37-DW36)))</f>
        <v>55.641025641025642</v>
      </c>
      <c r="DP37" s="17">
        <f>DO37*VLOOKUP('Données projet'!$B$14,Paramètres!$A$1:$I$89,3,0)*VLOOKUP('Données projet'!$B$14,Paramètres!$A$1:$I$89,5,0)</f>
        <v>58.156000000000006</v>
      </c>
      <c r="DQ37" s="13">
        <f t="shared" si="43"/>
        <v>16.701204341152362</v>
      </c>
      <c r="DR37" s="20">
        <f t="shared" si="16"/>
        <v>130.37629756084036</v>
      </c>
      <c r="DS37" s="59">
        <f t="shared" si="17"/>
        <v>423.70963089417364</v>
      </c>
      <c r="DT37" s="59">
        <f ca="1">AVERAGE(OFFSET($DS$3,0,0,'Données projet'!$E$14+1,1))-AVERAGE(OFFSET($H$3,0,0,'Données projet'!$E$14+1,1))</f>
        <v>110.10595934547638</v>
      </c>
      <c r="DU37" s="59">
        <f t="shared" si="44"/>
        <v>131.10971921141493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5.5366468406586016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5.5366468406586016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3.3603333333333336</v>
      </c>
      <c r="EJ37" s="12">
        <f>IF('Données projet'!$A$192&gt;35,EJ36+EI37-ER36,IF(A37&lt;'Données projet'!$A$192,$EG$205^A37,IF(A37='Données projet'!$A$192,'Données projet'!$B$192,EJ36+EI37-ER36)))</f>
        <v>114.25133333333332</v>
      </c>
      <c r="EK37" s="17">
        <f>EJ37*VLOOKUP('Données projet'!$B$15,Paramètres!$A$1:$I$89,3,0)*VLOOKUP('Données projet'!$B$15,Paramètres!$A$1:$I$89,5,0)</f>
        <v>115.85085199999999</v>
      </c>
      <c r="EL37" s="13">
        <f t="shared" si="45"/>
        <v>30.705305754650677</v>
      </c>
      <c r="EM37" s="20">
        <f t="shared" si="19"/>
        <v>255.25197475601655</v>
      </c>
      <c r="EN37" s="59">
        <f t="shared" si="20"/>
        <v>548.58530808934984</v>
      </c>
      <c r="EO37" s="59">
        <f ca="1">AVERAGE(OFFSET($EN$3,0,0,'Données projet'!$E$15+1,1))-AVERAGE(OFFSET($H$3,0,0,'Données projet'!$E$15+1,1))</f>
        <v>420.38735944595965</v>
      </c>
      <c r="EP37" s="59">
        <f t="shared" si="46"/>
        <v>200.0823542414671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4.016578947368421</v>
      </c>
      <c r="FE37" s="12">
        <f>IF('Données projet'!$A$218&gt;35,FE36+FD37-FM36,IF(A37&lt;'Données projet'!$A$218,$FB$205^A37,IF(A37='Données projet'!$A$218,'Données projet'!$B$218,FE36+FD37-FM36)))</f>
        <v>136.56368421052628</v>
      </c>
      <c r="FF37" s="17">
        <f>FE37*VLOOKUP('Données projet'!$B$16,Paramètres!$A$1:$I$89,3,0)*VLOOKUP('Données projet'!$B$16,Paramètres!$A$1:$I$89,5,0)</f>
        <v>146.99714968421048</v>
      </c>
      <c r="FG37" s="13">
        <f t="shared" si="47"/>
        <v>37.895376046418704</v>
      </c>
      <c r="FH37" s="20">
        <f t="shared" si="22"/>
        <v>322.02114898084585</v>
      </c>
      <c r="FI37" s="59">
        <f t="shared" si="23"/>
        <v>615.35448231417922</v>
      </c>
      <c r="FJ37" s="59">
        <f ca="1">AVERAGE(OFFSET($FI$3,0,0,'Données projet'!$E$16+1,1))-AVERAGE(OFFSET($H$3,0,0,'Données projet'!$E$16+1,1))</f>
        <v>415.8741608506952</v>
      </c>
      <c r="FK37" s="59">
        <f t="shared" si="48"/>
        <v>259.15848913719356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4.016578947368421</v>
      </c>
      <c r="FZ37" s="12">
        <f>IF('Données projet'!$A$244&gt;35,FZ36+FY37-GH36,IF(A37&lt;'Données projet'!$A$244,$FW$205^A37,IF(A37='Données projet'!$A$244,'Données projet'!$B$244,FZ36+FY37-GH36)))</f>
        <v>136.56368421052628</v>
      </c>
      <c r="GA37" s="17">
        <f>FZ37*VLOOKUP('Données projet'!$B$17,Paramètres!$A$1:$I$89,3,0)*VLOOKUP('Données projet'!$B$17,Paramètres!$A$1:$I$89,5,0)</f>
        <v>117.17164105263156</v>
      </c>
      <c r="GB37" s="13">
        <f t="shared" si="49"/>
        <v>31.014418076510015</v>
      </c>
      <c r="GC37" s="20">
        <f t="shared" si="25"/>
        <v>258.09071964992154</v>
      </c>
      <c r="GD37" s="59">
        <f t="shared" si="26"/>
        <v>551.4240529832548</v>
      </c>
      <c r="GE37" s="59">
        <f ca="1">AVERAGE(OFFSET($GD$3,0,0,'Données projet'!$E$17+1,1))-AVERAGE(OFFSET($H$3,0,0,'Données projet'!$E$17+1,1))</f>
        <v>322.39807389980882</v>
      </c>
      <c r="GF37" s="59">
        <f t="shared" si="50"/>
        <v>202.59410055732792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12.831</v>
      </c>
      <c r="D38" s="11">
        <f t="shared" si="32"/>
        <v>4.3935042117607663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132.96108514341645</v>
      </c>
      <c r="H38" s="67">
        <f t="shared" si="1"/>
        <v>323.33267816881664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6.4429411764705877</v>
      </c>
      <c r="N38" s="13">
        <f>IF('Données projet'!$A$36&gt;35,N37+M38-V37,IF(A38&lt;'Données projet'!$A$36,$K$205^A38,IF(A38='Données projet'!$A$36,'Données projet'!$B$36,N37+M38-V37)))</f>
        <v>225.50294117647047</v>
      </c>
      <c r="O38" s="13">
        <f>N38*VLOOKUP('Données projet'!$B$9,Paramètres!$A$1:$I$89,3,0)*VLOOKUP('Données projet'!$B$9,Paramètres!$A$1:$I$89,5,0)</f>
        <v>105.53537647058819</v>
      </c>
      <c r="P38" s="13">
        <f t="shared" si="33"/>
        <v>28.276561299396725</v>
      </c>
      <c r="Q38" s="20">
        <f t="shared" si="53"/>
        <v>233.05579161605704</v>
      </c>
      <c r="R38" s="59">
        <f t="shared" si="0"/>
        <v>526.38912494939041</v>
      </c>
      <c r="S38" s="59">
        <f ca="1">AVERAGE(OFFSET($R$3,0,0,'Données projet'!$E$9+1,1))-AVERAGE(OFFSET($H$3,0,0,'Données projet'!$E$9+1,1))</f>
        <v>215.77907571824977</v>
      </c>
      <c r="T38" s="59">
        <f t="shared" si="34"/>
        <v>174.69390149594869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13.357499999999998</v>
      </c>
      <c r="AI38" s="13">
        <f>IF('Données projet'!$A$62&gt;35,AI37+AH38-AQ37,IF(A38&lt;'Données projet'!$A$62,$AF$205^A38,IF(A38='Données projet'!$A$62,'Données projet'!$B$62,AI37+AH38-AQ37)))</f>
        <v>196.40749999999994</v>
      </c>
      <c r="AJ38" s="13">
        <f>AI38*VLOOKUP('Données projet'!$B$10,Paramètres!$A$1:$I$89,3,0)*VLOOKUP('Données projet'!$B$10,Paramètres!$A$1:$I$89,5,0)</f>
        <v>117.45168499999998</v>
      </c>
      <c r="AK38" s="13">
        <f t="shared" si="35"/>
        <v>31.079906217367387</v>
      </c>
      <c r="AL38" s="20">
        <f t="shared" si="4"/>
        <v>258.69252137024819</v>
      </c>
      <c r="AM38" s="59">
        <f t="shared" si="5"/>
        <v>552.02585470358144</v>
      </c>
      <c r="AN38" s="59">
        <f ca="1">AVERAGE(OFFSET($AM$3,0,0,'Données projet'!$E$10+1,1))-AVERAGE(OFFSET($H$3,0,0,'Données projet'!$E$10+1,1))</f>
        <v>171.701352621833</v>
      </c>
      <c r="AO38" s="59">
        <f t="shared" si="36"/>
        <v>195.58435749168586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3.0578355054190745</v>
      </c>
      <c r="AV38" s="21">
        <f>EXP(-LN(2)/25)*AV37+(1-EXP(-LN(2)/25))/(LN(2)/25)*Calculateur!AQ38*Calculateur!AS38*VLOOKUP('Données projet'!$B$10,Paramètres!$A$1:$I$89,3,0)*0.475*44/12</f>
        <v>10.83554930877732</v>
      </c>
      <c r="AW38" s="21">
        <f>EXP(-LN(2)/2)*AW37+(1-EXP(-LN(2)/2))/(LN(2)/2)*AQ38*AT38*VLOOKUP('Données projet'!$B$10,Paramètres!$A$1:$I$89,3,0)*0.475*44/12</f>
        <v>2.0917988642603347</v>
      </c>
      <c r="AX38" s="21">
        <f t="shared" si="6"/>
        <v>15.98518367845673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333</v>
      </c>
      <c r="BB38" s="12">
        <f>VLOOKUP(A38,'Données projet'!$A$87:$I$107,9,0)</f>
        <v>23.4</v>
      </c>
      <c r="BC38" s="12">
        <f t="array" ref="BC38">INDEX(BB:BB,MIN(IF(ISNUMBER(BB38:BB234),ROW(BB38:BB234),"")))</f>
        <v>23.4</v>
      </c>
      <c r="BD38" s="12">
        <f>IF('Données projet'!$A$88&gt;35,BD37+BC38-BL37,IF(A38&lt;'Données projet'!$A$88,$BA$205^A38,IF(A38='Données projet'!$A$88,'Données projet'!$B$88,BD37+BC38-BL37)))</f>
        <v>332.99999999999989</v>
      </c>
      <c r="BE38" s="13">
        <f>BD38*VLOOKUP('Données projet'!$B$11,Paramètres!$A$1:$I$89,3,0)*VLOOKUP('Données projet'!$B$11,Paramètres!$A$1:$I$89,5,0)</f>
        <v>173.15999999999997</v>
      </c>
      <c r="BF38" s="13">
        <f t="shared" si="37"/>
        <v>43.796998058051514</v>
      </c>
      <c r="BG38" s="20">
        <f t="shared" si="7"/>
        <v>377.86677161777294</v>
      </c>
      <c r="BH38" s="59">
        <f t="shared" si="8"/>
        <v>671.20010495110625</v>
      </c>
      <c r="BI38" s="59">
        <f ca="1">AVERAGE(OFFSET($BH$3,0,0,'Données projet'!$E$11+1,1))-AVERAGE(OFFSET($H$3,0,0,'Données projet'!$E$11+1,1))</f>
        <v>348.29124901999882</v>
      </c>
      <c r="BJ38" s="59">
        <f t="shared" si="38"/>
        <v>284.30034973939053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56</v>
      </c>
      <c r="BM38" s="16">
        <f>IF(ISNA(VLOOKUP(A38,'Données projet'!$A$87:$I$107,5,0)),0%,VLOOKUP(A38,'Données projet'!$A$87:$I$107,5,0)*VLOOKUP('Données projet'!$B$11,Paramètres!$A$1:$I$89,7,0))</f>
        <v>0.13750000000000001</v>
      </c>
      <c r="BN38" s="16">
        <f>IF(ISNA(VLOOKUP(A38,'Données projet'!$A$87:$I$107,6,0)),0%,VLOOKUP(A38,'Données projet'!$A$87:$I$107,6,0)*VLOOKUP('Données projet'!$B$11,Paramètres!$A$1:$I$89,7,0))</f>
        <v>0.20350000000000001</v>
      </c>
      <c r="BO38" s="16">
        <f>IF(ISNA(VLOOKUP(A38,'Données projet'!$A$87:$I$107,7,0)),0%,VLOOKUP(A38,'Données projet'!$A$87:$I$107,7,0))</f>
        <v>0.38</v>
      </c>
      <c r="BP38" s="21">
        <f>EXP(-LN(2)/35)*BP37+(1-EXP(-LN(2)/35))/(LN(2)/35)*BL38*BM38*VLOOKUP('Données projet'!$B$11,Paramètres!$A$1:$I$89,3,0)*0.475*44/12</f>
        <v>13.390321218344269</v>
      </c>
      <c r="BQ38" s="21">
        <f>EXP(-LN(2)/25)*BQ37+(1-EXP(-LN(2)/25))/(LN(2)/25)*Calculateur!BL38*Calculateur!BN38*VLOOKUP('Données projet'!$B$11,Paramètres!$A$1:$I$89,3,0)*0.475*44/12</f>
        <v>19.097330332684212</v>
      </c>
      <c r="BR38" s="21">
        <f>EXP(-LN(2)/2)*BR37+(1-EXP(-LN(2)/2))/(LN(2)/2)*BL38*BO38*VLOOKUP('Données projet'!$B$11,Paramètres!$A$1:$I$89,3,0)*0.475*44/12</f>
        <v>15.037279270207204</v>
      </c>
      <c r="BS38" s="22">
        <f t="shared" si="9"/>
        <v>47.524930821235685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4.5468888888888888</v>
      </c>
      <c r="BY38" s="12">
        <f>IF('Données projet'!$A$114&gt;35,BY37+BX38-CG37,IF(A38&lt;'Données projet'!$A$114,$BV$205^A38,IF(A38='Données projet'!$A$114,'Données projet'!$B$114,BY37+BX38-CG37)))</f>
        <v>159.14111111111114</v>
      </c>
      <c r="BZ38" s="13">
        <f>BY38*VLOOKUP('Données projet'!$B$12,Paramètres!$A$1:$I$89,3,0)*VLOOKUP('Données projet'!$B$12,Paramètres!$A$1:$I$89,5,0)</f>
        <v>95.166384444444475</v>
      </c>
      <c r="CA38" s="13">
        <f t="shared" si="39"/>
        <v>25.807156011906617</v>
      </c>
      <c r="CB38" s="20">
        <f t="shared" si="10"/>
        <v>210.69558296147815</v>
      </c>
      <c r="CC38" s="59">
        <f t="shared" si="11"/>
        <v>504.02891629481144</v>
      </c>
      <c r="CD38" s="59">
        <f ca="1">AVERAGE(OFFSET($CC$3,0,0,'Données projet'!$E$12+1,1))-AVERAGE(OFFSET($H$3,0,0,'Données projet'!$E$12+1,1))</f>
        <v>185.82627135915504</v>
      </c>
      <c r="CE38" s="59">
        <f t="shared" si="40"/>
        <v>155.46126452522037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2.4692307692307707</v>
      </c>
      <c r="CT38" s="12">
        <f>IF('Données projet'!$A$140&gt;35,CT37+CS38-DB37,IF(A38&lt;'Données projet'!$A$140,$CQ$205^A38,IF(A38='Données projet'!$A$140,'Données projet'!$B$140,CT37+CS38-DB37)))</f>
        <v>64.499999999999986</v>
      </c>
      <c r="CU38" s="17">
        <f>CT38*VLOOKUP('Données projet'!$B$13,Paramètres!$A$1:$I$89,3,0)*VLOOKUP('Données projet'!$B$13,Paramètres!$A$1:$I$89,5,0)</f>
        <v>74.303999999999988</v>
      </c>
      <c r="CV38" s="13">
        <f t="shared" si="41"/>
        <v>20.738552443625434</v>
      </c>
      <c r="CW38" s="20">
        <f t="shared" si="13"/>
        <v>165.53244550598095</v>
      </c>
      <c r="CX38" s="59">
        <f t="shared" si="14"/>
        <v>458.86577883931426</v>
      </c>
      <c r="CY38" s="59">
        <f ca="1">AVERAGE(OFFSET($CX$3,0,0,'Données projet'!$E$13+1,1))-AVERAGE(OFFSET($H$3,0,0,'Données projet'!$E$13+1,1))</f>
        <v>150.78964413039063</v>
      </c>
      <c r="CZ38" s="59">
        <f t="shared" si="42"/>
        <v>131.90332435966184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1.422548689776171</v>
      </c>
      <c r="DG38" s="21">
        <f>EXP(-LN(2)/25)*DG37+(1-EXP(-LN(2)/25))/(LN(2)/25)*Calculateur!DB38*Calculateur!DD38*VLOOKUP('Données projet'!$B$13,Paramètres!$A$1:$I$89,3,0)*0.475*44/12</f>
        <v>1.9291739502951031</v>
      </c>
      <c r="DH38" s="21">
        <f>EXP(-LN(2)/2)*DH37+(1-EXP(-LN(2)/2))/(LN(2)/2)*DB38*DE38*VLOOKUP('Données projet'!$B$13,Paramètres!$A$1:$I$89,3,0)*0.475*44/12</f>
        <v>0.44838608757353865</v>
      </c>
      <c r="DI38" s="22">
        <f t="shared" si="15"/>
        <v>3.8001087276448127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58.974358974358971</v>
      </c>
      <c r="DM38" s="12">
        <f>VLOOKUP(A38,'Données projet'!$A$165:$I$185,9,0)</f>
        <v>3.333333333333333</v>
      </c>
      <c r="DN38" s="12">
        <f t="array" ref="DN38">INDEX(DM:DM,MIN(IF(ISNUMBER(DM38:DM234),ROW(DM38:DM234),"")))</f>
        <v>3.333333333333333</v>
      </c>
      <c r="DO38" s="12">
        <f>IF('Données projet'!$A$166&gt;35,DO37+DN38-DW37,IF(A38&lt;'Données projet'!$A$166,$DL$205^A38,IF(A38='Données projet'!$A$166,'Données projet'!$B$166,DO37+DN38-DW37)))</f>
        <v>58.974358974358978</v>
      </c>
      <c r="DP38" s="17">
        <f>DO38*VLOOKUP('Données projet'!$B$14,Paramètres!$A$1:$I$89,3,0)*VLOOKUP('Données projet'!$B$14,Paramètres!$A$1:$I$89,5,0)</f>
        <v>61.640000000000008</v>
      </c>
      <c r="DQ38" s="13">
        <f t="shared" si="43"/>
        <v>17.582259466632539</v>
      </c>
      <c r="DR38" s="20">
        <f t="shared" si="16"/>
        <v>137.97876857105169</v>
      </c>
      <c r="DS38" s="59">
        <f t="shared" si="17"/>
        <v>431.31210190438503</v>
      </c>
      <c r="DT38" s="59">
        <f ca="1">AVERAGE(OFFSET($DS$3,0,0,'Données projet'!$E$14+1,1))-AVERAGE(OFFSET($H$3,0,0,'Données projet'!$E$14+1,1))</f>
        <v>110.10595934547638</v>
      </c>
      <c r="DU38" s="59">
        <f t="shared" si="44"/>
        <v>131.10971921141493</v>
      </c>
      <c r="DV38" s="15">
        <f>IF(ISNA(VLOOKUP(A38,'Données projet'!$A$165:$I$185,3,0)),0,VLOOKUP(A38,'Données projet'!$A$165:$I$185,3,0))</f>
        <v>2</v>
      </c>
      <c r="DW38" s="15">
        <f>IF(ISNA(VLOOKUP(A38,'Données projet'!$A$165:$I$185,4,0)),0,VLOOKUP(A38,'Données projet'!$A$165:$I$185,4,0))</f>
        <v>7.6923076923076916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0.215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7.2886390349076651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7.2886390349076651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3.3603333333333336</v>
      </c>
      <c r="EJ38" s="12">
        <f>IF('Données projet'!$A$192&gt;35,EJ37+EI38-ER37,IF(A38&lt;'Données projet'!$A$192,$EG$205^A38,IF(A38='Données projet'!$A$192,'Données projet'!$B$192,EJ37+EI38-ER37)))</f>
        <v>117.61166666666665</v>
      </c>
      <c r="EK38" s="17">
        <f>EJ38*VLOOKUP('Données projet'!$B$15,Paramètres!$A$1:$I$89,3,0)*VLOOKUP('Données projet'!$B$15,Paramètres!$A$1:$I$89,5,0)</f>
        <v>119.25823</v>
      </c>
      <c r="EL38" s="13">
        <f t="shared" si="45"/>
        <v>31.501931238975171</v>
      </c>
      <c r="EM38" s="20">
        <f t="shared" si="19"/>
        <v>262.57394749121505</v>
      </c>
      <c r="EN38" s="59">
        <f t="shared" si="20"/>
        <v>555.90728082454837</v>
      </c>
      <c r="EO38" s="59">
        <f ca="1">AVERAGE(OFFSET($EN$3,0,0,'Données projet'!$E$15+1,1))-AVERAGE(OFFSET($H$3,0,0,'Données projet'!$E$15+1,1))</f>
        <v>420.38735944595965</v>
      </c>
      <c r="EP38" s="59">
        <f t="shared" si="46"/>
        <v>200.0823542414671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4.016578947368421</v>
      </c>
      <c r="FE38" s="12">
        <f>IF('Données projet'!$A$218&gt;35,FE37+FD38-FM37,IF(A38&lt;'Données projet'!$A$218,$FB$205^A38,IF(A38='Données projet'!$A$218,'Données projet'!$B$218,FE37+FD38-FM37)))</f>
        <v>140.58026315789471</v>
      </c>
      <c r="FF38" s="17">
        <f>FE38*VLOOKUP('Données projet'!$B$16,Paramètres!$A$1:$I$89,3,0)*VLOOKUP('Données projet'!$B$16,Paramètres!$A$1:$I$89,5,0)</f>
        <v>151.32059526315786</v>
      </c>
      <c r="FG38" s="13">
        <f t="shared" si="47"/>
        <v>38.878542360991709</v>
      </c>
      <c r="FH38" s="20">
        <f t="shared" si="22"/>
        <v>331.26349802872716</v>
      </c>
      <c r="FI38" s="59">
        <f t="shared" si="23"/>
        <v>624.59683136206047</v>
      </c>
      <c r="FJ38" s="59">
        <f ca="1">AVERAGE(OFFSET($FI$3,0,0,'Données projet'!$E$16+1,1))-AVERAGE(OFFSET($H$3,0,0,'Données projet'!$E$16+1,1))</f>
        <v>415.8741608506952</v>
      </c>
      <c r="FK38" s="59">
        <f t="shared" si="48"/>
        <v>259.15848913719356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4.016578947368421</v>
      </c>
      <c r="FZ38" s="12">
        <f>IF('Données projet'!$A$244&gt;35,FZ37+FY38-GH37,IF(A38&lt;'Données projet'!$A$244,$FW$205^A38,IF(A38='Données projet'!$A$244,'Données projet'!$B$244,FZ37+FY38-GH37)))</f>
        <v>140.58026315789471</v>
      </c>
      <c r="GA38" s="17">
        <f>FZ38*VLOOKUP('Données projet'!$B$17,Paramètres!$A$1:$I$89,3,0)*VLOOKUP('Données projet'!$B$17,Paramètres!$A$1:$I$89,5,0)</f>
        <v>120.61786578947367</v>
      </c>
      <c r="GB38" s="13">
        <f t="shared" si="49"/>
        <v>31.819063241702679</v>
      </c>
      <c r="GC38" s="20">
        <f t="shared" si="25"/>
        <v>265.49431806263215</v>
      </c>
      <c r="GD38" s="59">
        <f t="shared" si="26"/>
        <v>558.8276513959654</v>
      </c>
      <c r="GE38" s="59">
        <f ca="1">AVERAGE(OFFSET($GD$3,0,0,'Données projet'!$E$17+1,1))-AVERAGE(OFFSET($H$3,0,0,'Données projet'!$E$17+1,1))</f>
        <v>322.39807389980882</v>
      </c>
      <c r="GF38" s="59">
        <f t="shared" si="50"/>
        <v>202.59410055732792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39" s="11">
        <f t="shared" si="32"/>
        <v>4.504238856327774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136.64577362779337</v>
      </c>
      <c r="H39" s="67">
        <f t="shared" si="1"/>
        <v>324.16403600810418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6.4429411764705877</v>
      </c>
      <c r="N39" s="13">
        <f>IF('Données projet'!$A$36&gt;35,N38+M39-V38,IF(A39&lt;'Données projet'!$A$36,$K$205^A39,IF(A39='Données projet'!$A$36,'Données projet'!$B$36,N38+M39-V38)))</f>
        <v>231.94588235294106</v>
      </c>
      <c r="O39" s="13">
        <f>N39*VLOOKUP('Données projet'!$B$9,Paramètres!$A$1:$I$89,3,0)*VLOOKUP('Données projet'!$B$9,Paramètres!$A$1:$I$89,5,0)</f>
        <v>108.5506729411764</v>
      </c>
      <c r="P39" s="13">
        <f t="shared" si="33"/>
        <v>28.989248670148307</v>
      </c>
      <c r="Q39" s="20">
        <f t="shared" si="53"/>
        <v>239.5486968063905</v>
      </c>
      <c r="R39" s="59">
        <f t="shared" si="0"/>
        <v>532.88203013972384</v>
      </c>
      <c r="S39" s="59">
        <f ca="1">AVERAGE(OFFSET($R$3,0,0,'Données projet'!$E$9+1,1))-AVERAGE(OFFSET($H$3,0,0,'Données projet'!$E$9+1,1))</f>
        <v>215.77907571824977</v>
      </c>
      <c r="T39" s="59">
        <f t="shared" si="34"/>
        <v>174.69390149594869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13.357499999999998</v>
      </c>
      <c r="AI39" s="13">
        <f>IF('Données projet'!$A$62&gt;35,AI38+AH39-AQ38,IF(A39&lt;'Données projet'!$A$62,$AF$205^A39,IF(A39='Données projet'!$A$62,'Données projet'!$B$62,AI38+AH39-AQ38)))</f>
        <v>209.76499999999993</v>
      </c>
      <c r="AJ39" s="13">
        <f>AI39*VLOOKUP('Données projet'!$B$10,Paramètres!$A$1:$I$89,3,0)*VLOOKUP('Données projet'!$B$10,Paramètres!$A$1:$I$89,5,0)</f>
        <v>125.43946999999997</v>
      </c>
      <c r="AK39" s="13">
        <f t="shared" si="35"/>
        <v>32.940374560679956</v>
      </c>
      <c r="AL39" s="20">
        <f t="shared" si="4"/>
        <v>275.84489594318421</v>
      </c>
      <c r="AM39" s="59">
        <f t="shared" si="5"/>
        <v>569.17822927651753</v>
      </c>
      <c r="AN39" s="59">
        <f ca="1">AVERAGE(OFFSET($AM$3,0,0,'Données projet'!$E$10+1,1))-AVERAGE(OFFSET($H$3,0,0,'Données projet'!$E$10+1,1))</f>
        <v>171.701352621833</v>
      </c>
      <c r="AO39" s="59">
        <f t="shared" si="36"/>
        <v>195.58435749168586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2.9978732162533017</v>
      </c>
      <c r="AV39" s="21">
        <f>EXP(-LN(2)/25)*AV38+(1-EXP(-LN(2)/25))/(LN(2)/25)*Calculateur!AQ39*Calculateur!AS39*VLOOKUP('Données projet'!$B$10,Paramètres!$A$1:$I$89,3,0)*0.475*44/12</f>
        <v>10.539250643112032</v>
      </c>
      <c r="AW39" s="21">
        <f>EXP(-LN(2)/2)*AW38+(1-EXP(-LN(2)/2))/(LN(2)/2)*AQ39*AT39*VLOOKUP('Données projet'!$B$10,Paramètres!$A$1:$I$89,3,0)*0.475*44/12</f>
        <v>1.4791251617968011</v>
      </c>
      <c r="AX39" s="21">
        <f t="shared" si="6"/>
        <v>15.016249021162135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23.4</v>
      </c>
      <c r="BD39" s="12">
        <f>IF('Données projet'!$A$88&gt;35,BD38+BC39-BL38,IF(A39&lt;'Données projet'!$A$88,$BA$205^A39,IF(A39='Données projet'!$A$88,'Données projet'!$B$88,BD38+BC39-BL38)))</f>
        <v>300.39999999999986</v>
      </c>
      <c r="BE39" s="13">
        <f>BD39*VLOOKUP('Données projet'!$B$11,Paramètres!$A$1:$I$89,3,0)*VLOOKUP('Données projet'!$B$11,Paramètres!$A$1:$I$89,5,0)</f>
        <v>156.20799999999994</v>
      </c>
      <c r="BF39" s="13">
        <f t="shared" si="37"/>
        <v>39.986028940462447</v>
      </c>
      <c r="BG39" s="20">
        <f t="shared" si="7"/>
        <v>341.7046004046386</v>
      </c>
      <c r="BH39" s="59">
        <f t="shared" si="8"/>
        <v>635.03793373797191</v>
      </c>
      <c r="BI39" s="59">
        <f ca="1">AVERAGE(OFFSET($BH$3,0,0,'Données projet'!$E$11+1,1))-AVERAGE(OFFSET($H$3,0,0,'Données projet'!$E$11+1,1))</f>
        <v>348.29124901999882</v>
      </c>
      <c r="BJ39" s="59">
        <f t="shared" si="38"/>
        <v>284.30034973939053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13.127745186542029</v>
      </c>
      <c r="BQ39" s="21">
        <f>EXP(-LN(2)/25)*BQ38+(1-EXP(-LN(2)/25))/(LN(2)/25)*Calculateur!BL39*Calculateur!BN39*VLOOKUP('Données projet'!$B$11,Paramètres!$A$1:$I$89,3,0)*0.475*44/12</f>
        <v>18.575112830452007</v>
      </c>
      <c r="BR39" s="21">
        <f>EXP(-LN(2)/2)*BR38+(1-EXP(-LN(2)/2))/(LN(2)/2)*BL39*BO39*VLOOKUP('Données projet'!$B$11,Paramètres!$A$1:$I$89,3,0)*0.475*44/12</f>
        <v>10.632962142559412</v>
      </c>
      <c r="BS39" s="22">
        <f t="shared" si="9"/>
        <v>42.33582015955345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4.5468888888888888</v>
      </c>
      <c r="BY39" s="12">
        <f>IF('Données projet'!$A$114&gt;35,BY38+BX39-CG38,IF(A39&lt;'Données projet'!$A$114,$BV$205^A39,IF(A39='Données projet'!$A$114,'Données projet'!$B$114,BY38+BX39-CG38)))</f>
        <v>163.68800000000005</v>
      </c>
      <c r="BZ39" s="13">
        <f>BY39*VLOOKUP('Données projet'!$B$12,Paramètres!$A$1:$I$89,3,0)*VLOOKUP('Données projet'!$B$12,Paramètres!$A$1:$I$89,5,0)</f>
        <v>97.885424000000043</v>
      </c>
      <c r="CA39" s="13">
        <f t="shared" si="39"/>
        <v>26.457604062147251</v>
      </c>
      <c r="CB39" s="20">
        <f t="shared" si="10"/>
        <v>216.56410720823988</v>
      </c>
      <c r="CC39" s="59">
        <f t="shared" si="11"/>
        <v>509.89744054157319</v>
      </c>
      <c r="CD39" s="59">
        <f ca="1">AVERAGE(OFFSET($CC$3,0,0,'Données projet'!$E$12+1,1))-AVERAGE(OFFSET($H$3,0,0,'Données projet'!$E$12+1,1))</f>
        <v>185.82627135915504</v>
      </c>
      <c r="CE39" s="59">
        <f t="shared" si="40"/>
        <v>155.46126452522037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2.4692307692307707</v>
      </c>
      <c r="CT39" s="12">
        <f>IF('Données projet'!$A$140&gt;35,CT38+CS39-DB38,IF(A39&lt;'Données projet'!$A$140,$CQ$205^A39,IF(A39='Données projet'!$A$140,'Données projet'!$B$140,CT38+CS39-DB38)))</f>
        <v>66.969230769230762</v>
      </c>
      <c r="CU39" s="17">
        <f>CT39*VLOOKUP('Données projet'!$B$13,Paramètres!$A$1:$I$89,3,0)*VLOOKUP('Données projet'!$B$13,Paramètres!$A$1:$I$89,5,0)</f>
        <v>77.148553846153831</v>
      </c>
      <c r="CV39" s="13">
        <f t="shared" si="41"/>
        <v>21.438524889948614</v>
      </c>
      <c r="CW39" s="20">
        <f t="shared" si="13"/>
        <v>171.70582879871174</v>
      </c>
      <c r="CX39" s="59">
        <f t="shared" si="14"/>
        <v>465.03916213204502</v>
      </c>
      <c r="CY39" s="59">
        <f ca="1">AVERAGE(OFFSET($CX$3,0,0,'Données projet'!$E$13+1,1))-AVERAGE(OFFSET($H$3,0,0,'Données projet'!$E$13+1,1))</f>
        <v>150.78964413039063</v>
      </c>
      <c r="CZ39" s="59">
        <f t="shared" si="42"/>
        <v>131.90332435966184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1.3946533776386858</v>
      </c>
      <c r="DG39" s="21">
        <f>EXP(-LN(2)/25)*DG38+(1-EXP(-LN(2)/25))/(LN(2)/25)*Calculateur!DB39*Calculateur!DD39*VLOOKUP('Données projet'!$B$13,Paramètres!$A$1:$I$89,3,0)*0.475*44/12</f>
        <v>1.8764205871734345</v>
      </c>
      <c r="DH39" s="21">
        <f>EXP(-LN(2)/2)*DH38+(1-EXP(-LN(2)/2))/(LN(2)/2)*DB39*DE39*VLOOKUP('Données projet'!$B$13,Paramètres!$A$1:$I$89,3,0)*0.475*44/12</f>
        <v>0.31705684311295435</v>
      </c>
      <c r="DI39" s="22">
        <f t="shared" si="15"/>
        <v>3.5881308079250749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3.0769230769230758</v>
      </c>
      <c r="DO39" s="12">
        <f>IF('Données projet'!$A$166&gt;35,DO38+DN39-DW38,IF(A39&lt;'Données projet'!$A$166,$DL$205^A39,IF(A39='Données projet'!$A$166,'Données projet'!$B$166,DO38+DN39-DW38)))</f>
        <v>54.358974358974358</v>
      </c>
      <c r="DP39" s="17">
        <f>DO39*VLOOKUP('Données projet'!$B$14,Paramètres!$A$1:$I$89,3,0)*VLOOKUP('Données projet'!$B$14,Paramètres!$A$1:$I$89,5,0)</f>
        <v>56.816000000000003</v>
      </c>
      <c r="DQ39" s="13">
        <f t="shared" si="43"/>
        <v>16.360717116992983</v>
      </c>
      <c r="DR39" s="20">
        <f t="shared" si="16"/>
        <v>127.44944897876276</v>
      </c>
      <c r="DS39" s="59">
        <f t="shared" si="17"/>
        <v>420.78278231209606</v>
      </c>
      <c r="DT39" s="59">
        <f ca="1">AVERAGE(OFFSET($DS$3,0,0,'Données projet'!$E$14+1,1))-AVERAGE(OFFSET($H$3,0,0,'Données projet'!$E$14+1,1))</f>
        <v>110.10595934547638</v>
      </c>
      <c r="DU39" s="59">
        <f t="shared" si="44"/>
        <v>131.10971921141493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7.0893308172052469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7.0893308172052469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3.3603333333333336</v>
      </c>
      <c r="EJ39" s="12">
        <f>IF('Données projet'!$A$192&gt;35,EJ38+EI39-ER38,IF(A39&lt;'Données projet'!$A$192,$EG$205^A39,IF(A39='Données projet'!$A$192,'Données projet'!$B$192,EJ38+EI39-ER38)))</f>
        <v>120.97199999999998</v>
      </c>
      <c r="EK39" s="17">
        <f>EJ39*VLOOKUP('Données projet'!$B$15,Paramètres!$A$1:$I$89,3,0)*VLOOKUP('Données projet'!$B$15,Paramètres!$A$1:$I$89,5,0)</f>
        <v>122.66560799999998</v>
      </c>
      <c r="EL39" s="13">
        <f t="shared" si="45"/>
        <v>32.295911394857214</v>
      </c>
      <c r="EM39" s="20">
        <f t="shared" si="19"/>
        <v>269.89131294604289</v>
      </c>
      <c r="EN39" s="59">
        <f t="shared" si="20"/>
        <v>563.2246462793762</v>
      </c>
      <c r="EO39" s="59">
        <f ca="1">AVERAGE(OFFSET($EN$3,0,0,'Données projet'!$E$15+1,1))-AVERAGE(OFFSET($H$3,0,0,'Données projet'!$E$15+1,1))</f>
        <v>420.38735944595965</v>
      </c>
      <c r="EP39" s="59">
        <f t="shared" si="46"/>
        <v>200.0823542414671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4.016578947368421</v>
      </c>
      <c r="FE39" s="12">
        <f>IF('Données projet'!$A$218&gt;35,FE38+FD39-FM38,IF(A39&lt;'Données projet'!$A$218,$FB$205^A39,IF(A39='Données projet'!$A$218,'Données projet'!$B$218,FE38+FD39-FM38)))</f>
        <v>144.59684210526314</v>
      </c>
      <c r="FF39" s="17">
        <f>FE39*VLOOKUP('Données projet'!$B$16,Paramètres!$A$1:$I$89,3,0)*VLOOKUP('Données projet'!$B$16,Paramètres!$A$1:$I$89,5,0)</f>
        <v>155.64404084210523</v>
      </c>
      <c r="FG39" s="13">
        <f t="shared" si="47"/>
        <v>39.858443907029468</v>
      </c>
      <c r="FH39" s="20">
        <f t="shared" si="22"/>
        <v>340.50016093807625</v>
      </c>
      <c r="FI39" s="59">
        <f t="shared" si="23"/>
        <v>633.83349427140956</v>
      </c>
      <c r="FJ39" s="59">
        <f ca="1">AVERAGE(OFFSET($FI$3,0,0,'Données projet'!$E$16+1,1))-AVERAGE(OFFSET($H$3,0,0,'Données projet'!$E$16+1,1))</f>
        <v>415.8741608506952</v>
      </c>
      <c r="FK39" s="59">
        <f t="shared" si="48"/>
        <v>259.15848913719356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4.016578947368421</v>
      </c>
      <c r="FZ39" s="12">
        <f>IF('Données projet'!$A$244&gt;35,FZ38+FY39-GH38,IF(A39&lt;'Données projet'!$A$244,$FW$205^A39,IF(A39='Données projet'!$A$244,'Données projet'!$B$244,FZ38+FY39-GH38)))</f>
        <v>144.59684210526314</v>
      </c>
      <c r="GA39" s="17">
        <f>FZ39*VLOOKUP('Données projet'!$B$17,Paramètres!$A$1:$I$89,3,0)*VLOOKUP('Données projet'!$B$17,Paramètres!$A$1:$I$89,5,0)</f>
        <v>124.06409052631578</v>
      </c>
      <c r="GB39" s="13">
        <f t="shared" si="49"/>
        <v>32.621036447758399</v>
      </c>
      <c r="GC39" s="20">
        <f t="shared" si="25"/>
        <v>272.89326281317921</v>
      </c>
      <c r="GD39" s="59">
        <f t="shared" si="26"/>
        <v>566.22659614651252</v>
      </c>
      <c r="GE39" s="59">
        <f ca="1">AVERAGE(OFFSET($GD$3,0,0,'Données projet'!$E$17+1,1))-AVERAGE(OFFSET($H$3,0,0,'Données projet'!$E$17+1,1))</f>
        <v>322.39807389980882</v>
      </c>
      <c r="GF39" s="59">
        <f t="shared" si="50"/>
        <v>202.59410055732792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13.5642</v>
      </c>
      <c r="D40" s="11">
        <f t="shared" si="32"/>
        <v>4.6146159885059035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140.32770236741399</v>
      </c>
      <c r="H40" s="67">
        <f t="shared" si="1"/>
        <v>324.99477117998111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6.4429411764705877</v>
      </c>
      <c r="N40" s="13">
        <f>IF('Données projet'!$A$36&gt;35,N39+M40-V39,IF(A40&lt;'Données projet'!$A$36,$K$205^A40,IF(A40='Données projet'!$A$36,'Données projet'!$B$36,N39+M40-V39)))</f>
        <v>238.38882352941164</v>
      </c>
      <c r="O40" s="13">
        <f>N40*VLOOKUP('Données projet'!$B$9,Paramètres!$A$1:$I$89,3,0)*VLOOKUP('Données projet'!$B$9,Paramètres!$A$1:$I$89,5,0)</f>
        <v>111.56596941176464</v>
      </c>
      <c r="P40" s="13">
        <f t="shared" si="33"/>
        <v>29.699635093753383</v>
      </c>
      <c r="Q40" s="20">
        <f t="shared" si="53"/>
        <v>246.03759451377718</v>
      </c>
      <c r="R40" s="59">
        <f t="shared" si="0"/>
        <v>539.37092784711047</v>
      </c>
      <c r="S40" s="59">
        <f ca="1">AVERAGE(OFFSET($R$3,0,0,'Données projet'!$E$9+1,1))-AVERAGE(OFFSET($H$3,0,0,'Données projet'!$E$9+1,1))</f>
        <v>215.77907571824977</v>
      </c>
      <c r="T40" s="59">
        <f t="shared" si="34"/>
        <v>174.69390149594869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13.357499999999998</v>
      </c>
      <c r="AI40" s="13">
        <f>IF('Données projet'!$A$62&gt;35,AI39+AH40-AQ39,IF(A40&lt;'Données projet'!$A$62,$AF$205^A40,IF(A40='Données projet'!$A$62,'Données projet'!$B$62,AI39+AH40-AQ39)))</f>
        <v>223.12249999999992</v>
      </c>
      <c r="AJ40" s="13">
        <f>AI40*VLOOKUP('Données projet'!$B$10,Paramètres!$A$1:$I$89,3,0)*VLOOKUP('Données projet'!$B$10,Paramètres!$A$1:$I$89,5,0)</f>
        <v>133.42725499999995</v>
      </c>
      <c r="AK40" s="13">
        <f t="shared" si="35"/>
        <v>34.787093979142497</v>
      </c>
      <c r="AL40" s="20">
        <f t="shared" si="4"/>
        <v>292.97332447200637</v>
      </c>
      <c r="AM40" s="59">
        <f t="shared" si="5"/>
        <v>586.30665780533968</v>
      </c>
      <c r="AN40" s="59">
        <f ca="1">AVERAGE(OFFSET($AM$3,0,0,'Données projet'!$E$10+1,1))-AVERAGE(OFFSET($H$3,0,0,'Données projet'!$E$10+1,1))</f>
        <v>171.701352621833</v>
      </c>
      <c r="AO40" s="59">
        <f t="shared" si="36"/>
        <v>195.58435749168586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2.9390867510046847</v>
      </c>
      <c r="AV40" s="21">
        <f>EXP(-LN(2)/25)*AV39+(1-EXP(-LN(2)/25))/(LN(2)/25)*Calculateur!AQ40*Calculateur!AS40*VLOOKUP('Données projet'!$B$10,Paramètres!$A$1:$I$89,3,0)*0.475*44/12</f>
        <v>10.25105428004103</v>
      </c>
      <c r="AW40" s="21">
        <f>EXP(-LN(2)/2)*AW39+(1-EXP(-LN(2)/2))/(LN(2)/2)*AQ40*AT40*VLOOKUP('Données projet'!$B$10,Paramètres!$A$1:$I$89,3,0)*0.475*44/12</f>
        <v>1.0458994321301673</v>
      </c>
      <c r="AX40" s="21">
        <f t="shared" si="6"/>
        <v>14.236040463175883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23.4</v>
      </c>
      <c r="BD40" s="12">
        <f>IF('Données projet'!$A$88&gt;35,BD39+BC40-BL39,IF(A40&lt;'Données projet'!$A$88,$BA$205^A40,IF(A40='Données projet'!$A$88,'Données projet'!$B$88,BD39+BC40-BL39)))</f>
        <v>323.79999999999984</v>
      </c>
      <c r="BE40" s="13">
        <f>BD40*VLOOKUP('Données projet'!$B$11,Paramètres!$A$1:$I$89,3,0)*VLOOKUP('Données projet'!$B$11,Paramètres!$A$1:$I$89,5,0)</f>
        <v>168.37599999999995</v>
      </c>
      <c r="BF40" s="13">
        <f t="shared" si="37"/>
        <v>42.726098663600496</v>
      </c>
      <c r="BG40" s="20">
        <f t="shared" si="7"/>
        <v>367.66948850577074</v>
      </c>
      <c r="BH40" s="59">
        <f t="shared" si="8"/>
        <v>661.00282183910406</v>
      </c>
      <c r="BI40" s="59">
        <f ca="1">AVERAGE(OFFSET($BH$3,0,0,'Données projet'!$E$11+1,1))-AVERAGE(OFFSET($H$3,0,0,'Données projet'!$E$11+1,1))</f>
        <v>348.29124901999882</v>
      </c>
      <c r="BJ40" s="59">
        <f t="shared" si="38"/>
        <v>284.30034973939053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12.870318110567865</v>
      </c>
      <c r="BQ40" s="21">
        <f>EXP(-LN(2)/25)*BQ39+(1-EXP(-LN(2)/25))/(LN(2)/25)*Calculateur!BL40*Calculateur!BN40*VLOOKUP('Données projet'!$B$11,Paramètres!$A$1:$I$89,3,0)*0.475*44/12</f>
        <v>18.067175393280568</v>
      </c>
      <c r="BR40" s="21">
        <f>EXP(-LN(2)/2)*BR39+(1-EXP(-LN(2)/2))/(LN(2)/2)*BL40*BO40*VLOOKUP('Données projet'!$B$11,Paramètres!$A$1:$I$89,3,0)*0.475*44/12</f>
        <v>7.518639635103602</v>
      </c>
      <c r="BS40" s="22">
        <f t="shared" si="9"/>
        <v>38.456133138952033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4.5468888888888888</v>
      </c>
      <c r="BY40" s="12">
        <f>IF('Données projet'!$A$114&gt;35,BY39+BX40-CG39,IF(A40&lt;'Données projet'!$A$114,$BV$205^A40,IF(A40='Données projet'!$A$114,'Données projet'!$B$114,BY39+BX40-CG39)))</f>
        <v>168.23488888888895</v>
      </c>
      <c r="BZ40" s="13">
        <f>BY40*VLOOKUP('Données projet'!$B$12,Paramètres!$A$1:$I$89,3,0)*VLOOKUP('Données projet'!$B$12,Paramètres!$A$1:$I$89,5,0)</f>
        <v>100.6044635555556</v>
      </c>
      <c r="CA40" s="13">
        <f t="shared" si="39"/>
        <v>27.105952108028873</v>
      </c>
      <c r="CB40" s="20">
        <f t="shared" si="10"/>
        <v>222.42897394740962</v>
      </c>
      <c r="CC40" s="59">
        <f t="shared" si="11"/>
        <v>515.7623072807429</v>
      </c>
      <c r="CD40" s="59">
        <f ca="1">AVERAGE(OFFSET($CC$3,0,0,'Données projet'!$E$12+1,1))-AVERAGE(OFFSET($H$3,0,0,'Données projet'!$E$12+1,1))</f>
        <v>185.82627135915504</v>
      </c>
      <c r="CE40" s="59">
        <f t="shared" si="40"/>
        <v>155.46126452522037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2.4692307692307707</v>
      </c>
      <c r="CT40" s="12">
        <f>IF('Données projet'!$A$140&gt;35,CT39+CS40-DB39,IF(A40&lt;'Données projet'!$A$140,$CQ$205^A40,IF(A40='Données projet'!$A$140,'Données projet'!$B$140,CT39+CS40-DB39)))</f>
        <v>69.438461538461539</v>
      </c>
      <c r="CU40" s="17">
        <f>CT40*VLOOKUP('Données projet'!$B$13,Paramètres!$A$1:$I$89,3,0)*VLOOKUP('Données projet'!$B$13,Paramètres!$A$1:$I$89,5,0)</f>
        <v>79.993107692307674</v>
      </c>
      <c r="CV40" s="13">
        <f t="shared" si="41"/>
        <v>22.135498915149377</v>
      </c>
      <c r="CW40" s="20">
        <f t="shared" si="13"/>
        <v>177.87398984132099</v>
      </c>
      <c r="CX40" s="59">
        <f t="shared" si="14"/>
        <v>471.20732317465433</v>
      </c>
      <c r="CY40" s="59">
        <f ca="1">AVERAGE(OFFSET($CX$3,0,0,'Données projet'!$E$13+1,1))-AVERAGE(OFFSET($H$3,0,0,'Données projet'!$E$13+1,1))</f>
        <v>150.78964413039063</v>
      </c>
      <c r="CZ40" s="59">
        <f t="shared" si="42"/>
        <v>131.90332435966184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1.3673050755577563</v>
      </c>
      <c r="DG40" s="21">
        <f>EXP(-LN(2)/25)*DG39+(1-EXP(-LN(2)/25))/(LN(2)/25)*Calculateur!DB40*Calculateur!DD40*VLOOKUP('Données projet'!$B$13,Paramètres!$A$1:$I$89,3,0)*0.475*44/12</f>
        <v>1.8251097675405068</v>
      </c>
      <c r="DH40" s="21">
        <f>EXP(-LN(2)/2)*DH39+(1-EXP(-LN(2)/2))/(LN(2)/2)*DB40*DE40*VLOOKUP('Données projet'!$B$13,Paramètres!$A$1:$I$89,3,0)*0.475*44/12</f>
        <v>0.22419304378676935</v>
      </c>
      <c r="DI40" s="22">
        <f t="shared" si="15"/>
        <v>3.4166078868850325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3.0769230769230758</v>
      </c>
      <c r="DO40" s="12">
        <f>IF('Données projet'!$A$166&gt;35,DO39+DN40-DW39,IF(A40&lt;'Données projet'!$A$166,$DL$205^A40,IF(A40='Données projet'!$A$166,'Données projet'!$B$166,DO39+DN40-DW39)))</f>
        <v>57.435897435897431</v>
      </c>
      <c r="DP40" s="17">
        <f>DO40*VLOOKUP('Données projet'!$B$14,Paramètres!$A$1:$I$89,3,0)*VLOOKUP('Données projet'!$B$14,Paramètres!$A$1:$I$89,5,0)</f>
        <v>60.031999999999996</v>
      </c>
      <c r="DQ40" s="13">
        <f t="shared" si="43"/>
        <v>17.176359365414491</v>
      </c>
      <c r="DR40" s="20">
        <f t="shared" si="16"/>
        <v>134.47122589476353</v>
      </c>
      <c r="DS40" s="59">
        <f t="shared" si="17"/>
        <v>427.80455922809688</v>
      </c>
      <c r="DT40" s="59">
        <f ca="1">AVERAGE(OFFSET($DS$3,0,0,'Données projet'!$E$14+1,1))-AVERAGE(OFFSET($H$3,0,0,'Données projet'!$E$14+1,1))</f>
        <v>110.10595934547638</v>
      </c>
      <c r="DU40" s="59">
        <f t="shared" si="44"/>
        <v>131.10971921141493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6.8954726931970649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6.8954726931970649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3.3603333333333336</v>
      </c>
      <c r="EJ40" s="12">
        <f>IF('Données projet'!$A$192&gt;35,EJ39+EI40-ER39,IF(A40&lt;'Données projet'!$A$192,$EG$205^A40,IF(A40='Données projet'!$A$192,'Données projet'!$B$192,EJ39+EI40-ER39)))</f>
        <v>124.33233333333331</v>
      </c>
      <c r="EK40" s="17">
        <f>EJ40*VLOOKUP('Données projet'!$B$15,Paramètres!$A$1:$I$89,3,0)*VLOOKUP('Données projet'!$B$15,Paramètres!$A$1:$I$89,5,0)</f>
        <v>126.07298599999999</v>
      </c>
      <c r="EL40" s="13">
        <f t="shared" si="45"/>
        <v>33.08732814573294</v>
      </c>
      <c r="EM40" s="20">
        <f t="shared" si="19"/>
        <v>277.20421380381816</v>
      </c>
      <c r="EN40" s="59">
        <f t="shared" si="20"/>
        <v>570.53754713715148</v>
      </c>
      <c r="EO40" s="59">
        <f ca="1">AVERAGE(OFFSET($EN$3,0,0,'Données projet'!$E$15+1,1))-AVERAGE(OFFSET($H$3,0,0,'Données projet'!$E$15+1,1))</f>
        <v>420.38735944595965</v>
      </c>
      <c r="EP40" s="59">
        <f t="shared" si="46"/>
        <v>200.0823542414671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4.016578947368421</v>
      </c>
      <c r="FE40" s="12">
        <f>IF('Données projet'!$A$218&gt;35,FE39+FD40-FM39,IF(A40&lt;'Données projet'!$A$218,$FB$205^A40,IF(A40='Données projet'!$A$218,'Données projet'!$B$218,FE39+FD40-FM39)))</f>
        <v>148.61342105263157</v>
      </c>
      <c r="FF40" s="17">
        <f>FE40*VLOOKUP('Données projet'!$B$16,Paramètres!$A$1:$I$89,3,0)*VLOOKUP('Données projet'!$B$16,Paramètres!$A$1:$I$89,5,0)</f>
        <v>159.96748642105263</v>
      </c>
      <c r="FG40" s="13">
        <f t="shared" si="47"/>
        <v>40.835181791469168</v>
      </c>
      <c r="FH40" s="20">
        <f t="shared" si="22"/>
        <v>349.73131380347536</v>
      </c>
      <c r="FI40" s="59">
        <f t="shared" si="23"/>
        <v>643.06464713680862</v>
      </c>
      <c r="FJ40" s="59">
        <f ca="1">AVERAGE(OFFSET($FI$3,0,0,'Données projet'!$E$16+1,1))-AVERAGE(OFFSET($H$3,0,0,'Données projet'!$E$16+1,1))</f>
        <v>415.8741608506952</v>
      </c>
      <c r="FK40" s="59">
        <f t="shared" si="48"/>
        <v>259.15848913719356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4.016578947368421</v>
      </c>
      <c r="FZ40" s="12">
        <f>IF('Données projet'!$A$244&gt;35,FZ39+FY40-GH39,IF(A40&lt;'Données projet'!$A$244,$FW$205^A40,IF(A40='Données projet'!$A$244,'Données projet'!$B$244,FZ39+FY40-GH39)))</f>
        <v>148.61342105263157</v>
      </c>
      <c r="GA40" s="17">
        <f>FZ40*VLOOKUP('Données projet'!$B$17,Paramètres!$A$1:$I$89,3,0)*VLOOKUP('Données projet'!$B$17,Paramètres!$A$1:$I$89,5,0)</f>
        <v>127.51031526315789</v>
      </c>
      <c r="GB40" s="13">
        <f t="shared" si="49"/>
        <v>33.420420442841923</v>
      </c>
      <c r="GC40" s="20">
        <f t="shared" si="25"/>
        <v>280.28769802128301</v>
      </c>
      <c r="GD40" s="59">
        <f t="shared" si="26"/>
        <v>573.62103135461632</v>
      </c>
      <c r="GE40" s="59">
        <f ca="1">AVERAGE(OFFSET($GD$3,0,0,'Données projet'!$E$17+1,1))-AVERAGE(OFFSET($H$3,0,0,'Données projet'!$E$17+1,1))</f>
        <v>322.39807389980882</v>
      </c>
      <c r="GF40" s="59">
        <f t="shared" si="50"/>
        <v>202.59410055732792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41" s="11">
        <f t="shared" si="32"/>
        <v>4.7246463812124082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144.00695452163964</v>
      </c>
      <c r="H41" s="67">
        <f t="shared" si="1"/>
        <v>325.82490244727825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6.4429411764705877</v>
      </c>
      <c r="N41" s="13">
        <f>IF('Données projet'!$A$36&gt;35,N40+M41-V40,IF(A41&lt;'Données projet'!$A$36,$K$205^A41,IF(A41='Données projet'!$A$36,'Données projet'!$B$36,N40+M41-V40)))</f>
        <v>244.83176470588222</v>
      </c>
      <c r="O41" s="13">
        <f>N41*VLOOKUP('Données projet'!$B$9,Paramètres!$A$1:$I$89,3,0)*VLOOKUP('Données projet'!$B$9,Paramètres!$A$1:$I$89,5,0)</f>
        <v>114.58126588235287</v>
      </c>
      <c r="P41" s="13">
        <f t="shared" si="33"/>
        <v>30.407789904629308</v>
      </c>
      <c r="Q41" s="20">
        <f t="shared" si="53"/>
        <v>252.5226054956606</v>
      </c>
      <c r="R41" s="59">
        <f t="shared" si="0"/>
        <v>545.85593882899389</v>
      </c>
      <c r="S41" s="59">
        <f ca="1">AVERAGE(OFFSET($R$3,0,0,'Données projet'!$E$9+1,1))-AVERAGE(OFFSET($H$3,0,0,'Données projet'!$E$9+1,1))</f>
        <v>215.77907571824977</v>
      </c>
      <c r="T41" s="59">
        <f t="shared" si="34"/>
        <v>174.69390149594869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236.48</v>
      </c>
      <c r="AG41" s="12">
        <f>VLOOKUP(A41,'Données projet'!$A$61:$I$81,9,0)</f>
        <v>13.357499999999998</v>
      </c>
      <c r="AH41" s="12">
        <f t="array" ref="AH41">INDEX(AG:AG,MIN(IF(ISNUMBER(AG41:AG237),ROW(AG41:AG237),"")))</f>
        <v>13.357499999999998</v>
      </c>
      <c r="AI41" s="13">
        <f>IF('Données projet'!$A$62&gt;35,AI40+AH41-AQ40,IF(A41&lt;'Données projet'!$A$62,$AF$205^A41,IF(A41='Données projet'!$A$62,'Données projet'!$B$62,AI40+AH41-AQ40)))</f>
        <v>236.4799999999999</v>
      </c>
      <c r="AJ41" s="13">
        <f>AI41*VLOOKUP('Données projet'!$B$10,Paramètres!$A$1:$I$89,3,0)*VLOOKUP('Données projet'!$B$10,Paramètres!$A$1:$I$89,5,0)</f>
        <v>141.41503999999995</v>
      </c>
      <c r="AK41" s="13">
        <f t="shared" si="35"/>
        <v>36.620981310513351</v>
      </c>
      <c r="AL41" s="20">
        <f t="shared" si="4"/>
        <v>310.0794037824773</v>
      </c>
      <c r="AM41" s="59">
        <f t="shared" si="5"/>
        <v>603.41273711581061</v>
      </c>
      <c r="AN41" s="59">
        <f ca="1">AVERAGE(OFFSET($AM$3,0,0,'Données projet'!$E$10+1,1))-AVERAGE(OFFSET($H$3,0,0,'Données projet'!$E$10+1,1))</f>
        <v>171.701352621833</v>
      </c>
      <c r="AO41" s="59">
        <f t="shared" si="36"/>
        <v>195.58435749168586</v>
      </c>
      <c r="AP41" s="15">
        <f>IF(ISNA(VLOOKUP(A41,'Données projet'!$A$61:$I$81,3,0)),0,VLOOKUP(A41,'Données projet'!$A$61:$I$81,3,0))</f>
        <v>3</v>
      </c>
      <c r="AQ41" s="15">
        <f>IF(ISNA(VLOOKUP(A41,'Données projet'!$A$61:$I$81,4,0)),0,VLOOKUP(A41,'Données projet'!$A$61:$I$81,4,0))</f>
        <v>54.399999999999977</v>
      </c>
      <c r="AR41" s="16">
        <f>IF(ISNA(VLOOKUP(A41,'Données projet'!$A$61:$I$81,5,0)),0%,VLOOKUP(A41,'Données projet'!$A$61:$I$81,5,0)*VLOOKUP('Données projet'!$B$10,Paramètres!$A$1:$I$89,7,0))</f>
        <v>0.27</v>
      </c>
      <c r="AS41" s="16">
        <f>IF(ISNA(VLOOKUP(A41,'Données projet'!$A$61:$I$81,6,0)),0%,VLOOKUP(A41,'Données projet'!$A$61:$I$81,6,0)*VLOOKUP('Données projet'!$B$10,Paramètres!$A$1:$I$89,7,0))</f>
        <v>9.0000000000000011E-2</v>
      </c>
      <c r="AT41" s="16">
        <f>IF(ISNA(VLOOKUP(A41,'Données projet'!$A$61:$I$81,7,0)),0%,VLOOKUP(A41,'Données projet'!$A$61:$I$81,7,0))</f>
        <v>0.2</v>
      </c>
      <c r="AU41" s="21">
        <f>EXP(-LN(2)/35)*AU40+(1-EXP(-LN(2)/35))/(LN(2)/35)*AQ41*AR41*VLOOKUP('Données projet'!$B$10,Paramètres!$A$1:$I$89,3,0)*0.475*44/12</f>
        <v>14.533231127937972</v>
      </c>
      <c r="AV41" s="21">
        <f>EXP(-LN(2)/25)*AV40+(1-EXP(-LN(2)/25))/(LN(2)/25)*Calculateur!AQ41*Calculateur!AS41*VLOOKUP('Données projet'!$B$10,Paramètres!$A$1:$I$89,3,0)*0.475*44/12</f>
        <v>13.839372190172462</v>
      </c>
      <c r="AW41" s="21">
        <f>EXP(-LN(2)/2)*AW40+(1-EXP(-LN(2)/2))/(LN(2)/2)*AQ41*AT41*VLOOKUP('Données projet'!$B$10,Paramètres!$A$1:$I$89,3,0)*0.475*44/12</f>
        <v>8.1061376443569912</v>
      </c>
      <c r="AX41" s="21">
        <f t="shared" si="6"/>
        <v>36.478740962467427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23.4</v>
      </c>
      <c r="BD41" s="12">
        <f>IF('Données projet'!$A$88&gt;35,BD40+BC41-BL40,IF(A41&lt;'Données projet'!$A$88,$BA$205^A41,IF(A41='Données projet'!$A$88,'Données projet'!$B$88,BD40+BC41-BL40)))</f>
        <v>347.19999999999982</v>
      </c>
      <c r="BE41" s="13">
        <f>BD41*VLOOKUP('Données projet'!$B$11,Paramètres!$A$1:$I$89,3,0)*VLOOKUP('Données projet'!$B$11,Paramètres!$A$1:$I$89,5,0)</f>
        <v>180.54399999999993</v>
      </c>
      <c r="BF41" s="13">
        <f t="shared" si="37"/>
        <v>45.443194879496723</v>
      </c>
      <c r="BG41" s="20">
        <f t="shared" si="7"/>
        <v>393.59436441512338</v>
      </c>
      <c r="BH41" s="59">
        <f t="shared" si="8"/>
        <v>686.92769774845669</v>
      </c>
      <c r="BI41" s="59">
        <f ca="1">AVERAGE(OFFSET($BH$3,0,0,'Données projet'!$E$11+1,1))-AVERAGE(OFFSET($H$3,0,0,'Données projet'!$E$11+1,1))</f>
        <v>348.29124901999882</v>
      </c>
      <c r="BJ41" s="59">
        <f t="shared" si="38"/>
        <v>284.30034973939053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12.617939022538541</v>
      </c>
      <c r="BQ41" s="21">
        <f>EXP(-LN(2)/25)*BQ40+(1-EXP(-LN(2)/25))/(LN(2)/25)*Calculateur!BL41*Calculateur!BN41*VLOOKUP('Données projet'!$B$11,Paramètres!$A$1:$I$89,3,0)*0.475*44/12</f>
        <v>17.573127532039852</v>
      </c>
      <c r="BR41" s="21">
        <f>EXP(-LN(2)/2)*BR40+(1-EXP(-LN(2)/2))/(LN(2)/2)*BL41*BO41*VLOOKUP('Données projet'!$B$11,Paramètres!$A$1:$I$89,3,0)*0.475*44/12</f>
        <v>5.3164810712797061</v>
      </c>
      <c r="BS41" s="22">
        <f t="shared" si="9"/>
        <v>35.507547625858095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4.5468888888888888</v>
      </c>
      <c r="BY41" s="12">
        <f>IF('Données projet'!$A$114&gt;35,BY40+BX41-CG40,IF(A41&lt;'Données projet'!$A$114,$BV$205^A41,IF(A41='Données projet'!$A$114,'Données projet'!$B$114,BY40+BX41-CG40)))</f>
        <v>172.78177777777785</v>
      </c>
      <c r="BZ41" s="13">
        <f>BY41*VLOOKUP('Données projet'!$B$12,Paramètres!$A$1:$I$89,3,0)*VLOOKUP('Données projet'!$B$12,Paramètres!$A$1:$I$89,5,0)</f>
        <v>103.32350311111117</v>
      </c>
      <c r="CA41" s="13">
        <f t="shared" si="39"/>
        <v>27.752263428961943</v>
      </c>
      <c r="CB41" s="20">
        <f t="shared" si="10"/>
        <v>228.29029339062734</v>
      </c>
      <c r="CC41" s="59">
        <f t="shared" si="11"/>
        <v>521.62362672396068</v>
      </c>
      <c r="CD41" s="59">
        <f ca="1">AVERAGE(OFFSET($CC$3,0,0,'Données projet'!$E$12+1,1))-AVERAGE(OFFSET($H$3,0,0,'Données projet'!$E$12+1,1))</f>
        <v>185.82627135915504</v>
      </c>
      <c r="CE41" s="59">
        <f t="shared" si="40"/>
        <v>155.46126452522037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2.4692307692307707</v>
      </c>
      <c r="CT41" s="12">
        <f>IF('Données projet'!$A$140&gt;35,CT40+CS41-DB40,IF(A41&lt;'Données projet'!$A$140,$CQ$205^A41,IF(A41='Données projet'!$A$140,'Données projet'!$B$140,CT40+CS41-DB40)))</f>
        <v>71.907692307692315</v>
      </c>
      <c r="CU41" s="17">
        <f>CT41*VLOOKUP('Données projet'!$B$13,Paramètres!$A$1:$I$89,3,0)*VLOOKUP('Données projet'!$B$13,Paramètres!$A$1:$I$89,5,0)</f>
        <v>82.837661538461546</v>
      </c>
      <c r="CV41" s="13">
        <f t="shared" si="41"/>
        <v>22.829593358968559</v>
      </c>
      <c r="CW41" s="20">
        <f t="shared" si="13"/>
        <v>184.03713561302411</v>
      </c>
      <c r="CX41" s="59">
        <f t="shared" si="14"/>
        <v>477.37046894635739</v>
      </c>
      <c r="CY41" s="59">
        <f ca="1">AVERAGE(OFFSET($CX$3,0,0,'Données projet'!$E$13+1,1))-AVERAGE(OFFSET($H$3,0,0,'Données projet'!$E$13+1,1))</f>
        <v>150.78964413039063</v>
      </c>
      <c r="CZ41" s="59">
        <f t="shared" si="42"/>
        <v>131.90332435966184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1.3404930569998166</v>
      </c>
      <c r="DG41" s="21">
        <f>EXP(-LN(2)/25)*DG40+(1-EXP(-LN(2)/25))/(LN(2)/25)*Calculateur!DB41*Calculateur!DD41*VLOOKUP('Données projet'!$B$13,Paramètres!$A$1:$I$89,3,0)*0.475*44/12</f>
        <v>1.7752020449687602</v>
      </c>
      <c r="DH41" s="21">
        <f>EXP(-LN(2)/2)*DH40+(1-EXP(-LN(2)/2))/(LN(2)/2)*DB41*DE41*VLOOKUP('Données projet'!$B$13,Paramètres!$A$1:$I$89,3,0)*0.475*44/12</f>
        <v>0.1585284215564772</v>
      </c>
      <c r="DI41" s="22">
        <f t="shared" si="15"/>
        <v>3.2742235235250541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3.0769230769230758</v>
      </c>
      <c r="DO41" s="12">
        <f>IF('Données projet'!$A$166&gt;35,DO40+DN41-DW40,IF(A41&lt;'Données projet'!$A$166,$DL$205^A41,IF(A41='Données projet'!$A$166,'Données projet'!$B$166,DO40+DN41-DW40)))</f>
        <v>60.512820512820504</v>
      </c>
      <c r="DP41" s="17">
        <f>DO41*VLOOKUP('Données projet'!$B$14,Paramètres!$A$1:$I$89,3,0)*VLOOKUP('Données projet'!$B$14,Paramètres!$A$1:$I$89,5,0)</f>
        <v>63.247999999999998</v>
      </c>
      <c r="DQ41" s="13">
        <f t="shared" si="43"/>
        <v>17.98692876524596</v>
      </c>
      <c r="DR41" s="20">
        <f t="shared" si="16"/>
        <v>141.48416759947003</v>
      </c>
      <c r="DS41" s="59">
        <f t="shared" si="17"/>
        <v>434.81750093280334</v>
      </c>
      <c r="DT41" s="59">
        <f ca="1">AVERAGE(OFFSET($DS$3,0,0,'Données projet'!$E$14+1,1))-AVERAGE(OFFSET($H$3,0,0,'Données projet'!$E$14+1,1))</f>
        <v>110.10595934547638</v>
      </c>
      <c r="DU41" s="59">
        <f t="shared" si="44"/>
        <v>131.10971921141493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6.7069156297844419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6.7069156297844419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3.3603333333333336</v>
      </c>
      <c r="EJ41" s="12">
        <f>IF('Données projet'!$A$192&gt;35,EJ40+EI41-ER40,IF(A41&lt;'Données projet'!$A$192,$EG$205^A41,IF(A41='Données projet'!$A$192,'Données projet'!$B$192,EJ40+EI41-ER40)))</f>
        <v>127.69266666666664</v>
      </c>
      <c r="EK41" s="17">
        <f>EJ41*VLOOKUP('Données projet'!$B$15,Paramètres!$A$1:$I$89,3,0)*VLOOKUP('Données projet'!$B$15,Paramètres!$A$1:$I$89,5,0)</f>
        <v>129.48036399999998</v>
      </c>
      <c r="EL41" s="13">
        <f t="shared" si="45"/>
        <v>33.876258734659984</v>
      </c>
      <c r="EM41" s="20">
        <f t="shared" si="19"/>
        <v>284.51278459619942</v>
      </c>
      <c r="EN41" s="59">
        <f t="shared" si="20"/>
        <v>577.84611792953274</v>
      </c>
      <c r="EO41" s="59">
        <f ca="1">AVERAGE(OFFSET($EN$3,0,0,'Données projet'!$E$15+1,1))-AVERAGE(OFFSET($H$3,0,0,'Données projet'!$E$15+1,1))</f>
        <v>420.38735944595965</v>
      </c>
      <c r="EP41" s="59">
        <f t="shared" si="46"/>
        <v>200.0823542414671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>
        <f>VLOOKUP(A41,'Données projet'!$A$217:$I$237,2,0)</f>
        <v>152.63</v>
      </c>
      <c r="FC41" s="12">
        <f>VLOOKUP(A41,'Données projet'!$A$217:$I$237,9,0)</f>
        <v>4.016578947368421</v>
      </c>
      <c r="FD41" s="12">
        <f t="array" ref="FD41">INDEX(FC:FC,MIN(IF(ISNUMBER(FC41:FC237),ROW(FC41:FC237),"")))</f>
        <v>4.016578947368421</v>
      </c>
      <c r="FE41" s="12">
        <f>IF('Données projet'!$A$218&gt;35,FE40+FD41-FM40,IF(A41&lt;'Données projet'!$A$218,$FB$205^A41,IF(A41='Données projet'!$A$218,'Données projet'!$B$218,FE40+FD41-FM40)))</f>
        <v>152.63</v>
      </c>
      <c r="FF41" s="17">
        <f>FE41*VLOOKUP('Données projet'!$B$16,Paramètres!$A$1:$I$89,3,0)*VLOOKUP('Données projet'!$B$16,Paramètres!$A$1:$I$89,5,0)</f>
        <v>164.290932</v>
      </c>
      <c r="FG41" s="13">
        <f t="shared" si="47"/>
        <v>41.808851344894258</v>
      </c>
      <c r="FH41" s="20">
        <f t="shared" si="22"/>
        <v>358.95712265902421</v>
      </c>
      <c r="FI41" s="59">
        <f t="shared" si="23"/>
        <v>652.29045599235747</v>
      </c>
      <c r="FJ41" s="59">
        <f ca="1">AVERAGE(OFFSET($FI$3,0,0,'Données projet'!$E$16+1,1))-AVERAGE(OFFSET($H$3,0,0,'Données projet'!$E$16+1,1))</f>
        <v>415.8741608506952</v>
      </c>
      <c r="FK41" s="59">
        <f t="shared" si="48"/>
        <v>259.15848913719356</v>
      </c>
      <c r="FL41" s="15">
        <f>IF(ISNA(VLOOKUP(A41,'Données projet'!$A$217:$I$237,3,0)),0,VLOOKUP(A41,'Données projet'!$A$217:$I$237,3,0))</f>
        <v>1</v>
      </c>
      <c r="FM41" s="15">
        <f>IF(ISNA(VLOOKUP(A41,'Données projet'!$A$217:$I$237,4,0)),0,VLOOKUP(A41,'Données projet'!$A$217:$I$237,4,0))</f>
        <v>71.569999999999993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0.34400000000000003</v>
      </c>
      <c r="FP41" s="16">
        <f>IF(ISNA(VLOOKUP(A41,'Données projet'!$A$217:$I$237,7,0)),0%,VLOOKUP(A41,'Données projet'!$A$217:$I$237,7,0))</f>
        <v>0.2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29.180780319338094</v>
      </c>
      <c r="FS41" s="21">
        <f>EXP(-LN(2)/2)*FS40+(1-EXP(-LN(2)/2))/(LN(2)/2)*FM41*FP41*VLOOKUP('Données projet'!$B$16,Paramètres!$A$1:$I$89,3,0)*0.475*44/12</f>
        <v>14.537475476794066</v>
      </c>
      <c r="FT41" s="22">
        <f t="shared" si="24"/>
        <v>43.718255796132162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>
        <f>VLOOKUP(A41,'Données projet'!$A$243:$I$263,2,0)</f>
        <v>152.63</v>
      </c>
      <c r="FX41" s="12">
        <f>VLOOKUP(A41,'Données projet'!$A$243:$I$263,9,0)</f>
        <v>4.016578947368421</v>
      </c>
      <c r="FY41" s="12">
        <f t="array" ref="FY41">INDEX(FX:FX,MIN(IF(ISNUMBER(FX41:FX237),ROW(FX41:FX237),"")))</f>
        <v>4.016578947368421</v>
      </c>
      <c r="FZ41" s="12">
        <f>IF('Données projet'!$A$244&gt;35,FZ40+FY41-GH40,IF(A41&lt;'Données projet'!$A$244,$FW$205^A41,IF(A41='Données projet'!$A$244,'Données projet'!$B$244,FZ40+FY41-GH40)))</f>
        <v>152.63</v>
      </c>
      <c r="GA41" s="17">
        <f>FZ41*VLOOKUP('Données projet'!$B$17,Paramètres!$A$1:$I$89,3,0)*VLOOKUP('Données projet'!$B$17,Paramètres!$A$1:$I$89,5,0)</f>
        <v>130.95654000000002</v>
      </c>
      <c r="GB41" s="13">
        <f t="shared" si="49"/>
        <v>34.217293247621718</v>
      </c>
      <c r="GC41" s="20">
        <f t="shared" si="25"/>
        <v>287.67775957294117</v>
      </c>
      <c r="GD41" s="59">
        <f t="shared" si="26"/>
        <v>581.01109290627448</v>
      </c>
      <c r="GE41" s="59">
        <f ca="1">AVERAGE(OFFSET($GD$3,0,0,'Données projet'!$E$17+1,1))-AVERAGE(OFFSET($H$3,0,0,'Données projet'!$E$17+1,1))</f>
        <v>322.39807389980882</v>
      </c>
      <c r="GF41" s="59">
        <f t="shared" si="50"/>
        <v>202.59410055732792</v>
      </c>
      <c r="GG41" s="15">
        <f>IF(ISNA(VLOOKUP(A41,'Données projet'!$A$243:$I$263,3,0)),0,VLOOKUP(A41,'Données projet'!$A$243:$I$263,3,0))</f>
        <v>1</v>
      </c>
      <c r="GH41" s="15">
        <f>IF(ISNA(VLOOKUP(A41,'Données projet'!$A$243:$I$263,4,0)),0,VLOOKUP(A41,'Données projet'!$A$243:$I$263,4,0))</f>
        <v>71.569999999999993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0.42400000000000004</v>
      </c>
      <c r="GK41" s="16">
        <f>IF(ISNA(VLOOKUP(A41,'Données projet'!$A$243:$I$263,7,0)),0%,VLOOKUP(A41,'Données projet'!$A$243:$I$263,7,0))</f>
        <v>0.2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28.669354442490913</v>
      </c>
      <c r="GN41" s="21">
        <f>EXP(-LN(2)/2)*GN40+(1-EXP(-LN(2)/2))/(LN(2)/2)*GH41*GK41*VLOOKUP('Données projet'!$B$17,Paramètres!$A$1:$I$89,3,0)*0.475*44/12</f>
        <v>11.587842771357591</v>
      </c>
      <c r="GO41" s="21">
        <f t="shared" si="27"/>
        <v>40.257197213848507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14.2974</v>
      </c>
      <c r="D42" s="11">
        <f t="shared" si="32"/>
        <v>4.8343402080789426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147.68360862376727</v>
      </c>
      <c r="H42" s="67">
        <f t="shared" si="1"/>
        <v>326.65444752907081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6.4429411764705877</v>
      </c>
      <c r="N42" s="13">
        <f>IF('Données projet'!$A$36&gt;35,N41+M42-V41,IF(A42&lt;'Données projet'!$A$36,$K$205^A42,IF(A42='Données projet'!$A$36,'Données projet'!$B$36,N41+M42-V41)))</f>
        <v>251.27470588235281</v>
      </c>
      <c r="O42" s="13">
        <f>N42*VLOOKUP('Données projet'!$B$9,Paramètres!$A$1:$I$89,3,0)*VLOOKUP('Données projet'!$B$9,Paramètres!$A$1:$I$89,5,0)</f>
        <v>117.59656235294111</v>
      </c>
      <c r="P42" s="13">
        <f t="shared" si="33"/>
        <v>31.113778580195845</v>
      </c>
      <c r="Q42" s="20">
        <f t="shared" si="53"/>
        <v>259.00384379188023</v>
      </c>
      <c r="R42" s="59">
        <f t="shared" si="0"/>
        <v>552.33717712521354</v>
      </c>
      <c r="S42" s="59">
        <f ca="1">AVERAGE(OFFSET($R$3,0,0,'Données projet'!$E$9+1,1))-AVERAGE(OFFSET($H$3,0,0,'Données projet'!$E$9+1,1))</f>
        <v>215.77907571824977</v>
      </c>
      <c r="T42" s="59">
        <f t="shared" si="34"/>
        <v>174.69390149594869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12.984999999999996</v>
      </c>
      <c r="AI42" s="13">
        <f>IF('Données projet'!$A$62&gt;35,AI41+AH42-AQ41,IF(A42&lt;'Données projet'!$A$62,$AF$205^A42,IF(A42='Données projet'!$A$62,'Données projet'!$B$62,AI41+AH42-AQ41)))</f>
        <v>195.06499999999991</v>
      </c>
      <c r="AJ42" s="13">
        <f>AI42*VLOOKUP('Données projet'!$B$10,Paramètres!$A$1:$I$89,3,0)*VLOOKUP('Données projet'!$B$10,Paramètres!$A$1:$I$89,5,0)</f>
        <v>116.64886999999995</v>
      </c>
      <c r="AK42" s="13">
        <f t="shared" si="35"/>
        <v>30.892119526860139</v>
      </c>
      <c r="AL42" s="20">
        <f t="shared" si="4"/>
        <v>256.96722342594791</v>
      </c>
      <c r="AM42" s="59">
        <f t="shared" si="5"/>
        <v>550.30055675928122</v>
      </c>
      <c r="AN42" s="59">
        <f ca="1">AVERAGE(OFFSET($AM$3,0,0,'Données projet'!$E$10+1,1))-AVERAGE(OFFSET($H$3,0,0,'Données projet'!$E$10+1,1))</f>
        <v>171.701352621833</v>
      </c>
      <c r="AO42" s="59">
        <f t="shared" si="36"/>
        <v>195.58435749168586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14.248243329914811</v>
      </c>
      <c r="AV42" s="21">
        <f>EXP(-LN(2)/25)*AV41+(1-EXP(-LN(2)/25))/(LN(2)/25)*Calculateur!AQ42*Calculateur!AS42*VLOOKUP('Données projet'!$B$10,Paramètres!$A$1:$I$89,3,0)*0.475*44/12</f>
        <v>13.460933829851243</v>
      </c>
      <c r="AW42" s="21">
        <f>EXP(-LN(2)/2)*AW41+(1-EXP(-LN(2)/2))/(LN(2)/2)*AQ42*AT42*VLOOKUP('Données projet'!$B$10,Paramètres!$A$1:$I$89,3,0)*0.475*44/12</f>
        <v>5.7319048975563751</v>
      </c>
      <c r="AX42" s="21">
        <f t="shared" si="6"/>
        <v>33.441082057322426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23.4</v>
      </c>
      <c r="BD42" s="12">
        <f>IF('Données projet'!$A$88&gt;35,BD41+BC42-BL41,IF(A42&lt;'Données projet'!$A$88,$BA$205^A42,IF(A42='Données projet'!$A$88,'Données projet'!$B$88,BD41+BC42-BL41)))</f>
        <v>370.5999999999998</v>
      </c>
      <c r="BE42" s="13">
        <f>BD42*VLOOKUP('Données projet'!$B$11,Paramètres!$A$1:$I$89,3,0)*VLOOKUP('Données projet'!$B$11,Paramètres!$A$1:$I$89,5,0)</f>
        <v>192.7119999999999</v>
      </c>
      <c r="BF42" s="13">
        <f t="shared" si="37"/>
        <v>48.139042079542584</v>
      </c>
      <c r="BG42" s="20">
        <f t="shared" si="7"/>
        <v>419.48223162186986</v>
      </c>
      <c r="BH42" s="59">
        <f t="shared" si="8"/>
        <v>712.81556495520317</v>
      </c>
      <c r="BI42" s="59">
        <f ca="1">AVERAGE(OFFSET($BH$3,0,0,'Données projet'!$E$11+1,1))-AVERAGE(OFFSET($H$3,0,0,'Données projet'!$E$11+1,1))</f>
        <v>348.29124901999882</v>
      </c>
      <c r="BJ42" s="59">
        <f t="shared" si="38"/>
        <v>284.30034973939053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12.370508934489429</v>
      </c>
      <c r="BQ42" s="21">
        <f>EXP(-LN(2)/25)*BQ41+(1-EXP(-LN(2)/25))/(LN(2)/25)*Calculateur!BL42*Calculateur!BN42*VLOOKUP('Données projet'!$B$11,Paramètres!$A$1:$I$89,3,0)*0.475*44/12</f>
        <v>17.092589435545609</v>
      </c>
      <c r="BR42" s="21">
        <f>EXP(-LN(2)/2)*BR41+(1-EXP(-LN(2)/2))/(LN(2)/2)*BL42*BO42*VLOOKUP('Données projet'!$B$11,Paramètres!$A$1:$I$89,3,0)*0.475*44/12</f>
        <v>3.759319817551801</v>
      </c>
      <c r="BS42" s="22">
        <f t="shared" si="9"/>
        <v>33.22241818758684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4.5468888888888888</v>
      </c>
      <c r="BY42" s="12">
        <f>IF('Données projet'!$A$114&gt;35,BY41+BX42-CG41,IF(A42&lt;'Données projet'!$A$114,$BV$205^A42,IF(A42='Données projet'!$A$114,'Données projet'!$B$114,BY41+BX42-CG41)))</f>
        <v>177.32866666666675</v>
      </c>
      <c r="BZ42" s="13">
        <f>BY42*VLOOKUP('Données projet'!$B$12,Paramètres!$A$1:$I$89,3,0)*VLOOKUP('Données projet'!$B$12,Paramètres!$A$1:$I$89,5,0)</f>
        <v>106.04254266666672</v>
      </c>
      <c r="CA42" s="13">
        <f t="shared" si="39"/>
        <v>28.396597784192529</v>
      </c>
      <c r="CB42" s="20">
        <f t="shared" si="10"/>
        <v>234.14816961857983</v>
      </c>
      <c r="CC42" s="59">
        <f t="shared" si="11"/>
        <v>527.48150295191317</v>
      </c>
      <c r="CD42" s="59">
        <f ca="1">AVERAGE(OFFSET($CC$3,0,0,'Données projet'!$E$12+1,1))-AVERAGE(OFFSET($H$3,0,0,'Données projet'!$E$12+1,1))</f>
        <v>185.82627135915504</v>
      </c>
      <c r="CE42" s="59">
        <f t="shared" si="40"/>
        <v>155.46126452522037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2.4692307692307707</v>
      </c>
      <c r="CT42" s="12">
        <f>IF('Données projet'!$A$140&gt;35,CT41+CS42-DB41,IF(A42&lt;'Données projet'!$A$140,$CQ$205^A42,IF(A42='Données projet'!$A$140,'Données projet'!$B$140,CT41+CS42-DB41)))</f>
        <v>74.376923076923092</v>
      </c>
      <c r="CU42" s="17">
        <f>CT42*VLOOKUP('Données projet'!$B$13,Paramètres!$A$1:$I$89,3,0)*VLOOKUP('Données projet'!$B$13,Paramètres!$A$1:$I$89,5,0)</f>
        <v>85.68221538461539</v>
      </c>
      <c r="CV42" s="13">
        <f t="shared" si="41"/>
        <v>23.520918436565978</v>
      </c>
      <c r="CW42" s="20">
        <f t="shared" si="13"/>
        <v>190.1954580718909</v>
      </c>
      <c r="CX42" s="59">
        <f t="shared" si="14"/>
        <v>483.52879140522418</v>
      </c>
      <c r="CY42" s="59">
        <f ca="1">AVERAGE(OFFSET($CX$3,0,0,'Données projet'!$E$13+1,1))-AVERAGE(OFFSET($H$3,0,0,'Données projet'!$E$13+1,1))</f>
        <v>150.78964413039063</v>
      </c>
      <c r="CZ42" s="59">
        <f t="shared" si="42"/>
        <v>131.90332435966184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1.3142068057720817</v>
      </c>
      <c r="DG42" s="21">
        <f>EXP(-LN(2)/25)*DG41+(1-EXP(-LN(2)/25))/(LN(2)/25)*Calculateur!DB42*Calculateur!DD42*VLOOKUP('Données projet'!$B$13,Paramètres!$A$1:$I$89,3,0)*0.475*44/12</f>
        <v>1.7266590516952711</v>
      </c>
      <c r="DH42" s="21">
        <f>EXP(-LN(2)/2)*DH41+(1-EXP(-LN(2)/2))/(LN(2)/2)*DB42*DE42*VLOOKUP('Données projet'!$B$13,Paramètres!$A$1:$I$89,3,0)*0.475*44/12</f>
        <v>0.11209652189338469</v>
      </c>
      <c r="DI42" s="22">
        <f t="shared" si="15"/>
        <v>3.1529623793607375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3.0769230769230758</v>
      </c>
      <c r="DO42" s="12">
        <f>IF('Données projet'!$A$166&gt;35,DO41+DN42-DW41,IF(A42&lt;'Données projet'!$A$166,$DL$205^A42,IF(A42='Données projet'!$A$166,'Données projet'!$B$166,DO41+DN42-DW41)))</f>
        <v>63.589743589743577</v>
      </c>
      <c r="DP42" s="17">
        <f>DO42*VLOOKUP('Données projet'!$B$14,Paramètres!$A$1:$I$89,3,0)*VLOOKUP('Données projet'!$B$14,Paramètres!$A$1:$I$89,5,0)</f>
        <v>66.463999999999984</v>
      </c>
      <c r="DQ42" s="13">
        <f t="shared" si="43"/>
        <v>18.792712685560335</v>
      </c>
      <c r="DR42" s="20">
        <f t="shared" si="16"/>
        <v>148.48877459401754</v>
      </c>
      <c r="DS42" s="59">
        <f t="shared" si="17"/>
        <v>441.82210792735088</v>
      </c>
      <c r="DT42" s="59">
        <f ca="1">AVERAGE(OFFSET($DS$3,0,0,'Données projet'!$E$14+1,1))-AVERAGE(OFFSET($H$3,0,0,'Données projet'!$E$14+1,1))</f>
        <v>110.10595934547638</v>
      </c>
      <c r="DU42" s="59">
        <f t="shared" si="44"/>
        <v>131.10971921141493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6.5235146691866222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6.5235146691866222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3.3603333333333336</v>
      </c>
      <c r="EJ42" s="12">
        <f>IF('Données projet'!$A$192&gt;35,EJ41+EI42-ER41,IF(A42&lt;'Données projet'!$A$192,$EG$205^A42,IF(A42='Données projet'!$A$192,'Données projet'!$B$192,EJ41+EI42-ER41)))</f>
        <v>131.05299999999997</v>
      </c>
      <c r="EK42" s="17">
        <f>EJ42*VLOOKUP('Données projet'!$B$15,Paramètres!$A$1:$I$89,3,0)*VLOOKUP('Données projet'!$B$15,Paramètres!$A$1:$I$89,5,0)</f>
        <v>132.88774199999997</v>
      </c>
      <c r="EL42" s="13">
        <f t="shared" si="45"/>
        <v>34.662776107749004</v>
      </c>
      <c r="EM42" s="20">
        <f t="shared" si="19"/>
        <v>291.81715237099615</v>
      </c>
      <c r="EN42" s="59">
        <f t="shared" si="20"/>
        <v>585.15048570432941</v>
      </c>
      <c r="EO42" s="59">
        <f ca="1">AVERAGE(OFFSET($EN$3,0,0,'Données projet'!$E$15+1,1))-AVERAGE(OFFSET($H$3,0,0,'Données projet'!$E$15+1,1))</f>
        <v>420.38735944595965</v>
      </c>
      <c r="EP42" s="59">
        <f t="shared" si="46"/>
        <v>200.0823542414671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9.8128571428571423</v>
      </c>
      <c r="FE42" s="12">
        <f>IF('Données projet'!$A$218&gt;35,FE41+FD42-FM41,IF(A42&lt;'Données projet'!$A$218,$FB$205^A42,IF(A42='Données projet'!$A$218,'Données projet'!$B$218,FE41+FD42-FM41)))</f>
        <v>90.872857142857157</v>
      </c>
      <c r="FF42" s="17">
        <f>FE42*VLOOKUP('Données projet'!$B$16,Paramètres!$A$1:$I$89,3,0)*VLOOKUP('Données projet'!$B$16,Paramètres!$A$1:$I$89,5,0)</f>
        <v>97.815543428571445</v>
      </c>
      <c r="FG42" s="13">
        <f t="shared" si="47"/>
        <v>26.44091381797092</v>
      </c>
      <c r="FH42" s="20">
        <f t="shared" si="22"/>
        <v>216.41332970439461</v>
      </c>
      <c r="FI42" s="59">
        <f t="shared" si="23"/>
        <v>509.7466630377279</v>
      </c>
      <c r="FJ42" s="59">
        <f ca="1">AVERAGE(OFFSET($FI$3,0,0,'Données projet'!$E$16+1,1))-AVERAGE(OFFSET($H$3,0,0,'Données projet'!$E$16+1,1))</f>
        <v>415.8741608506952</v>
      </c>
      <c r="FK42" s="59">
        <f t="shared" si="48"/>
        <v>259.15848913719356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28.382830346955249</v>
      </c>
      <c r="FS42" s="21">
        <f>EXP(-LN(2)/2)*FS41+(1-EXP(-LN(2)/2))/(LN(2)/2)*FM42*FP42*VLOOKUP('Données projet'!$B$16,Paramètres!$A$1:$I$89,3,0)*0.475*44/12</f>
        <v>10.279547490974224</v>
      </c>
      <c r="FT42" s="22">
        <f t="shared" si="24"/>
        <v>38.662377837929469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9.8128571428571423</v>
      </c>
      <c r="FZ42" s="12">
        <f>IF('Données projet'!$A$244&gt;35,FZ41+FY42-GH41,IF(A42&lt;'Données projet'!$A$244,$FW$205^A42,IF(A42='Données projet'!$A$244,'Données projet'!$B$244,FZ41+FY42-GH41)))</f>
        <v>90.872857142857157</v>
      </c>
      <c r="GA42" s="17">
        <f>FZ42*VLOOKUP('Données projet'!$B$17,Paramètres!$A$1:$I$89,3,0)*VLOOKUP('Données projet'!$B$17,Paramètres!$A$1:$I$89,5,0)</f>
        <v>77.968911428571445</v>
      </c>
      <c r="GB42" s="13">
        <f t="shared" si="49"/>
        <v>21.639831584492718</v>
      </c>
      <c r="GC42" s="20">
        <f t="shared" si="25"/>
        <v>173.48522741442005</v>
      </c>
      <c r="GD42" s="59">
        <f t="shared" si="26"/>
        <v>466.81856074775339</v>
      </c>
      <c r="GE42" s="59">
        <f ca="1">AVERAGE(OFFSET($GD$3,0,0,'Données projet'!$E$17+1,1))-AVERAGE(OFFSET($H$3,0,0,'Données projet'!$E$17+1,1))</f>
        <v>322.39807389980882</v>
      </c>
      <c r="GF42" s="59">
        <f t="shared" si="50"/>
        <v>202.59410055732792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27.885389437605173</v>
      </c>
      <c r="GN42" s="21">
        <f>EXP(-LN(2)/2)*GN41+(1-EXP(-LN(2)/2))/(LN(2)/2)*GH42*GK42*VLOOKUP('Données projet'!$B$17,Paramètres!$A$1:$I$89,3,0)*0.475*44/12</f>
        <v>8.1938422029504689</v>
      </c>
      <c r="GO42" s="21">
        <f t="shared" si="27"/>
        <v>36.079231640555641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43" s="11">
        <f t="shared" si="32"/>
        <v>4.9437070912888705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151.35773895030005</v>
      </c>
      <c r="H43" s="67">
        <f t="shared" si="1"/>
        <v>327.48342318399477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6.4429411764705877</v>
      </c>
      <c r="N43" s="13">
        <f>IF('Données projet'!$A$36&gt;35,N42+M43-V42,IF(A43&lt;'Données projet'!$A$36,$K$205^A43,IF(A43='Données projet'!$A$36,'Données projet'!$B$36,N42+M43-V42)))</f>
        <v>257.71764705882339</v>
      </c>
      <c r="O43" s="13">
        <f>N43*VLOOKUP('Données projet'!$B$9,Paramètres!$A$1:$I$89,3,0)*VLOOKUP('Données projet'!$B$9,Paramètres!$A$1:$I$89,5,0)</f>
        <v>120.61185882352935</v>
      </c>
      <c r="P43" s="13">
        <f t="shared" si="33"/>
        <v>31.817663048755449</v>
      </c>
      <c r="Q43" s="20">
        <f t="shared" si="53"/>
        <v>265.48141726089602</v>
      </c>
      <c r="R43" s="59">
        <f t="shared" si="0"/>
        <v>558.81475059422928</v>
      </c>
      <c r="S43" s="59">
        <f ca="1">AVERAGE(OFFSET($R$3,0,0,'Données projet'!$E$9+1,1))-AVERAGE(OFFSET($H$3,0,0,'Données projet'!$E$9+1,1))</f>
        <v>215.77907571824977</v>
      </c>
      <c r="T43" s="59">
        <f t="shared" si="34"/>
        <v>174.69390149594869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12.984999999999996</v>
      </c>
      <c r="AI43" s="13">
        <f>IF('Données projet'!$A$62&gt;35,AI42+AH43-AQ42,IF(A43&lt;'Données projet'!$A$62,$AF$205^A43,IF(A43='Données projet'!$A$62,'Données projet'!$B$62,AI42+AH43-AQ42)))</f>
        <v>208.0499999999999</v>
      </c>
      <c r="AJ43" s="13">
        <f>AI43*VLOOKUP('Données projet'!$B$10,Paramètres!$A$1:$I$89,3,0)*VLOOKUP('Données projet'!$B$10,Paramètres!$A$1:$I$89,5,0)</f>
        <v>124.41389999999996</v>
      </c>
      <c r="AK43" s="13">
        <f t="shared" si="35"/>
        <v>32.702294748208082</v>
      </c>
      <c r="AL43" s="20">
        <f t="shared" si="4"/>
        <v>273.64403918646235</v>
      </c>
      <c r="AM43" s="59">
        <f t="shared" si="5"/>
        <v>566.97737251979561</v>
      </c>
      <c r="AN43" s="59">
        <f ca="1">AVERAGE(OFFSET($AM$3,0,0,'Données projet'!$E$10+1,1))-AVERAGE(OFFSET($H$3,0,0,'Données projet'!$E$10+1,1))</f>
        <v>171.701352621833</v>
      </c>
      <c r="AO43" s="59">
        <f t="shared" si="36"/>
        <v>195.58435749168586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13.968843968785491</v>
      </c>
      <c r="AV43" s="21">
        <f>EXP(-LN(2)/25)*AV42+(1-EXP(-LN(2)/25))/(LN(2)/25)*Calculateur!AQ43*Calculateur!AS43*VLOOKUP('Données projet'!$B$10,Paramètres!$A$1:$I$89,3,0)*0.475*44/12</f>
        <v>13.092843886394215</v>
      </c>
      <c r="AW43" s="21">
        <f>EXP(-LN(2)/2)*AW42+(1-EXP(-LN(2)/2))/(LN(2)/2)*AQ43*AT43*VLOOKUP('Données projet'!$B$10,Paramètres!$A$1:$I$89,3,0)*0.475*44/12</f>
        <v>4.0530688221784965</v>
      </c>
      <c r="AX43" s="21">
        <f t="shared" si="6"/>
        <v>31.114756677358201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394</v>
      </c>
      <c r="BB43" s="12">
        <f>VLOOKUP(A43,'Données projet'!$A$87:$I$107,9,0)</f>
        <v>23.4</v>
      </c>
      <c r="BC43" s="12">
        <f t="array" ref="BC43">INDEX(BB:BB,MIN(IF(ISNUMBER(BB43:BB239),ROW(BB43:BB239),"")))</f>
        <v>23.4</v>
      </c>
      <c r="BD43" s="12">
        <f>IF('Données projet'!$A$88&gt;35,BD42+BC43-BL42,IF(A43&lt;'Données projet'!$A$88,$BA$205^A43,IF(A43='Données projet'!$A$88,'Données projet'!$B$88,BD42+BC43-BL42)))</f>
        <v>393.99999999999977</v>
      </c>
      <c r="BE43" s="13">
        <f>BD43*VLOOKUP('Données projet'!$B$11,Paramètres!$A$1:$I$89,3,0)*VLOOKUP('Données projet'!$B$11,Paramètres!$A$1:$I$89,5,0)</f>
        <v>204.87999999999988</v>
      </c>
      <c r="BF43" s="13">
        <f t="shared" si="37"/>
        <v>50.815134673414533</v>
      </c>
      <c r="BG43" s="20">
        <f t="shared" si="7"/>
        <v>445.33569288953009</v>
      </c>
      <c r="BH43" s="59">
        <f t="shared" si="8"/>
        <v>738.66902622286341</v>
      </c>
      <c r="BI43" s="59">
        <f ca="1">AVERAGE(OFFSET($BH$3,0,0,'Données projet'!$E$11+1,1))-AVERAGE(OFFSET($H$3,0,0,'Données projet'!$E$11+1,1))</f>
        <v>348.29124901999882</v>
      </c>
      <c r="BJ43" s="59">
        <f t="shared" si="38"/>
        <v>284.30034973939053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0.13750000000000001</v>
      </c>
      <c r="BN43" s="16">
        <f>IF(ISNA(VLOOKUP(A43,'Données projet'!$A$87:$I$107,6,0)),0%,VLOOKUP(A43,'Données projet'!$A$87:$I$107,6,0)*VLOOKUP('Données projet'!$B$11,Paramètres!$A$1:$I$89,7,0))</f>
        <v>0.20350000000000001</v>
      </c>
      <c r="BO43" s="16">
        <f>IF(ISNA(VLOOKUP(A43,'Données projet'!$A$87:$I$107,7,0)),0%,VLOOKUP(A43,'Données projet'!$A$87:$I$107,7,0))</f>
        <v>0.38</v>
      </c>
      <c r="BP43" s="21">
        <f>EXP(-LN(2)/35)*BP42+(1-EXP(-LN(2)/35))/(LN(2)/35)*BL43*BM43*VLOOKUP('Données projet'!$B$11,Paramètres!$A$1:$I$89,3,0)*0.475*44/12</f>
        <v>17.439494879129427</v>
      </c>
      <c r="BQ43" s="21">
        <f>EXP(-LN(2)/25)*BQ42+(1-EXP(-LN(2)/25))/(LN(2)/25)*Calculateur!BL43*Calculateur!BN43*VLOOKUP('Données projet'!$B$11,Paramètres!$A$1:$I$89,3,0)*0.475*44/12</f>
        <v>24.455354311912767</v>
      </c>
      <c r="BR43" s="21">
        <f>EXP(-LN(2)/2)*BR42+(1-EXP(-LN(2)/2))/(LN(2)/2)*BL43*BO43*VLOOKUP('Données projet'!$B$11,Paramètres!$A$1:$I$89,3,0)*0.475*44/12</f>
        <v>15.187070247148716</v>
      </c>
      <c r="BS43" s="22">
        <f t="shared" si="9"/>
        <v>57.081919438190916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4.5468888888888888</v>
      </c>
      <c r="BY43" s="12">
        <f>IF('Données projet'!$A$114&gt;35,BY42+BX43-CG42,IF(A43&lt;'Données projet'!$A$114,$BV$205^A43,IF(A43='Données projet'!$A$114,'Données projet'!$B$114,BY42+BX43-CG42)))</f>
        <v>181.87555555555565</v>
      </c>
      <c r="BZ43" s="13">
        <f>BY43*VLOOKUP('Données projet'!$B$12,Paramètres!$A$1:$I$89,3,0)*VLOOKUP('Données projet'!$B$12,Paramètres!$A$1:$I$89,5,0)</f>
        <v>108.76158222222229</v>
      </c>
      <c r="CA43" s="13">
        <f t="shared" si="39"/>
        <v>29.039011693795551</v>
      </c>
      <c r="CB43" s="20">
        <f t="shared" si="10"/>
        <v>240.00270107039773</v>
      </c>
      <c r="CC43" s="59">
        <f t="shared" si="11"/>
        <v>533.33603440373099</v>
      </c>
      <c r="CD43" s="59">
        <f ca="1">AVERAGE(OFFSET($CC$3,0,0,'Données projet'!$E$12+1,1))-AVERAGE(OFFSET($H$3,0,0,'Données projet'!$E$12+1,1))</f>
        <v>185.82627135915504</v>
      </c>
      <c r="CE43" s="59">
        <f t="shared" si="40"/>
        <v>155.46126452522037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76.846153846153854</v>
      </c>
      <c r="CR43" s="12">
        <f>VLOOKUP(A43,'Données projet'!$A$139:$I$159,9,0)</f>
        <v>2.4692307692307707</v>
      </c>
      <c r="CS43" s="12">
        <f t="array" ref="CS43">INDEX(CR:CR,MIN(IF(ISNUMBER(CR43:CR239),ROW(CR43:CR239),"")))</f>
        <v>2.4692307692307707</v>
      </c>
      <c r="CT43" s="12">
        <f>IF('Données projet'!$A$140&gt;35,CT42+CS43-DB42,IF(A43&lt;'Données projet'!$A$140,$CQ$205^A43,IF(A43='Données projet'!$A$140,'Données projet'!$B$140,CT42+CS43-DB42)))</f>
        <v>76.846153846153868</v>
      </c>
      <c r="CU43" s="17">
        <f>CT43*VLOOKUP('Données projet'!$B$13,Paramètres!$A$1:$I$89,3,0)*VLOOKUP('Données projet'!$B$13,Paramètres!$A$1:$I$89,5,0)</f>
        <v>88.526769230769247</v>
      </c>
      <c r="CV43" s="13">
        <f t="shared" si="41"/>
        <v>24.209576629775551</v>
      </c>
      <c r="CW43" s="20">
        <f t="shared" si="13"/>
        <v>196.34913570711549</v>
      </c>
      <c r="CX43" s="59">
        <f t="shared" si="14"/>
        <v>489.68246904044884</v>
      </c>
      <c r="CY43" s="59">
        <f ca="1">AVERAGE(OFFSET($CX$3,0,0,'Données projet'!$E$13+1,1))-AVERAGE(OFFSET($H$3,0,0,'Données projet'!$E$13+1,1))</f>
        <v>150.78964413039063</v>
      </c>
      <c r="CZ43" s="59">
        <f t="shared" si="42"/>
        <v>131.90332435966184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11.153846153846153</v>
      </c>
      <c r="DC43" s="16">
        <f>IF(ISNA(VLOOKUP(A43,'Données projet'!$A$139:$I$159,5,0)),0%,VLOOKUP(A43,'Données projet'!$A$139:$I$159,5,0)*VLOOKUP('Données projet'!$B$13,Paramètres!$A$1:$I$89,7,0))</f>
        <v>0.1125</v>
      </c>
      <c r="DD43" s="16">
        <f>IF(ISNA(VLOOKUP(A43,'Données projet'!$A$139:$I$159,6,0)),0%,VLOOKUP(A43,'Données projet'!$A$139:$I$159,6,0)*VLOOKUP('Données projet'!$B$13,Paramètres!$A$1:$I$89,7,0))</f>
        <v>0.16650000000000001</v>
      </c>
      <c r="DE43" s="16">
        <f>IF(ISNA(VLOOKUP(A43,'Données projet'!$A$139:$I$159,7,0)),0%,VLOOKUP(A43,'Données projet'!$A$139:$I$159,7,0))</f>
        <v>0.38</v>
      </c>
      <c r="DF43" s="21">
        <f>EXP(-LN(2)/35)*DF42+(1-EXP(-LN(2)/35))/(LN(2)/35)*DB43*DC43*VLOOKUP('Données projet'!$B$13,Paramètres!$A$1:$I$89,3,0)*0.475*44/12</f>
        <v>2.3271359805070526</v>
      </c>
      <c r="DG43" s="21">
        <f>EXP(-LN(2)/25)*DG42+(1-EXP(-LN(2)/25))/(LN(2)/25)*Calculateur!DB43*Calculateur!DD43*VLOOKUP('Données projet'!$B$13,Paramètres!$A$1:$I$89,3,0)*0.475*44/12</f>
        <v>3.2106665814900142</v>
      </c>
      <c r="DH43" s="21">
        <f>EXP(-LN(2)/2)*DH42+(1-EXP(-LN(2)/2))/(LN(2)/2)*DB43*DE43*VLOOKUP('Données projet'!$B$13,Paramètres!$A$1:$I$89,3,0)*0.475*44/12</f>
        <v>3.0737921912762354</v>
      </c>
      <c r="DI43" s="22">
        <f t="shared" si="15"/>
        <v>8.6115947532733017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66.666666666666657</v>
      </c>
      <c r="DM43" s="12">
        <f>VLOOKUP(A43,'Données projet'!$A$165:$I$185,9,0)</f>
        <v>3.0769230769230758</v>
      </c>
      <c r="DN43" s="12">
        <f t="array" ref="DN43">INDEX(DM:DM,MIN(IF(ISNUMBER(DM43:DM239),ROW(DM43:DM239),"")))</f>
        <v>3.0769230769230758</v>
      </c>
      <c r="DO43" s="12">
        <f>IF('Données projet'!$A$166&gt;35,DO42+DN43-DW42,IF(A43&lt;'Données projet'!$A$166,$DL$205^A43,IF(A43='Données projet'!$A$166,'Données projet'!$B$166,DO42+DN43-DW42)))</f>
        <v>66.666666666666657</v>
      </c>
      <c r="DP43" s="17">
        <f>DO43*VLOOKUP('Données projet'!$B$14,Paramètres!$A$1:$I$89,3,0)*VLOOKUP('Données projet'!$B$14,Paramètres!$A$1:$I$89,5,0)</f>
        <v>69.679999999999993</v>
      </c>
      <c r="DQ43" s="13">
        <f t="shared" si="43"/>
        <v>19.593969114269527</v>
      </c>
      <c r="DR43" s="20">
        <f t="shared" si="16"/>
        <v>155.48549620735272</v>
      </c>
      <c r="DS43" s="59">
        <f t="shared" si="17"/>
        <v>448.81882954068601</v>
      </c>
      <c r="DT43" s="59">
        <f ca="1">AVERAGE(OFFSET($DS$3,0,0,'Données projet'!$E$14+1,1))-AVERAGE(OFFSET($H$3,0,0,'Données projet'!$E$14+1,1))</f>
        <v>110.10595934547638</v>
      </c>
      <c r="DU43" s="59">
        <f t="shared" si="44"/>
        <v>131.10971921141493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7.6923076923076916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8.2485209107674624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8.2485209107674624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3.3603333333333336</v>
      </c>
      <c r="EJ43" s="12">
        <f>IF('Données projet'!$A$192&gt;35,EJ42+EI43-ER42,IF(A43&lt;'Données projet'!$A$192,$EG$205^A43,IF(A43='Données projet'!$A$192,'Données projet'!$B$192,EJ42+EI43-ER42)))</f>
        <v>134.4133333333333</v>
      </c>
      <c r="EK43" s="17">
        <f>EJ43*VLOOKUP('Données projet'!$B$15,Paramètres!$A$1:$I$89,3,0)*VLOOKUP('Données projet'!$B$15,Paramètres!$A$1:$I$89,5,0)</f>
        <v>136.29511999999997</v>
      </c>
      <c r="EL43" s="13">
        <f t="shared" si="45"/>
        <v>35.44694925716302</v>
      </c>
      <c r="EM43" s="20">
        <f t="shared" si="19"/>
        <v>299.11743728955889</v>
      </c>
      <c r="EN43" s="59">
        <f t="shared" si="20"/>
        <v>592.45077062289215</v>
      </c>
      <c r="EO43" s="59">
        <f ca="1">AVERAGE(OFFSET($EN$3,0,0,'Données projet'!$E$15+1,1))-AVERAGE(OFFSET($H$3,0,0,'Données projet'!$E$15+1,1))</f>
        <v>420.38735944595965</v>
      </c>
      <c r="EP43" s="59">
        <f t="shared" si="46"/>
        <v>200.0823542414671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9.8128571428571423</v>
      </c>
      <c r="FE43" s="12">
        <f>IF('Données projet'!$A$218&gt;35,FE42+FD43-FM42,IF(A43&lt;'Données projet'!$A$218,$FB$205^A43,IF(A43='Données projet'!$A$218,'Données projet'!$B$218,FE42+FD43-FM42)))</f>
        <v>100.6857142857143</v>
      </c>
      <c r="FF43" s="17">
        <f>FE43*VLOOKUP('Données projet'!$B$16,Paramètres!$A$1:$I$89,3,0)*VLOOKUP('Données projet'!$B$16,Paramètres!$A$1:$I$89,5,0)</f>
        <v>108.37810285714286</v>
      </c>
      <c r="FG43" s="13">
        <f t="shared" si="47"/>
        <v>28.948523222937034</v>
      </c>
      <c r="FH43" s="20">
        <f t="shared" si="22"/>
        <v>239.17720708947249</v>
      </c>
      <c r="FI43" s="59">
        <f t="shared" si="23"/>
        <v>532.51054042280578</v>
      </c>
      <c r="FJ43" s="59">
        <f ca="1">AVERAGE(OFFSET($FI$3,0,0,'Données projet'!$E$16+1,1))-AVERAGE(OFFSET($H$3,0,0,'Données projet'!$E$16+1,1))</f>
        <v>415.8741608506952</v>
      </c>
      <c r="FK43" s="59">
        <f t="shared" si="48"/>
        <v>259.15848913719356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27.606700358529579</v>
      </c>
      <c r="FS43" s="21">
        <f>EXP(-LN(2)/2)*FS42+(1-EXP(-LN(2)/2))/(LN(2)/2)*FM43*FP43*VLOOKUP('Données projet'!$B$16,Paramètres!$A$1:$I$89,3,0)*0.475*44/12</f>
        <v>7.2687377383970349</v>
      </c>
      <c r="FT43" s="22">
        <f t="shared" si="24"/>
        <v>34.875438096926615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9.8128571428571423</v>
      </c>
      <c r="FZ43" s="12">
        <f>IF('Données projet'!$A$244&gt;35,FZ42+FY43-GH42,IF(A43&lt;'Données projet'!$A$244,$FW$205^A43,IF(A43='Données projet'!$A$244,'Données projet'!$B$244,FZ42+FY43-GH42)))</f>
        <v>100.6857142857143</v>
      </c>
      <c r="GA43" s="17">
        <f>FZ43*VLOOKUP('Données projet'!$B$17,Paramètres!$A$1:$I$89,3,0)*VLOOKUP('Données projet'!$B$17,Paramètres!$A$1:$I$89,5,0)</f>
        <v>86.388342857142888</v>
      </c>
      <c r="GB43" s="13">
        <f t="shared" si="49"/>
        <v>23.692114859448058</v>
      </c>
      <c r="GC43" s="20">
        <f t="shared" si="25"/>
        <v>191.72346385639585</v>
      </c>
      <c r="GD43" s="59">
        <f t="shared" si="26"/>
        <v>485.0567971897292</v>
      </c>
      <c r="GE43" s="59">
        <f ca="1">AVERAGE(OFFSET($GD$3,0,0,'Données projet'!$E$17+1,1))-AVERAGE(OFFSET($H$3,0,0,'Données projet'!$E$17+1,1))</f>
        <v>322.39807389980882</v>
      </c>
      <c r="GF43" s="59">
        <f t="shared" si="50"/>
        <v>202.59410055732792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27.122861997004961</v>
      </c>
      <c r="GN43" s="21">
        <f>EXP(-LN(2)/2)*GN42+(1-EXP(-LN(2)/2))/(LN(2)/2)*GH43*GK43*VLOOKUP('Données projet'!$B$17,Paramètres!$A$1:$I$89,3,0)*0.475*44/12</f>
        <v>5.7939213856787966</v>
      </c>
      <c r="GO43" s="21">
        <f t="shared" si="27"/>
        <v>32.916783382683761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15.0306</v>
      </c>
      <c r="D44" s="11">
        <f t="shared" si="32"/>
        <v>5.0527561444961773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155.02941585225122</v>
      </c>
      <c r="H44" s="67">
        <f t="shared" si="1"/>
        <v>328.3118452849975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6.4429411764705877</v>
      </c>
      <c r="N44" s="13">
        <f>IF('Données projet'!$A$36&gt;35,N43+M44-V43,IF(A44&lt;'Données projet'!$A$36,$K$205^A44,IF(A44='Données projet'!$A$36,'Données projet'!$B$36,N43+M44-V43)))</f>
        <v>264.16058823529397</v>
      </c>
      <c r="O44" s="13">
        <f>N44*VLOOKUP('Données projet'!$B$9,Paramètres!$A$1:$I$89,3,0)*VLOOKUP('Données projet'!$B$9,Paramètres!$A$1:$I$89,5,0)</f>
        <v>123.62715529411757</v>
      </c>
      <c r="P44" s="13">
        <f t="shared" si="33"/>
        <v>32.519501965719137</v>
      </c>
      <c r="Q44" s="20">
        <f t="shared" si="53"/>
        <v>271.95542806088224</v>
      </c>
      <c r="R44" s="59">
        <f t="shared" si="0"/>
        <v>565.2887613942155</v>
      </c>
      <c r="S44" s="59">
        <f ca="1">AVERAGE(OFFSET($R$3,0,0,'Données projet'!$E$9+1,1))-AVERAGE(OFFSET($H$3,0,0,'Données projet'!$E$9+1,1))</f>
        <v>215.77907571824977</v>
      </c>
      <c r="T44" s="59">
        <f t="shared" si="34"/>
        <v>174.69390149594869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12.984999999999996</v>
      </c>
      <c r="AI44" s="13">
        <f>IF('Données projet'!$A$62&gt;35,AI43+AH44-AQ43,IF(A44&lt;'Données projet'!$A$62,$AF$205^A44,IF(A44='Données projet'!$A$62,'Données projet'!$B$62,AI43+AH44-AQ43)))</f>
        <v>221.03499999999988</v>
      </c>
      <c r="AJ44" s="13">
        <f>AI44*VLOOKUP('Données projet'!$B$10,Paramètres!$A$1:$I$89,3,0)*VLOOKUP('Données projet'!$B$10,Paramètres!$A$1:$I$89,5,0)</f>
        <v>132.17892999999995</v>
      </c>
      <c r="AK44" s="13">
        <f t="shared" si="35"/>
        <v>34.499357970555742</v>
      </c>
      <c r="AL44" s="20">
        <f t="shared" si="4"/>
        <v>290.2980182153845</v>
      </c>
      <c r="AM44" s="59">
        <f t="shared" si="5"/>
        <v>583.63135154871782</v>
      </c>
      <c r="AN44" s="59">
        <f ca="1">AVERAGE(OFFSET($AM$3,0,0,'Données projet'!$E$10+1,1))-AVERAGE(OFFSET($H$3,0,0,'Données projet'!$E$10+1,1))</f>
        <v>171.701352621833</v>
      </c>
      <c r="AO44" s="59">
        <f t="shared" si="36"/>
        <v>195.58435749168586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13.694923458711132</v>
      </c>
      <c r="AV44" s="21">
        <f>EXP(-LN(2)/25)*AV43+(1-EXP(-LN(2)/25))/(LN(2)/25)*Calculateur!AQ44*Calculateur!AS44*VLOOKUP('Données projet'!$B$10,Paramètres!$A$1:$I$89,3,0)*0.475*44/12</f>
        <v>12.73481938179803</v>
      </c>
      <c r="AW44" s="21">
        <f>EXP(-LN(2)/2)*AW43+(1-EXP(-LN(2)/2))/(LN(2)/2)*AQ44*AT44*VLOOKUP('Données projet'!$B$10,Paramètres!$A$1:$I$89,3,0)*0.475*44/12</f>
        <v>2.8659524487781884</v>
      </c>
      <c r="AX44" s="21">
        <f t="shared" si="6"/>
        <v>29.295695289287352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22.4</v>
      </c>
      <c r="BD44" s="12">
        <f>IF('Données projet'!$A$88&gt;35,BD43+BC44-BL43,IF(A44&lt;'Données projet'!$A$88,$BA$205^A44,IF(A44='Données projet'!$A$88,'Données projet'!$B$88,BD43+BC44-BL43)))</f>
        <v>360.39999999999975</v>
      </c>
      <c r="BE44" s="13">
        <f>BD44*VLOOKUP('Données projet'!$B$11,Paramètres!$A$1:$I$89,3,0)*VLOOKUP('Données projet'!$B$11,Paramètres!$A$1:$I$89,5,0)</f>
        <v>187.4079999999999</v>
      </c>
      <c r="BF44" s="13">
        <f t="shared" si="37"/>
        <v>46.966441138049973</v>
      </c>
      <c r="BG44" s="20">
        <f t="shared" si="7"/>
        <v>408.20215164877021</v>
      </c>
      <c r="BH44" s="59">
        <f t="shared" si="8"/>
        <v>701.53548498210353</v>
      </c>
      <c r="BI44" s="59">
        <f ca="1">AVERAGE(OFFSET($BH$3,0,0,'Données projet'!$E$11+1,1))-AVERAGE(OFFSET($H$3,0,0,'Données projet'!$E$11+1,1))</f>
        <v>348.29124901999882</v>
      </c>
      <c r="BJ44" s="59">
        <f t="shared" si="38"/>
        <v>284.30034973939053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17.097517021591255</v>
      </c>
      <c r="BQ44" s="21">
        <f>EXP(-LN(2)/25)*BQ43+(1-EXP(-LN(2)/25))/(LN(2)/25)*Calculateur!BL44*Calculateur!BN44*VLOOKUP('Données projet'!$B$11,Paramètres!$A$1:$I$89,3,0)*0.475*44/12</f>
        <v>23.786621362202322</v>
      </c>
      <c r="BR44" s="21">
        <f>EXP(-LN(2)/2)*BR43+(1-EXP(-LN(2)/2))/(LN(2)/2)*BL44*BO44*VLOOKUP('Données projet'!$B$11,Paramètres!$A$1:$I$89,3,0)*0.475*44/12</f>
        <v>10.738880358115313</v>
      </c>
      <c r="BS44" s="22">
        <f t="shared" si="9"/>
        <v>51.623018741908894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4.5468888888888888</v>
      </c>
      <c r="BY44" s="12">
        <f>IF('Données projet'!$A$114&gt;35,BY43+BX44-CG43,IF(A44&lt;'Données projet'!$A$114,$BV$205^A44,IF(A44='Données projet'!$A$114,'Données projet'!$B$114,BY43+BX44-CG43)))</f>
        <v>186.42244444444455</v>
      </c>
      <c r="BZ44" s="13">
        <f>BY44*VLOOKUP('Données projet'!$B$12,Paramètres!$A$1:$I$89,3,0)*VLOOKUP('Données projet'!$B$12,Paramètres!$A$1:$I$89,5,0)</f>
        <v>111.48062177777784</v>
      </c>
      <c r="CA44" s="13">
        <f t="shared" si="39"/>
        <v>29.679558690777672</v>
      </c>
      <c r="CB44" s="20">
        <f t="shared" si="10"/>
        <v>245.85398098273421</v>
      </c>
      <c r="CC44" s="59">
        <f t="shared" si="11"/>
        <v>539.1873143160675</v>
      </c>
      <c r="CD44" s="59">
        <f ca="1">AVERAGE(OFFSET($CC$3,0,0,'Données projet'!$E$12+1,1))-AVERAGE(OFFSET($H$3,0,0,'Données projet'!$E$12+1,1))</f>
        <v>185.82627135915504</v>
      </c>
      <c r="CE44" s="59">
        <f t="shared" si="40"/>
        <v>155.46126452522037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2.2538461538461521</v>
      </c>
      <c r="CT44" s="12">
        <f>IF('Données projet'!$A$140&gt;35,CT43+CS44-DB43,IF(A44&lt;'Données projet'!$A$140,$CQ$205^A44,IF(A44='Données projet'!$A$140,'Données projet'!$B$140,CT43+CS44-DB43)))</f>
        <v>67.946153846153862</v>
      </c>
      <c r="CU44" s="17">
        <f>CT44*VLOOKUP('Données projet'!$B$13,Paramètres!$A$1:$I$89,3,0)*VLOOKUP('Données projet'!$B$13,Paramètres!$A$1:$I$89,5,0)</f>
        <v>78.273969230769254</v>
      </c>
      <c r="CV44" s="13">
        <f t="shared" si="41"/>
        <v>21.714626398890779</v>
      </c>
      <c r="CW44" s="20">
        <f t="shared" si="13"/>
        <v>174.14680405499124</v>
      </c>
      <c r="CX44" s="59">
        <f t="shared" si="14"/>
        <v>467.48013738832458</v>
      </c>
      <c r="CY44" s="59">
        <f ca="1">AVERAGE(OFFSET($CX$3,0,0,'Données projet'!$E$13+1,1))-AVERAGE(OFFSET($H$3,0,0,'Données projet'!$E$13+1,1))</f>
        <v>150.78964413039063</v>
      </c>
      <c r="CZ44" s="59">
        <f t="shared" si="42"/>
        <v>131.90332435966184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2.281502263342102</v>
      </c>
      <c r="DG44" s="21">
        <f>EXP(-LN(2)/25)*DG43+(1-EXP(-LN(2)/25))/(LN(2)/25)*Calculateur!DB44*Calculateur!DD44*VLOOKUP('Données projet'!$B$13,Paramètres!$A$1:$I$89,3,0)*0.475*44/12</f>
        <v>3.1228707349775524</v>
      </c>
      <c r="DH44" s="21">
        <f>EXP(-LN(2)/2)*DH43+(1-EXP(-LN(2)/2))/(LN(2)/2)*DB44*DE44*VLOOKUP('Données projet'!$B$13,Paramètres!$A$1:$I$89,3,0)*0.475*44/12</f>
        <v>2.1734993024096836</v>
      </c>
      <c r="DI44" s="22">
        <f t="shared" si="15"/>
        <v>7.5778723007293385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2.9487179487179502</v>
      </c>
      <c r="DO44" s="12">
        <f>IF('Données projet'!$A$166&gt;35,DO43+DN44-DW43,IF(A44&lt;'Données projet'!$A$166,$DL$205^A44,IF(A44='Données projet'!$A$166,'Données projet'!$B$166,DO43+DN44-DW43)))</f>
        <v>61.92307692307692</v>
      </c>
      <c r="DP44" s="17">
        <f>DO44*VLOOKUP('Données projet'!$B$14,Paramètres!$A$1:$I$89,3,0)*VLOOKUP('Données projet'!$B$14,Paramètres!$A$1:$I$89,5,0)</f>
        <v>64.721999999999994</v>
      </c>
      <c r="DQ44" s="13">
        <f t="shared" si="43"/>
        <v>18.356824227920534</v>
      </c>
      <c r="DR44" s="20">
        <f t="shared" si="16"/>
        <v>144.69561886362825</v>
      </c>
      <c r="DS44" s="59">
        <f t="shared" si="17"/>
        <v>438.02895219696154</v>
      </c>
      <c r="DT44" s="59">
        <f ca="1">AVERAGE(OFFSET($DS$3,0,0,'Données projet'!$E$14+1,1))-AVERAGE(OFFSET($H$3,0,0,'Données projet'!$E$14+1,1))</f>
        <v>110.10595934547638</v>
      </c>
      <c r="DU44" s="59">
        <f t="shared" si="44"/>
        <v>131.10971921141493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8.0229646726916641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8.0229646726916641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3.3603333333333336</v>
      </c>
      <c r="EJ44" s="12">
        <f>IF('Données projet'!$A$192&gt;35,EJ43+EI44-ER43,IF(A44&lt;'Données projet'!$A$192,$EG$205^A44,IF(A44='Données projet'!$A$192,'Données projet'!$B$192,EJ43+EI44-ER43)))</f>
        <v>137.77366666666663</v>
      </c>
      <c r="EK44" s="17">
        <f>EJ44*VLOOKUP('Données projet'!$B$15,Paramètres!$A$1:$I$89,3,0)*VLOOKUP('Données projet'!$B$15,Paramètres!$A$1:$I$89,5,0)</f>
        <v>139.70249799999996</v>
      </c>
      <c r="EL44" s="13">
        <f t="shared" si="45"/>
        <v>36.228843528850774</v>
      </c>
      <c r="EM44" s="20">
        <f t="shared" si="19"/>
        <v>306.41375316274832</v>
      </c>
      <c r="EN44" s="59">
        <f t="shared" si="20"/>
        <v>599.74708649608169</v>
      </c>
      <c r="EO44" s="59">
        <f ca="1">AVERAGE(OFFSET($EN$3,0,0,'Données projet'!$E$15+1,1))-AVERAGE(OFFSET($H$3,0,0,'Données projet'!$E$15+1,1))</f>
        <v>420.38735944595965</v>
      </c>
      <c r="EP44" s="59">
        <f t="shared" si="46"/>
        <v>200.0823542414671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9.8128571428571423</v>
      </c>
      <c r="FE44" s="12">
        <f>IF('Données projet'!$A$218&gt;35,FE43+FD44-FM43,IF(A44&lt;'Données projet'!$A$218,$FB$205^A44,IF(A44='Données projet'!$A$218,'Données projet'!$B$218,FE43+FD44-FM43)))</f>
        <v>110.49857142857144</v>
      </c>
      <c r="FF44" s="17">
        <f>FE44*VLOOKUP('Données projet'!$B$16,Paramètres!$A$1:$I$89,3,0)*VLOOKUP('Données projet'!$B$16,Paramètres!$A$1:$I$89,5,0)</f>
        <v>118.9406622857143</v>
      </c>
      <c r="FG44" s="13">
        <f t="shared" si="47"/>
        <v>31.427798808658942</v>
      </c>
      <c r="FH44" s="20">
        <f t="shared" si="22"/>
        <v>261.89173640603332</v>
      </c>
      <c r="FI44" s="59">
        <f t="shared" si="23"/>
        <v>555.22506973936663</v>
      </c>
      <c r="FJ44" s="59">
        <f ca="1">AVERAGE(OFFSET($FI$3,0,0,'Données projet'!$E$16+1,1))-AVERAGE(OFFSET($H$3,0,0,'Données projet'!$E$16+1,1))</f>
        <v>415.8741608506952</v>
      </c>
      <c r="FK44" s="59">
        <f t="shared" si="48"/>
        <v>259.15848913719356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26.851793685452311</v>
      </c>
      <c r="FS44" s="21">
        <f>EXP(-LN(2)/2)*FS43+(1-EXP(-LN(2)/2))/(LN(2)/2)*FM44*FP44*VLOOKUP('Données projet'!$B$16,Paramètres!$A$1:$I$89,3,0)*0.475*44/12</f>
        <v>5.1397737454871129</v>
      </c>
      <c r="FT44" s="22">
        <f t="shared" si="24"/>
        <v>31.991567430939423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9.8128571428571423</v>
      </c>
      <c r="FZ44" s="12">
        <f>IF('Données projet'!$A$244&gt;35,FZ43+FY44-GH43,IF(A44&lt;'Données projet'!$A$244,$FW$205^A44,IF(A44='Données projet'!$A$244,'Données projet'!$B$244,FZ43+FY44-GH43)))</f>
        <v>110.49857142857144</v>
      </c>
      <c r="GA44" s="17">
        <f>FZ44*VLOOKUP('Données projet'!$B$17,Paramètres!$A$1:$I$89,3,0)*VLOOKUP('Données projet'!$B$17,Paramètres!$A$1:$I$89,5,0)</f>
        <v>94.807774285714302</v>
      </c>
      <c r="GB44" s="13">
        <f t="shared" si="49"/>
        <v>25.721209106943459</v>
      </c>
      <c r="GC44" s="20">
        <f t="shared" si="25"/>
        <v>209.92131274221228</v>
      </c>
      <c r="GD44" s="59">
        <f t="shared" si="26"/>
        <v>503.25464607554557</v>
      </c>
      <c r="GE44" s="59">
        <f ca="1">AVERAGE(OFFSET($GD$3,0,0,'Données projet'!$E$17+1,1))-AVERAGE(OFFSET($H$3,0,0,'Données projet'!$E$17+1,1))</f>
        <v>322.39807389980882</v>
      </c>
      <c r="GF44" s="59">
        <f t="shared" si="50"/>
        <v>202.59410055732792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26.381185909367538</v>
      </c>
      <c r="GN44" s="21">
        <f>EXP(-LN(2)/2)*GN43+(1-EXP(-LN(2)/2))/(LN(2)/2)*GH44*GK44*VLOOKUP('Données projet'!$B$17,Paramètres!$A$1:$I$89,3,0)*0.475*44/12</f>
        <v>4.0969211014752354</v>
      </c>
      <c r="GO44" s="21">
        <f t="shared" si="27"/>
        <v>30.478107010842773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45" s="11">
        <f t="shared" si="32"/>
        <v>5.1614960114392687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158.6987060532154</v>
      </c>
      <c r="H45" s="67">
        <f t="shared" si="1"/>
        <v>329.13972888659004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6.4429411764705877</v>
      </c>
      <c r="N45" s="13">
        <f>IF('Données projet'!$A$36&gt;35,N44+M45-V44,IF(A45&lt;'Données projet'!$A$36,$K$205^A45,IF(A45='Données projet'!$A$36,'Données projet'!$B$36,N44+M45-V44)))</f>
        <v>270.60352941176455</v>
      </c>
      <c r="O45" s="13">
        <f>N45*VLOOKUP('Données projet'!$B$9,Paramètres!$A$1:$I$89,3,0)*VLOOKUP('Données projet'!$B$9,Paramètres!$A$1:$I$89,5,0)</f>
        <v>126.64245176470581</v>
      </c>
      <c r="P45" s="13">
        <f t="shared" si="33"/>
        <v>33.219350962124722</v>
      </c>
      <c r="Q45" s="20">
        <f t="shared" si="53"/>
        <v>278.42597308256319</v>
      </c>
      <c r="R45" s="59">
        <f t="shared" si="0"/>
        <v>571.7593064158965</v>
      </c>
      <c r="S45" s="59">
        <f ca="1">AVERAGE(OFFSET($R$3,0,0,'Données projet'!$E$9+1,1))-AVERAGE(OFFSET($H$3,0,0,'Données projet'!$E$9+1,1))</f>
        <v>215.77907571824977</v>
      </c>
      <c r="T45" s="59">
        <f t="shared" si="34"/>
        <v>174.69390149594869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12.984999999999996</v>
      </c>
      <c r="AI45" s="13">
        <f>IF('Données projet'!$A$62&gt;35,AI44+AH45-AQ44,IF(A45&lt;'Données projet'!$A$62,$AF$205^A45,IF(A45='Données projet'!$A$62,'Données projet'!$B$62,AI44+AH45-AQ44)))</f>
        <v>234.01999999999987</v>
      </c>
      <c r="AJ45" s="13">
        <f>AI45*VLOOKUP('Données projet'!$B$10,Paramètres!$A$1:$I$89,3,0)*VLOOKUP('Données projet'!$B$10,Paramètres!$A$1:$I$89,5,0)</f>
        <v>139.94395999999995</v>
      </c>
      <c r="AK45" s="13">
        <f t="shared" si="35"/>
        <v>36.284167218821395</v>
      </c>
      <c r="AL45" s="20">
        <f t="shared" si="4"/>
        <v>306.93065490611383</v>
      </c>
      <c r="AM45" s="59">
        <f t="shared" si="5"/>
        <v>600.26398823944714</v>
      </c>
      <c r="AN45" s="59">
        <f ca="1">AVERAGE(OFFSET($AM$3,0,0,'Données projet'!$E$10+1,1))-AVERAGE(OFFSET($H$3,0,0,'Données projet'!$E$10+1,1))</f>
        <v>171.701352621833</v>
      </c>
      <c r="AO45" s="59">
        <f t="shared" si="36"/>
        <v>195.58435749168586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13.426374362764319</v>
      </c>
      <c r="AV45" s="21">
        <f>EXP(-LN(2)/25)*AV44+(1-EXP(-LN(2)/25))/(LN(2)/25)*Calculateur!AQ45*Calculateur!AS45*VLOOKUP('Données projet'!$B$10,Paramètres!$A$1:$I$89,3,0)*0.475*44/12</f>
        <v>12.386585076107718</v>
      </c>
      <c r="AW45" s="21">
        <f>EXP(-LN(2)/2)*AW44+(1-EXP(-LN(2)/2))/(LN(2)/2)*AQ45*AT45*VLOOKUP('Données projet'!$B$10,Paramètres!$A$1:$I$89,3,0)*0.475*44/12</f>
        <v>2.0265344110892487</v>
      </c>
      <c r="AX45" s="21">
        <f t="shared" si="6"/>
        <v>27.839493849961283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22.4</v>
      </c>
      <c r="BD45" s="12">
        <f>IF('Données projet'!$A$88&gt;35,BD44+BC45-BL44,IF(A45&lt;'Données projet'!$A$88,$BA$205^A45,IF(A45='Données projet'!$A$88,'Données projet'!$B$88,BD44+BC45-BL44)))</f>
        <v>382.79999999999973</v>
      </c>
      <c r="BE45" s="13">
        <f>BD45*VLOOKUP('Données projet'!$B$11,Paramètres!$A$1:$I$89,3,0)*VLOOKUP('Données projet'!$B$11,Paramètres!$A$1:$I$89,5,0)</f>
        <v>199.05599999999987</v>
      </c>
      <c r="BF45" s="13">
        <f t="shared" si="37"/>
        <v>49.536648006253891</v>
      </c>
      <c r="BG45" s="20">
        <f t="shared" si="7"/>
        <v>432.96552861089191</v>
      </c>
      <c r="BH45" s="59">
        <f t="shared" si="8"/>
        <v>726.29886194422522</v>
      </c>
      <c r="BI45" s="59">
        <f ca="1">AVERAGE(OFFSET($BH$3,0,0,'Données projet'!$E$11+1,1))-AVERAGE(OFFSET($H$3,0,0,'Données projet'!$E$11+1,1))</f>
        <v>348.29124901999882</v>
      </c>
      <c r="BJ45" s="59">
        <f t="shared" si="38"/>
        <v>284.30034973939053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16.762245141253509</v>
      </c>
      <c r="BQ45" s="21">
        <f>EXP(-LN(2)/25)*BQ44+(1-EXP(-LN(2)/25))/(LN(2)/25)*Calculateur!BL45*Calculateur!BN45*VLOOKUP('Données projet'!$B$11,Paramètres!$A$1:$I$89,3,0)*0.475*44/12</f>
        <v>23.136174950168847</v>
      </c>
      <c r="BR45" s="21">
        <f>EXP(-LN(2)/2)*BR44+(1-EXP(-LN(2)/2))/(LN(2)/2)*BL45*BO45*VLOOKUP('Données projet'!$B$11,Paramètres!$A$1:$I$89,3,0)*0.475*44/12</f>
        <v>7.5935351235743589</v>
      </c>
      <c r="BS45" s="22">
        <f t="shared" si="9"/>
        <v>47.491955214996707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4.5468888888888888</v>
      </c>
      <c r="BY45" s="12">
        <f>IF('Données projet'!$A$114&gt;35,BY44+BX45-CG44,IF(A45&lt;'Données projet'!$A$114,$BV$205^A45,IF(A45='Données projet'!$A$114,'Données projet'!$B$114,BY44+BX45-CG44)))</f>
        <v>190.96933333333345</v>
      </c>
      <c r="BZ45" s="13">
        <f>BY45*VLOOKUP('Données projet'!$B$12,Paramètres!$A$1:$I$89,3,0)*VLOOKUP('Données projet'!$B$12,Paramètres!$A$1:$I$89,5,0)</f>
        <v>114.19966133333341</v>
      </c>
      <c r="CA45" s="13">
        <f t="shared" si="39"/>
        <v>30.318289547892231</v>
      </c>
      <c r="CB45" s="20">
        <f t="shared" si="10"/>
        <v>251.70209778480128</v>
      </c>
      <c r="CC45" s="59">
        <f t="shared" si="11"/>
        <v>545.03543111813462</v>
      </c>
      <c r="CD45" s="59">
        <f ca="1">AVERAGE(OFFSET($CC$3,0,0,'Données projet'!$E$12+1,1))-AVERAGE(OFFSET($H$3,0,0,'Données projet'!$E$12+1,1))</f>
        <v>185.82627135915504</v>
      </c>
      <c r="CE45" s="59">
        <f t="shared" si="40"/>
        <v>155.46126452522037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2.2538461538461521</v>
      </c>
      <c r="CT45" s="12">
        <f>IF('Données projet'!$A$140&gt;35,CT44+CS45-DB44,IF(A45&lt;'Données projet'!$A$140,$CQ$205^A45,IF(A45='Données projet'!$A$140,'Données projet'!$B$140,CT44+CS45-DB44)))</f>
        <v>70.200000000000017</v>
      </c>
      <c r="CU45" s="17">
        <f>CT45*VLOOKUP('Données projet'!$B$13,Paramètres!$A$1:$I$89,3,0)*VLOOKUP('Données projet'!$B$13,Paramètres!$A$1:$I$89,5,0)</f>
        <v>80.870400000000004</v>
      </c>
      <c r="CV45" s="13">
        <f t="shared" si="41"/>
        <v>22.349867236770798</v>
      </c>
      <c r="CW45" s="20">
        <f t="shared" si="13"/>
        <v>179.77529877070916</v>
      </c>
      <c r="CX45" s="59">
        <f t="shared" si="14"/>
        <v>473.1086321040425</v>
      </c>
      <c r="CY45" s="59">
        <f ca="1">AVERAGE(OFFSET($CX$3,0,0,'Données projet'!$E$13+1,1))-AVERAGE(OFFSET($H$3,0,0,'Données projet'!$E$13+1,1))</f>
        <v>150.78964413039063</v>
      </c>
      <c r="CZ45" s="59">
        <f t="shared" si="42"/>
        <v>131.90332435966184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2.2367633955369373</v>
      </c>
      <c r="DG45" s="21">
        <f>EXP(-LN(2)/25)*DG44+(1-EXP(-LN(2)/25))/(LN(2)/25)*Calculateur!DB45*Calculateur!DD45*VLOOKUP('Données projet'!$B$13,Paramètres!$A$1:$I$89,3,0)*0.475*44/12</f>
        <v>3.0374756705049566</v>
      </c>
      <c r="DH45" s="21">
        <f>EXP(-LN(2)/2)*DH44+(1-EXP(-LN(2)/2))/(LN(2)/2)*DB45*DE45*VLOOKUP('Données projet'!$B$13,Paramètres!$A$1:$I$89,3,0)*0.475*44/12</f>
        <v>1.5368960956381179</v>
      </c>
      <c r="DI45" s="22">
        <f t="shared" si="15"/>
        <v>6.8111351616800118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2.9487179487179502</v>
      </c>
      <c r="DO45" s="12">
        <f>IF('Données projet'!$A$166&gt;35,DO44+DN45-DW44,IF(A45&lt;'Données projet'!$A$166,$DL$205^A45,IF(A45='Données projet'!$A$166,'Données projet'!$B$166,DO44+DN45-DW44)))</f>
        <v>64.871794871794876</v>
      </c>
      <c r="DP45" s="17">
        <f>DO45*VLOOKUP('Données projet'!$B$14,Paramètres!$A$1:$I$89,3,0)*VLOOKUP('Données projet'!$B$14,Paramètres!$A$1:$I$89,5,0)</f>
        <v>67.804000000000002</v>
      </c>
      <c r="DQ45" s="13">
        <f t="shared" si="43"/>
        <v>19.127105854887589</v>
      </c>
      <c r="DR45" s="20">
        <f t="shared" si="16"/>
        <v>151.40500936392922</v>
      </c>
      <c r="DS45" s="59">
        <f t="shared" si="17"/>
        <v>444.73834269726251</v>
      </c>
      <c r="DT45" s="59">
        <f ca="1">AVERAGE(OFFSET($DS$3,0,0,'Données projet'!$E$14+1,1))-AVERAGE(OFFSET($H$3,0,0,'Données projet'!$E$14+1,1))</f>
        <v>110.10595934547638</v>
      </c>
      <c r="DU45" s="59">
        <f t="shared" si="44"/>
        <v>131.10971921141493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7.8035762818075352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7.8035762818075352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3.3603333333333336</v>
      </c>
      <c r="EJ45" s="12">
        <f>IF('Données projet'!$A$192&gt;35,EJ44+EI45-ER44,IF(A45&lt;'Données projet'!$A$192,$EG$205^A45,IF(A45='Données projet'!$A$192,'Données projet'!$B$192,EJ44+EI45-ER44)))</f>
        <v>141.13399999999996</v>
      </c>
      <c r="EK45" s="17">
        <f>EJ45*VLOOKUP('Données projet'!$B$15,Paramètres!$A$1:$I$89,3,0)*VLOOKUP('Données projet'!$B$15,Paramètres!$A$1:$I$89,5,0)</f>
        <v>143.10987599999996</v>
      </c>
      <c r="EL45" s="13">
        <f t="shared" si="45"/>
        <v>37.008520899412304</v>
      </c>
      <c r="EM45" s="20">
        <f t="shared" si="19"/>
        <v>313.70620793314299</v>
      </c>
      <c r="EN45" s="59">
        <f t="shared" si="20"/>
        <v>607.03954126647636</v>
      </c>
      <c r="EO45" s="59">
        <f ca="1">AVERAGE(OFFSET($EN$3,0,0,'Données projet'!$E$15+1,1))-AVERAGE(OFFSET($H$3,0,0,'Données projet'!$E$15+1,1))</f>
        <v>420.38735944595965</v>
      </c>
      <c r="EP45" s="59">
        <f t="shared" si="46"/>
        <v>200.0823542414671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9.8128571428571423</v>
      </c>
      <c r="FE45" s="12">
        <f>IF('Données projet'!$A$218&gt;35,FE44+FD45-FM44,IF(A45&lt;'Données projet'!$A$218,$FB$205^A45,IF(A45='Données projet'!$A$218,'Données projet'!$B$218,FE44+FD45-FM44)))</f>
        <v>120.31142857142858</v>
      </c>
      <c r="FF45" s="17">
        <f>FE45*VLOOKUP('Données projet'!$B$16,Paramètres!$A$1:$I$89,3,0)*VLOOKUP('Données projet'!$B$16,Paramètres!$A$1:$I$89,5,0)</f>
        <v>129.5032217142857</v>
      </c>
      <c r="FG45" s="13">
        <f t="shared" si="47"/>
        <v>33.881542889982931</v>
      </c>
      <c r="FH45" s="20">
        <f t="shared" si="22"/>
        <v>284.56179835243455</v>
      </c>
      <c r="FI45" s="59">
        <f t="shared" si="23"/>
        <v>577.89513168576786</v>
      </c>
      <c r="FJ45" s="59">
        <f ca="1">AVERAGE(OFFSET($FI$3,0,0,'Données projet'!$E$16+1,1))-AVERAGE(OFFSET($H$3,0,0,'Données projet'!$E$16+1,1))</f>
        <v>415.8741608506952</v>
      </c>
      <c r="FK45" s="59">
        <f t="shared" si="48"/>
        <v>259.15848913719356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26.117529975049159</v>
      </c>
      <c r="FS45" s="21">
        <f>EXP(-LN(2)/2)*FS44+(1-EXP(-LN(2)/2))/(LN(2)/2)*FM45*FP45*VLOOKUP('Données projet'!$B$16,Paramètres!$A$1:$I$89,3,0)*0.475*44/12</f>
        <v>3.6343688691985179</v>
      </c>
      <c r="FT45" s="22">
        <f t="shared" si="24"/>
        <v>29.751898844247677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9.8128571428571423</v>
      </c>
      <c r="FZ45" s="12">
        <f>IF('Données projet'!$A$244&gt;35,FZ44+FY45-GH44,IF(A45&lt;'Données projet'!$A$244,$FW$205^A45,IF(A45='Données projet'!$A$244,'Données projet'!$B$244,FZ44+FY45-GH44)))</f>
        <v>120.31142857142858</v>
      </c>
      <c r="GA45" s="17">
        <f>FZ45*VLOOKUP('Données projet'!$B$17,Paramètres!$A$1:$I$89,3,0)*VLOOKUP('Données projet'!$B$17,Paramètres!$A$1:$I$89,5,0)</f>
        <v>103.22720571428574</v>
      </c>
      <c r="GB45" s="13">
        <f t="shared" si="49"/>
        <v>27.729407803737683</v>
      </c>
      <c r="GC45" s="20">
        <f t="shared" si="25"/>
        <v>228.08276854389078</v>
      </c>
      <c r="GD45" s="59">
        <f t="shared" si="26"/>
        <v>521.41610187722404</v>
      </c>
      <c r="GE45" s="59">
        <f ca="1">AVERAGE(OFFSET($GD$3,0,0,'Données projet'!$E$17+1,1))-AVERAGE(OFFSET($H$3,0,0,'Données projet'!$E$17+1,1))</f>
        <v>322.39807389980882</v>
      </c>
      <c r="GF45" s="59">
        <f t="shared" si="50"/>
        <v>202.59410055732792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25.65979099334961</v>
      </c>
      <c r="GN45" s="21">
        <f>EXP(-LN(2)/2)*GN44+(1-EXP(-LN(2)/2))/(LN(2)/2)*GH45*GK45*VLOOKUP('Données projet'!$B$17,Paramètres!$A$1:$I$89,3,0)*0.475*44/12</f>
        <v>2.8969606928393987</v>
      </c>
      <c r="GO45" s="21">
        <f t="shared" si="27"/>
        <v>28.55675168618901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15.7638</v>
      </c>
      <c r="D46" s="11">
        <f t="shared" si="32"/>
        <v>5.269934900773686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162.36567291825304</v>
      </c>
      <c r="H46" s="67">
        <f t="shared" si="1"/>
        <v>329.96708828551414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6.4429411764705877</v>
      </c>
      <c r="N46" s="13">
        <f>IF('Données projet'!$A$36&gt;35,N45+M46-V45,IF(A46&lt;'Données projet'!$A$36,$K$205^A46,IF(A46='Données projet'!$A$36,'Données projet'!$B$36,N45+M46-V45)))</f>
        <v>277.04647058823514</v>
      </c>
      <c r="O46" s="13">
        <f>N46*VLOOKUP('Données projet'!$B$9,Paramètres!$A$1:$I$89,3,0)*VLOOKUP('Données projet'!$B$9,Paramètres!$A$1:$I$89,5,0)</f>
        <v>129.65774823529404</v>
      </c>
      <c r="P46" s="13">
        <f t="shared" si="33"/>
        <v>33.917262868819897</v>
      </c>
      <c r="Q46" s="20">
        <f t="shared" si="53"/>
        <v>284.89314433966507</v>
      </c>
      <c r="R46" s="59">
        <f t="shared" si="0"/>
        <v>578.22647767299839</v>
      </c>
      <c r="S46" s="59">
        <f ca="1">AVERAGE(OFFSET($R$3,0,0,'Données projet'!$E$9+1,1))-AVERAGE(OFFSET($H$3,0,0,'Données projet'!$E$9+1,1))</f>
        <v>215.77907571824977</v>
      </c>
      <c r="T46" s="59">
        <f t="shared" si="34"/>
        <v>174.69390149594869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12.984999999999996</v>
      </c>
      <c r="AI46" s="13">
        <f>IF('Données projet'!$A$62&gt;35,AI45+AH46-AQ45,IF(A46&lt;'Données projet'!$A$62,$AF$205^A46,IF(A46='Données projet'!$A$62,'Données projet'!$B$62,AI45+AH46-AQ45)))</f>
        <v>247.00499999999985</v>
      </c>
      <c r="AJ46" s="13">
        <f>AI46*VLOOKUP('Données projet'!$B$10,Paramètres!$A$1:$I$89,3,0)*VLOOKUP('Données projet'!$B$10,Paramètres!$A$1:$I$89,5,0)</f>
        <v>147.70898999999991</v>
      </c>
      <c r="AK46" s="13">
        <f t="shared" si="35"/>
        <v>38.057479922162621</v>
      </c>
      <c r="AL46" s="20">
        <f t="shared" si="4"/>
        <v>323.54326844776637</v>
      </c>
      <c r="AM46" s="59">
        <f t="shared" si="5"/>
        <v>616.87660178109968</v>
      </c>
      <c r="AN46" s="59">
        <f ca="1">AVERAGE(OFFSET($AM$3,0,0,'Données projet'!$E$10+1,1))-AVERAGE(OFFSET($H$3,0,0,'Données projet'!$E$10+1,1))</f>
        <v>171.701352621833</v>
      </c>
      <c r="AO46" s="59">
        <f t="shared" si="36"/>
        <v>195.58435749168586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13.163091350790248</v>
      </c>
      <c r="AV46" s="21">
        <f>EXP(-LN(2)/25)*AV45+(1-EXP(-LN(2)/25))/(LN(2)/25)*Calculateur!AQ46*Calculateur!AS46*VLOOKUP('Données projet'!$B$10,Paramètres!$A$1:$I$89,3,0)*0.475*44/12</f>
        <v>12.047873255819352</v>
      </c>
      <c r="AW46" s="21">
        <f>EXP(-LN(2)/2)*AW45+(1-EXP(-LN(2)/2))/(LN(2)/2)*AQ46*AT46*VLOOKUP('Données projet'!$B$10,Paramètres!$A$1:$I$89,3,0)*0.475*44/12</f>
        <v>1.4329762243890944</v>
      </c>
      <c r="AX46" s="21">
        <f t="shared" si="6"/>
        <v>26.643940830998694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22.4</v>
      </c>
      <c r="BD46" s="12">
        <f>IF('Données projet'!$A$88&gt;35,BD45+BC46-BL45,IF(A46&lt;'Données projet'!$A$88,$BA$205^A46,IF(A46='Données projet'!$A$88,'Données projet'!$B$88,BD45+BC46-BL45)))</f>
        <v>405.1999999999997</v>
      </c>
      <c r="BE46" s="13">
        <f>BD46*VLOOKUP('Données projet'!$B$11,Paramètres!$A$1:$I$89,3,0)*VLOOKUP('Données projet'!$B$11,Paramètres!$A$1:$I$89,5,0)</f>
        <v>210.70399999999987</v>
      </c>
      <c r="BF46" s="13">
        <f t="shared" si="37"/>
        <v>52.089397432225574</v>
      </c>
      <c r="BG46" s="20">
        <f t="shared" si="7"/>
        <v>457.69850052779265</v>
      </c>
      <c r="BH46" s="59">
        <f t="shared" si="8"/>
        <v>751.03183386112596</v>
      </c>
      <c r="BI46" s="59">
        <f ca="1">AVERAGE(OFFSET($BH$3,0,0,'Données projet'!$E$11+1,1))-AVERAGE(OFFSET($H$3,0,0,'Données projet'!$E$11+1,1))</f>
        <v>348.29124901999882</v>
      </c>
      <c r="BJ46" s="59">
        <f t="shared" si="38"/>
        <v>284.30034973939053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16.433547737993532</v>
      </c>
      <c r="BQ46" s="21">
        <f>EXP(-LN(2)/25)*BQ45+(1-EXP(-LN(2)/25))/(LN(2)/25)*Calculateur!BL46*Calculateur!BN46*VLOOKUP('Données projet'!$B$11,Paramètres!$A$1:$I$89,3,0)*0.475*44/12</f>
        <v>22.503515029477917</v>
      </c>
      <c r="BR46" s="21">
        <f>EXP(-LN(2)/2)*BR45+(1-EXP(-LN(2)/2))/(LN(2)/2)*BL46*BO46*VLOOKUP('Données projet'!$B$11,Paramètres!$A$1:$I$89,3,0)*0.475*44/12</f>
        <v>5.3694401790576576</v>
      </c>
      <c r="BS46" s="22">
        <f t="shared" si="9"/>
        <v>44.3065029465291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4.5468888888888888</v>
      </c>
      <c r="BY46" s="12">
        <f>IF('Données projet'!$A$114&gt;35,BY45+BX46-CG45,IF(A46&lt;'Données projet'!$A$114,$BV$205^A46,IF(A46='Données projet'!$A$114,'Données projet'!$B$114,BY45+BX46-CG45)))</f>
        <v>195.51622222222235</v>
      </c>
      <c r="BZ46" s="13">
        <f>BY46*VLOOKUP('Données projet'!$B$12,Paramètres!$A$1:$I$89,3,0)*VLOOKUP('Données projet'!$B$12,Paramètres!$A$1:$I$89,5,0)</f>
        <v>116.91870088888896</v>
      </c>
      <c r="CA46" s="13">
        <f t="shared" si="39"/>
        <v>30.955252482244287</v>
      </c>
      <c r="CB46" s="20">
        <f t="shared" si="10"/>
        <v>257.54713545472373</v>
      </c>
      <c r="CC46" s="59">
        <f t="shared" si="11"/>
        <v>550.88046878805699</v>
      </c>
      <c r="CD46" s="59">
        <f ca="1">AVERAGE(OFFSET($CC$3,0,0,'Données projet'!$E$12+1,1))-AVERAGE(OFFSET($H$3,0,0,'Données projet'!$E$12+1,1))</f>
        <v>185.82627135915504</v>
      </c>
      <c r="CE46" s="59">
        <f t="shared" si="40"/>
        <v>155.46126452522037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2.2538461538461521</v>
      </c>
      <c r="CT46" s="12">
        <f>IF('Données projet'!$A$140&gt;35,CT45+CS46-DB45,IF(A46&lt;'Données projet'!$A$140,$CQ$205^A46,IF(A46='Données projet'!$A$140,'Données projet'!$B$140,CT45+CS46-DB45)))</f>
        <v>72.453846153846172</v>
      </c>
      <c r="CU46" s="17">
        <f>CT46*VLOOKUP('Données projet'!$B$13,Paramètres!$A$1:$I$89,3,0)*VLOOKUP('Données projet'!$B$13,Paramètres!$A$1:$I$89,5,0)</f>
        <v>83.466830769230782</v>
      </c>
      <c r="CV46" s="13">
        <f t="shared" si="41"/>
        <v>22.982738086790832</v>
      </c>
      <c r="CW46" s="20">
        <f t="shared" si="13"/>
        <v>185.39966575757094</v>
      </c>
      <c r="CX46" s="59">
        <f t="shared" si="14"/>
        <v>478.73299909090429</v>
      </c>
      <c r="CY46" s="59">
        <f ca="1">AVERAGE(OFFSET($CX$3,0,0,'Données projet'!$E$13+1,1))-AVERAGE(OFFSET($H$3,0,0,'Données projet'!$E$13+1,1))</f>
        <v>150.78964413039063</v>
      </c>
      <c r="CZ46" s="59">
        <f t="shared" si="42"/>
        <v>131.90332435966184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2.1929018296414164</v>
      </c>
      <c r="DG46" s="21">
        <f>EXP(-LN(2)/25)*DG45+(1-EXP(-LN(2)/25))/(LN(2)/25)*Calculateur!DB46*Calculateur!DD46*VLOOKUP('Données projet'!$B$13,Paramètres!$A$1:$I$89,3,0)*0.475*44/12</f>
        <v>2.9544157385610954</v>
      </c>
      <c r="DH46" s="21">
        <f>EXP(-LN(2)/2)*DH45+(1-EXP(-LN(2)/2))/(LN(2)/2)*DB46*DE46*VLOOKUP('Données projet'!$B$13,Paramètres!$A$1:$I$89,3,0)*0.475*44/12</f>
        <v>1.086749651204842</v>
      </c>
      <c r="DI46" s="22">
        <f t="shared" si="15"/>
        <v>6.2340672194073541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2.9487179487179502</v>
      </c>
      <c r="DO46" s="12">
        <f>IF('Données projet'!$A$166&gt;35,DO45+DN46-DW45,IF(A46&lt;'Données projet'!$A$166,$DL$205^A46,IF(A46='Données projet'!$A$166,'Données projet'!$B$166,DO45+DN46-DW45)))</f>
        <v>67.820512820512832</v>
      </c>
      <c r="DP46" s="17">
        <f>DO46*VLOOKUP('Données projet'!$B$14,Paramètres!$A$1:$I$89,3,0)*VLOOKUP('Données projet'!$B$14,Paramètres!$A$1:$I$89,5,0)</f>
        <v>70.886000000000024</v>
      </c>
      <c r="DQ46" s="13">
        <f t="shared" si="43"/>
        <v>19.89332127580079</v>
      </c>
      <c r="DR46" s="20">
        <f t="shared" si="16"/>
        <v>158.10731788868642</v>
      </c>
      <c r="DS46" s="59">
        <f t="shared" si="17"/>
        <v>451.44065122201971</v>
      </c>
      <c r="DT46" s="59">
        <f ca="1">AVERAGE(OFFSET($DS$3,0,0,'Données projet'!$E$14+1,1))-AVERAGE(OFFSET($H$3,0,0,'Données projet'!$E$14+1,1))</f>
        <v>110.10595934547638</v>
      </c>
      <c r="DU46" s="59">
        <f t="shared" si="44"/>
        <v>131.10971921141493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7.5901870780092668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7.5901870780092668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3.3603333333333336</v>
      </c>
      <c r="EJ46" s="12">
        <f>IF('Données projet'!$A$192&gt;35,EJ45+EI46-ER45,IF(A46&lt;'Données projet'!$A$192,$EG$205^A46,IF(A46='Données projet'!$A$192,'Données projet'!$B$192,EJ45+EI46-ER45)))</f>
        <v>144.49433333333329</v>
      </c>
      <c r="EK46" s="17">
        <f>EJ46*VLOOKUP('Données projet'!$B$15,Paramètres!$A$1:$I$89,3,0)*VLOOKUP('Données projet'!$B$15,Paramètres!$A$1:$I$89,5,0)</f>
        <v>146.51725399999995</v>
      </c>
      <c r="EL46" s="13">
        <f t="shared" si="45"/>
        <v>37.786040225853256</v>
      </c>
      <c r="EM46" s="20">
        <f t="shared" si="19"/>
        <v>320.99490411002768</v>
      </c>
      <c r="EN46" s="59">
        <f t="shared" si="20"/>
        <v>614.32823744336099</v>
      </c>
      <c r="EO46" s="59">
        <f ca="1">AVERAGE(OFFSET($EN$3,0,0,'Données projet'!$E$15+1,1))-AVERAGE(OFFSET($H$3,0,0,'Données projet'!$E$15+1,1))</f>
        <v>420.38735944595965</v>
      </c>
      <c r="EP46" s="59">
        <f t="shared" si="46"/>
        <v>200.0823542414671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9.8128571428571423</v>
      </c>
      <c r="FE46" s="12">
        <f>IF('Données projet'!$A$218&gt;35,FE45+FD46-FM45,IF(A46&lt;'Données projet'!$A$218,$FB$205^A46,IF(A46='Données projet'!$A$218,'Données projet'!$B$218,FE45+FD46-FM45)))</f>
        <v>130.12428571428572</v>
      </c>
      <c r="FF46" s="17">
        <f>FE46*VLOOKUP('Données projet'!$B$16,Paramètres!$A$1:$I$89,3,0)*VLOOKUP('Données projet'!$B$16,Paramètres!$A$1:$I$89,5,0)</f>
        <v>140.06578114285713</v>
      </c>
      <c r="FG46" s="13">
        <f t="shared" si="47"/>
        <v>36.312074619085465</v>
      </c>
      <c r="FH46" s="20">
        <f t="shared" si="22"/>
        <v>307.1914321187167</v>
      </c>
      <c r="FI46" s="59">
        <f t="shared" si="23"/>
        <v>600.52476545205002</v>
      </c>
      <c r="FJ46" s="59">
        <f ca="1">AVERAGE(OFFSET($FI$3,0,0,'Données projet'!$E$16+1,1))-AVERAGE(OFFSET($H$3,0,0,'Données projet'!$E$16+1,1))</f>
        <v>415.8741608506952</v>
      </c>
      <c r="FK46" s="59">
        <f t="shared" si="48"/>
        <v>259.15848913719356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25.403344744420231</v>
      </c>
      <c r="FS46" s="21">
        <f>EXP(-LN(2)/2)*FS45+(1-EXP(-LN(2)/2))/(LN(2)/2)*FM46*FP46*VLOOKUP('Données projet'!$B$16,Paramètres!$A$1:$I$89,3,0)*0.475*44/12</f>
        <v>2.5698868727435569</v>
      </c>
      <c r="FT46" s="22">
        <f t="shared" si="24"/>
        <v>27.973231617163787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9.8128571428571423</v>
      </c>
      <c r="FZ46" s="12">
        <f>IF('Données projet'!$A$244&gt;35,FZ45+FY46-GH45,IF(A46&lt;'Données projet'!$A$244,$FW$205^A46,IF(A46='Données projet'!$A$244,'Données projet'!$B$244,FZ45+FY46-GH45)))</f>
        <v>130.12428571428572</v>
      </c>
      <c r="GA46" s="17">
        <f>FZ46*VLOOKUP('Données projet'!$B$17,Paramètres!$A$1:$I$89,3,0)*VLOOKUP('Données projet'!$B$17,Paramètres!$A$1:$I$89,5,0)</f>
        <v>111.64663714285716</v>
      </c>
      <c r="GB46" s="13">
        <f t="shared" si="49"/>
        <v>29.718608995520889</v>
      </c>
      <c r="GC46" s="20">
        <f t="shared" si="25"/>
        <v>246.21113702434172</v>
      </c>
      <c r="GD46" s="59">
        <f t="shared" si="26"/>
        <v>539.54447035767498</v>
      </c>
      <c r="GE46" s="59">
        <f ca="1">AVERAGE(OFFSET($GD$3,0,0,'Données projet'!$E$17+1,1))-AVERAGE(OFFSET($H$3,0,0,'Données projet'!$E$17+1,1))</f>
        <v>322.39807389980882</v>
      </c>
      <c r="GF46" s="59">
        <f t="shared" si="50"/>
        <v>202.59410055732792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24.958122659246701</v>
      </c>
      <c r="GN46" s="21">
        <f>EXP(-LN(2)/2)*GN45+(1-EXP(-LN(2)/2))/(LN(2)/2)*GH46*GK46*VLOOKUP('Données projet'!$B$17,Paramètres!$A$1:$I$89,3,0)*0.475*44/12</f>
        <v>2.0484605507376181</v>
      </c>
      <c r="GO46" s="21">
        <f t="shared" si="27"/>
        <v>27.006583209984321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47" s="11">
        <f t="shared" si="32"/>
        <v>5.3780806175732732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166.03037669705682</v>
      </c>
      <c r="H47" s="67">
        <f t="shared" si="1"/>
        <v>330.79393707560678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6.4429411764705877</v>
      </c>
      <c r="N47" s="13">
        <f>IF('Données projet'!$A$36&gt;35,N46+M47-V46,IF(A47&lt;'Données projet'!$A$36,$K$205^A47,IF(A47='Données projet'!$A$36,'Données projet'!$B$36,N46+M47-V46)))</f>
        <v>283.48941176470572</v>
      </c>
      <c r="O47" s="13">
        <f>N47*VLOOKUP('Données projet'!$B$9,Paramètres!$A$1:$I$89,3,0)*VLOOKUP('Données projet'!$B$9,Paramètres!$A$1:$I$89,5,0)</f>
        <v>132.67304470588229</v>
      </c>
      <c r="P47" s="13">
        <f t="shared" si="33"/>
        <v>34.613287919203351</v>
      </c>
      <c r="Q47" s="20">
        <f t="shared" si="53"/>
        <v>291.35702932202412</v>
      </c>
      <c r="R47" s="59">
        <f t="shared" si="0"/>
        <v>584.69036265535738</v>
      </c>
      <c r="S47" s="59">
        <f ca="1">AVERAGE(OFFSET($R$3,0,0,'Données projet'!$E$9+1,1))-AVERAGE(OFFSET($H$3,0,0,'Données projet'!$E$9+1,1))</f>
        <v>215.77907571824977</v>
      </c>
      <c r="T47" s="59">
        <f t="shared" si="34"/>
        <v>174.69390149594869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12.984999999999996</v>
      </c>
      <c r="AI47" s="13">
        <f>IF('Données projet'!$A$62&gt;35,AI46+AH47-AQ46,IF(A47&lt;'Données projet'!$A$62,$AF$205^A47,IF(A47='Données projet'!$A$62,'Données projet'!$B$62,AI46+AH47-AQ46)))</f>
        <v>259.98999999999984</v>
      </c>
      <c r="AJ47" s="13">
        <f>AI47*VLOOKUP('Données projet'!$B$10,Paramètres!$A$1:$I$89,3,0)*VLOOKUP('Données projet'!$B$10,Paramètres!$A$1:$I$89,5,0)</f>
        <v>155.47401999999991</v>
      </c>
      <c r="AK47" s="13">
        <f t="shared" si="35"/>
        <v>39.819969376141302</v>
      </c>
      <c r="AL47" s="20">
        <f t="shared" si="4"/>
        <v>340.13703149677923</v>
      </c>
      <c r="AM47" s="59">
        <f t="shared" si="5"/>
        <v>633.47036483011254</v>
      </c>
      <c r="AN47" s="59">
        <f ca="1">AVERAGE(OFFSET($AM$3,0,0,'Données projet'!$E$10+1,1))-AVERAGE(OFFSET($H$3,0,0,'Données projet'!$E$10+1,1))</f>
        <v>171.701352621833</v>
      </c>
      <c r="AO47" s="59">
        <f t="shared" si="36"/>
        <v>195.58435749168586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12.904971158094208</v>
      </c>
      <c r="AV47" s="21">
        <f>EXP(-LN(2)/25)*AV46+(1-EXP(-LN(2)/25))/(LN(2)/25)*Calculateur!AQ47*Calculateur!AS47*VLOOKUP('Données projet'!$B$10,Paramètres!$A$1:$I$89,3,0)*0.475*44/12</f>
        <v>11.718423528068854</v>
      </c>
      <c r="AW47" s="21">
        <f>EXP(-LN(2)/2)*AW46+(1-EXP(-LN(2)/2))/(LN(2)/2)*AQ47*AT47*VLOOKUP('Données projet'!$B$10,Paramètres!$A$1:$I$89,3,0)*0.475*44/12</f>
        <v>1.0132672055446246</v>
      </c>
      <c r="AX47" s="21">
        <f t="shared" si="6"/>
        <v>25.636661891707686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22.4</v>
      </c>
      <c r="BD47" s="12">
        <f>IF('Données projet'!$A$88&gt;35,BD46+BC47-BL46,IF(A47&lt;'Données projet'!$A$88,$BA$205^A47,IF(A47='Données projet'!$A$88,'Données projet'!$B$88,BD46+BC47-BL46)))</f>
        <v>427.59999999999968</v>
      </c>
      <c r="BE47" s="13">
        <f>BD47*VLOOKUP('Données projet'!$B$11,Paramètres!$A$1:$I$89,3,0)*VLOOKUP('Données projet'!$B$11,Paramètres!$A$1:$I$89,5,0)</f>
        <v>222.35199999999986</v>
      </c>
      <c r="BF47" s="13">
        <f t="shared" si="37"/>
        <v>54.625764486673361</v>
      </c>
      <c r="BG47" s="20">
        <f t="shared" si="7"/>
        <v>482.40293981428914</v>
      </c>
      <c r="BH47" s="59">
        <f t="shared" si="8"/>
        <v>775.73627314762246</v>
      </c>
      <c r="BI47" s="59">
        <f ca="1">AVERAGE(OFFSET($BH$3,0,0,'Données projet'!$E$11+1,1))-AVERAGE(OFFSET($H$3,0,0,'Données projet'!$E$11+1,1))</f>
        <v>348.29124901999882</v>
      </c>
      <c r="BJ47" s="59">
        <f t="shared" si="38"/>
        <v>284.30034973939053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16.111295890325863</v>
      </c>
      <c r="BQ47" s="21">
        <f>EXP(-LN(2)/25)*BQ46+(1-EXP(-LN(2)/25))/(LN(2)/25)*Calculateur!BL47*Calculateur!BN47*VLOOKUP('Données projet'!$B$11,Paramètres!$A$1:$I$89,3,0)*0.475*44/12</f>
        <v>21.88815522758842</v>
      </c>
      <c r="BR47" s="21">
        <f>EXP(-LN(2)/2)*BR46+(1-EXP(-LN(2)/2))/(LN(2)/2)*BL47*BO47*VLOOKUP('Données projet'!$B$11,Paramètres!$A$1:$I$89,3,0)*0.475*44/12</f>
        <v>3.7967675617871799</v>
      </c>
      <c r="BS47" s="22">
        <f t="shared" si="9"/>
        <v>41.796218679701461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4.5468888888888888</v>
      </c>
      <c r="BY47" s="12">
        <f>IF('Données projet'!$A$114&gt;35,BY46+BX47-CG46,IF(A47&lt;'Données projet'!$A$114,$BV$205^A47,IF(A47='Données projet'!$A$114,'Données projet'!$B$114,BY46+BX47-CG46)))</f>
        <v>200.06311111111125</v>
      </c>
      <c r="BZ47" s="13">
        <f>BY47*VLOOKUP('Données projet'!$B$12,Paramètres!$A$1:$I$89,3,0)*VLOOKUP('Données projet'!$B$12,Paramètres!$A$1:$I$89,5,0)</f>
        <v>119.63774044444453</v>
      </c>
      <c r="CA47" s="13">
        <f t="shared" si="39"/>
        <v>31.5904933403264</v>
      </c>
      <c r="CB47" s="20">
        <f t="shared" si="10"/>
        <v>263.3891738418094</v>
      </c>
      <c r="CC47" s="59">
        <f t="shared" si="11"/>
        <v>556.72250717514271</v>
      </c>
      <c r="CD47" s="59">
        <f ca="1">AVERAGE(OFFSET($CC$3,0,0,'Données projet'!$E$12+1,1))-AVERAGE(OFFSET($H$3,0,0,'Données projet'!$E$12+1,1))</f>
        <v>185.82627135915504</v>
      </c>
      <c r="CE47" s="59">
        <f t="shared" si="40"/>
        <v>155.46126452522037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2.2538461538461521</v>
      </c>
      <c r="CT47" s="12">
        <f>IF('Données projet'!$A$140&gt;35,CT46+CS47-DB46,IF(A47&lt;'Données projet'!$A$140,$CQ$205^A47,IF(A47='Données projet'!$A$140,'Données projet'!$B$140,CT46+CS47-DB46)))</f>
        <v>74.707692307692326</v>
      </c>
      <c r="CU47" s="17">
        <f>CT47*VLOOKUP('Données projet'!$B$13,Paramètres!$A$1:$I$89,3,0)*VLOOKUP('Données projet'!$B$13,Paramètres!$A$1:$I$89,5,0)</f>
        <v>86.063261538461546</v>
      </c>
      <c r="CV47" s="13">
        <f t="shared" si="41"/>
        <v>23.613321132497379</v>
      </c>
      <c r="CW47" s="20">
        <f t="shared" si="13"/>
        <v>191.02004815192012</v>
      </c>
      <c r="CX47" s="59">
        <f t="shared" si="14"/>
        <v>484.35338148525341</v>
      </c>
      <c r="CY47" s="59">
        <f ca="1">AVERAGE(OFFSET($CX$3,0,0,'Données projet'!$E$13+1,1))-AVERAGE(OFFSET($H$3,0,0,'Données projet'!$E$13+1,1))</f>
        <v>150.78964413039063</v>
      </c>
      <c r="CZ47" s="59">
        <f t="shared" si="42"/>
        <v>131.90332435966184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2.1499003623001935</v>
      </c>
      <c r="DG47" s="21">
        <f>EXP(-LN(2)/25)*DG46+(1-EXP(-LN(2)/25))/(LN(2)/25)*Calculateur!DB47*Calculateur!DD47*VLOOKUP('Données projet'!$B$13,Paramètres!$A$1:$I$89,3,0)*0.475*44/12</f>
        <v>2.8736270848241712</v>
      </c>
      <c r="DH47" s="21">
        <f>EXP(-LN(2)/2)*DH46+(1-EXP(-LN(2)/2))/(LN(2)/2)*DB47*DE47*VLOOKUP('Données projet'!$B$13,Paramètres!$A$1:$I$89,3,0)*0.475*44/12</f>
        <v>0.76844804781905907</v>
      </c>
      <c r="DI47" s="22">
        <f t="shared" si="15"/>
        <v>5.7919754949434239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2.9487179487179502</v>
      </c>
      <c r="DO47" s="12">
        <f>IF('Données projet'!$A$166&gt;35,DO46+DN47-DW46,IF(A47&lt;'Données projet'!$A$166,$DL$205^A47,IF(A47='Données projet'!$A$166,'Données projet'!$B$166,DO46+DN47-DW46)))</f>
        <v>70.769230769230788</v>
      </c>
      <c r="DP47" s="17">
        <f>DO47*VLOOKUP('Données projet'!$B$14,Paramètres!$A$1:$I$89,3,0)*VLOOKUP('Données projet'!$B$14,Paramètres!$A$1:$I$89,5,0)</f>
        <v>73.968000000000032</v>
      </c>
      <c r="DQ47" s="13">
        <f t="shared" si="43"/>
        <v>20.655667488877715</v>
      </c>
      <c r="DR47" s="20">
        <f t="shared" si="16"/>
        <v>164.80288754312872</v>
      </c>
      <c r="DS47" s="59">
        <f t="shared" si="17"/>
        <v>458.13622087646206</v>
      </c>
      <c r="DT47" s="59">
        <f ca="1">AVERAGE(OFFSET($DS$3,0,0,'Données projet'!$E$14+1,1))-AVERAGE(OFFSET($H$3,0,0,'Données projet'!$E$14+1,1))</f>
        <v>110.10595934547638</v>
      </c>
      <c r="DU47" s="59">
        <f t="shared" si="44"/>
        <v>131.10971921141493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7.3826330132105129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7.3826330132105129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3.3603333333333336</v>
      </c>
      <c r="EJ47" s="12">
        <f>IF('Données projet'!$A$192&gt;35,EJ46+EI47-ER46,IF(A47&lt;'Données projet'!$A$192,$EG$205^A47,IF(A47='Données projet'!$A$192,'Données projet'!$B$192,EJ46+EI47-ER46)))</f>
        <v>147.85466666666662</v>
      </c>
      <c r="EK47" s="17">
        <f>EJ47*VLOOKUP('Données projet'!$B$15,Paramètres!$A$1:$I$89,3,0)*VLOOKUP('Données projet'!$B$15,Paramètres!$A$1:$I$89,5,0)</f>
        <v>149.92463199999995</v>
      </c>
      <c r="EL47" s="13">
        <f t="shared" si="45"/>
        <v>38.561457471452059</v>
      </c>
      <c r="EM47" s="20">
        <f t="shared" si="19"/>
        <v>328.27993916277887</v>
      </c>
      <c r="EN47" s="59">
        <f t="shared" si="20"/>
        <v>621.61327249611213</v>
      </c>
      <c r="EO47" s="59">
        <f ca="1">AVERAGE(OFFSET($EN$3,0,0,'Données projet'!$E$15+1,1))-AVERAGE(OFFSET($H$3,0,0,'Données projet'!$E$15+1,1))</f>
        <v>420.38735944595965</v>
      </c>
      <c r="EP47" s="59">
        <f t="shared" si="46"/>
        <v>200.0823542414671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9.8128571428571423</v>
      </c>
      <c r="FE47" s="12">
        <f>IF('Données projet'!$A$218&gt;35,FE46+FD47-FM46,IF(A47&lt;'Données projet'!$A$218,$FB$205^A47,IF(A47='Données projet'!$A$218,'Données projet'!$B$218,FE46+FD47-FM46)))</f>
        <v>139.93714285714287</v>
      </c>
      <c r="FF47" s="17">
        <f>FE47*VLOOKUP('Données projet'!$B$16,Paramètres!$A$1:$I$89,3,0)*VLOOKUP('Données projet'!$B$16,Paramètres!$A$1:$I$89,5,0)</f>
        <v>150.62834057142859</v>
      </c>
      <c r="FG47" s="13">
        <f t="shared" si="47"/>
        <v>38.721343512275389</v>
      </c>
      <c r="FH47" s="20">
        <f t="shared" si="22"/>
        <v>329.78403311245108</v>
      </c>
      <c r="FI47" s="59">
        <f t="shared" si="23"/>
        <v>623.11736644578446</v>
      </c>
      <c r="FJ47" s="59">
        <f ca="1">AVERAGE(OFFSET($FI$3,0,0,'Données projet'!$E$16+1,1))-AVERAGE(OFFSET($H$3,0,0,'Données projet'!$E$16+1,1))</f>
        <v>415.8741608506952</v>
      </c>
      <c r="FK47" s="59">
        <f t="shared" si="48"/>
        <v>259.15848913719356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24.708688946480219</v>
      </c>
      <c r="FS47" s="21">
        <f>EXP(-LN(2)/2)*FS46+(1-EXP(-LN(2)/2))/(LN(2)/2)*FM47*FP47*VLOOKUP('Données projet'!$B$16,Paramètres!$A$1:$I$89,3,0)*0.475*44/12</f>
        <v>1.8171844345992594</v>
      </c>
      <c r="FT47" s="22">
        <f t="shared" si="24"/>
        <v>26.525873381079478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9.8128571428571423</v>
      </c>
      <c r="FZ47" s="12">
        <f>IF('Données projet'!$A$244&gt;35,FZ46+FY47-GH46,IF(A47&lt;'Données projet'!$A$244,$FW$205^A47,IF(A47='Données projet'!$A$244,'Données projet'!$B$244,FZ46+FY47-GH46)))</f>
        <v>139.93714285714287</v>
      </c>
      <c r="GA47" s="17">
        <f>FZ47*VLOOKUP('Données projet'!$B$17,Paramètres!$A$1:$I$89,3,0)*VLOOKUP('Données projet'!$B$17,Paramètres!$A$1:$I$89,5,0)</f>
        <v>120.0660685714286</v>
      </c>
      <c r="GB47" s="13">
        <f t="shared" si="49"/>
        <v>31.690408209773135</v>
      </c>
      <c r="GC47" s="20">
        <f t="shared" si="25"/>
        <v>264.30919706059302</v>
      </c>
      <c r="GD47" s="59">
        <f t="shared" si="26"/>
        <v>557.64253039392634</v>
      </c>
      <c r="GE47" s="59">
        <f ca="1">AVERAGE(OFFSET($GD$3,0,0,'Données projet'!$E$17+1,1))-AVERAGE(OFFSET($H$3,0,0,'Données projet'!$E$17+1,1))</f>
        <v>322.39807389980882</v>
      </c>
      <c r="GF47" s="59">
        <f t="shared" si="50"/>
        <v>202.59410055732792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24.275641482638971</v>
      </c>
      <c r="GN47" s="21">
        <f>EXP(-LN(2)/2)*GN46+(1-EXP(-LN(2)/2))/(LN(2)/2)*GH47*GK47*VLOOKUP('Données projet'!$B$17,Paramètres!$A$1:$I$89,3,0)*0.475*44/12</f>
        <v>1.4484803464196996</v>
      </c>
      <c r="GO47" s="21">
        <f t="shared" si="27"/>
        <v>25.724121829058671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16.496999999999996</v>
      </c>
      <c r="D48" s="11">
        <f t="shared" si="32"/>
        <v>5.4859405918868527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169.69287474438971</v>
      </c>
      <c r="H48" s="67">
        <f t="shared" si="1"/>
        <v>331.62028819753624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6.4429411764705877</v>
      </c>
      <c r="N48" s="13">
        <f>IF('Données projet'!$A$36&gt;35,N47+M48-V47,IF(A48&lt;'Données projet'!$A$36,$K$205^A48,IF(A48='Données projet'!$A$36,'Données projet'!$B$36,N47+M48-V47)))</f>
        <v>289.9323529411763</v>
      </c>
      <c r="O48" s="13">
        <f>N48*VLOOKUP('Données projet'!$B$9,Paramètres!$A$1:$I$89,3,0)*VLOOKUP('Données projet'!$B$9,Paramètres!$A$1:$I$89,5,0)</f>
        <v>135.68834117647052</v>
      </c>
      <c r="P48" s="13">
        <f t="shared" si="33"/>
        <v>35.307473933015544</v>
      </c>
      <c r="Q48" s="20">
        <f t="shared" si="53"/>
        <v>297.8177113156882</v>
      </c>
      <c r="R48" s="59">
        <f t="shared" si="0"/>
        <v>591.15104464902151</v>
      </c>
      <c r="S48" s="59">
        <f ca="1">AVERAGE(OFFSET($R$3,0,0,'Données projet'!$E$9+1,1))-AVERAGE(OFFSET($H$3,0,0,'Données projet'!$E$9+1,1))</f>
        <v>215.77907571824977</v>
      </c>
      <c r="T48" s="59">
        <f t="shared" si="34"/>
        <v>174.69390149594869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12.984999999999996</v>
      </c>
      <c r="AI48" s="13">
        <f>IF('Données projet'!$A$62&gt;35,AI47+AH48-AQ47,IF(A48&lt;'Données projet'!$A$62,$AF$205^A48,IF(A48='Données projet'!$A$62,'Données projet'!$B$62,AI47+AH48-AQ47)))</f>
        <v>272.97499999999985</v>
      </c>
      <c r="AJ48" s="13">
        <f>AI48*VLOOKUP('Données projet'!$B$10,Paramètres!$A$1:$I$89,3,0)*VLOOKUP('Données projet'!$B$10,Paramètres!$A$1:$I$89,5,0)</f>
        <v>163.23904999999993</v>
      </c>
      <c r="AK48" s="13">
        <f t="shared" si="35"/>
        <v>41.572237822674161</v>
      </c>
      <c r="AL48" s="20">
        <f t="shared" si="4"/>
        <v>356.71299295782404</v>
      </c>
      <c r="AM48" s="59">
        <f t="shared" si="5"/>
        <v>650.04632629115736</v>
      </c>
      <c r="AN48" s="59">
        <f ca="1">AVERAGE(OFFSET($AM$3,0,0,'Données projet'!$E$10+1,1))-AVERAGE(OFFSET($H$3,0,0,'Données projet'!$E$10+1,1))</f>
        <v>171.701352621833</v>
      </c>
      <c r="AO48" s="59">
        <f t="shared" si="36"/>
        <v>195.58435749168586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12.651912544939165</v>
      </c>
      <c r="AV48" s="21">
        <f>EXP(-LN(2)/25)*AV47+(1-EXP(-LN(2)/25))/(LN(2)/25)*Calculateur!AQ48*Calculateur!AS48*VLOOKUP('Données projet'!$B$10,Paramètres!$A$1:$I$89,3,0)*0.475*44/12</f>
        <v>11.397982620448701</v>
      </c>
      <c r="AW48" s="21">
        <f>EXP(-LN(2)/2)*AW47+(1-EXP(-LN(2)/2))/(LN(2)/2)*AQ48*AT48*VLOOKUP('Données projet'!$B$10,Paramètres!$A$1:$I$89,3,0)*0.475*44/12</f>
        <v>0.71648811219454733</v>
      </c>
      <c r="AX48" s="21">
        <f t="shared" si="6"/>
        <v>24.766383277582413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450</v>
      </c>
      <c r="BB48" s="12">
        <f>VLOOKUP(A48,'Données projet'!$A$87:$I$107,9,0)</f>
        <v>22.4</v>
      </c>
      <c r="BC48" s="12">
        <f t="array" ref="BC48">INDEX(BB:BB,MIN(IF(ISNUMBER(BB48:BB244),ROW(BB48:BB244),"")))</f>
        <v>22.4</v>
      </c>
      <c r="BD48" s="12">
        <f>IF('Données projet'!$A$88&gt;35,BD47+BC48-BL47,IF(A48&lt;'Données projet'!$A$88,$BA$205^A48,IF(A48='Données projet'!$A$88,'Données projet'!$B$88,BD47+BC48-BL47)))</f>
        <v>449.99999999999966</v>
      </c>
      <c r="BE48" s="13">
        <f>BD48*VLOOKUP('Données projet'!$B$11,Paramètres!$A$1:$I$89,3,0)*VLOOKUP('Données projet'!$B$11,Paramètres!$A$1:$I$89,5,0)</f>
        <v>233.99999999999986</v>
      </c>
      <c r="BF48" s="13">
        <f t="shared" si="37"/>
        <v>57.14670524255709</v>
      </c>
      <c r="BG48" s="20">
        <f t="shared" si="7"/>
        <v>507.08051163078659</v>
      </c>
      <c r="BH48" s="59">
        <f t="shared" si="8"/>
        <v>800.4138449641199</v>
      </c>
      <c r="BI48" s="59">
        <f ca="1">AVERAGE(OFFSET($BH$3,0,0,'Données projet'!$E$11+1,1))-AVERAGE(OFFSET($H$3,0,0,'Données projet'!$E$11+1,1))</f>
        <v>348.29124901999882</v>
      </c>
      <c r="BJ48" s="59">
        <f t="shared" si="38"/>
        <v>284.30034973939053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56</v>
      </c>
      <c r="BM48" s="16">
        <f>IF(ISNA(VLOOKUP(A48,'Données projet'!$A$87:$I$107,5,0)),0%,VLOOKUP(A48,'Données projet'!$A$87:$I$107,5,0)*VLOOKUP('Données projet'!$B$11,Paramètres!$A$1:$I$89,7,0))</f>
        <v>0.13750000000000001</v>
      </c>
      <c r="BN48" s="16">
        <f>IF(ISNA(VLOOKUP(A48,'Données projet'!$A$87:$I$107,6,0)),0%,VLOOKUP(A48,'Données projet'!$A$87:$I$107,6,0)*VLOOKUP('Données projet'!$B$11,Paramètres!$A$1:$I$89,7,0))</f>
        <v>0.20350000000000001</v>
      </c>
      <c r="BO48" s="16">
        <f>IF(ISNA(VLOOKUP(A48,'Données projet'!$A$87:$I$107,7,0)),0%,VLOOKUP(A48,'Données projet'!$A$87:$I$107,7,0))</f>
        <v>0.38</v>
      </c>
      <c r="BP48" s="21">
        <f>EXP(-LN(2)/35)*BP47+(1-EXP(-LN(2)/35))/(LN(2)/35)*BL48*BM48*VLOOKUP('Données projet'!$B$11,Paramètres!$A$1:$I$89,3,0)*0.475*44/12</f>
        <v>21.106927284416656</v>
      </c>
      <c r="BQ48" s="21">
        <f>EXP(-LN(2)/25)*BQ47+(1-EXP(-LN(2)/25))/(LN(2)/25)*Calculateur!BL48*Calculateur!BN48*VLOOKUP('Données projet'!$B$11,Paramètres!$A$1:$I$89,3,0)*0.475*44/12</f>
        <v>29.119785105184324</v>
      </c>
      <c r="BR48" s="21">
        <f>EXP(-LN(2)/2)*BR47+(1-EXP(-LN(2)/2))/(LN(2)/2)*BL48*BO48*VLOOKUP('Données projet'!$B$11,Paramètres!$A$1:$I$89,3,0)*0.475*44/12</f>
        <v>15.213549801037692</v>
      </c>
      <c r="BS48" s="22">
        <f t="shared" si="9"/>
        <v>65.440262190638663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204.61</v>
      </c>
      <c r="BW48" s="12">
        <f>VLOOKUP(A48,'Données projet'!$A$113:$I$133,9,0)</f>
        <v>4.5468888888888888</v>
      </c>
      <c r="BX48" s="12">
        <f t="array" ref="BX48">INDEX(BW:BW,MIN(IF(ISNUMBER(BW48:BW244),ROW(BW48:BW244),"")))</f>
        <v>4.5468888888888888</v>
      </c>
      <c r="BY48" s="12">
        <f>IF('Données projet'!$A$114&gt;35,BY47+BX48-CG47,IF(A48&lt;'Données projet'!$A$114,$BV$205^A48,IF(A48='Données projet'!$A$114,'Données projet'!$B$114,BY47+BX48-CG47)))</f>
        <v>204.61000000000016</v>
      </c>
      <c r="BZ48" s="13">
        <f>BY48*VLOOKUP('Données projet'!$B$12,Paramètres!$A$1:$I$89,3,0)*VLOOKUP('Données projet'!$B$12,Paramètres!$A$1:$I$89,5,0)</f>
        <v>122.35678000000011</v>
      </c>
      <c r="CA48" s="13">
        <f t="shared" si="39"/>
        <v>32.22405576575887</v>
      </c>
      <c r="CB48" s="20">
        <f t="shared" si="10"/>
        <v>269.22828895869691</v>
      </c>
      <c r="CC48" s="59">
        <f t="shared" si="11"/>
        <v>562.56162229203028</v>
      </c>
      <c r="CD48" s="59">
        <f ca="1">AVERAGE(OFFSET($CC$3,0,0,'Données projet'!$E$12+1,1))-AVERAGE(OFFSET($H$3,0,0,'Données projet'!$E$12+1,1))</f>
        <v>185.82627135915504</v>
      </c>
      <c r="CE48" s="59">
        <f t="shared" si="40"/>
        <v>155.46126452522037</v>
      </c>
      <c r="CF48" s="15">
        <f>IF(ISNA(VLOOKUP(A48,'Données projet'!$A$113:$I$133,3,0)),0,VLOOKUP(A48,'Données projet'!$A$113:$I$133,3,0))</f>
        <v>1</v>
      </c>
      <c r="CG48" s="15">
        <f>IF(ISNA(VLOOKUP(A48,'Données projet'!$A$113:$I$133,4,0)),0,VLOOKUP(A48,'Données projet'!$A$113:$I$133,4,0))</f>
        <v>74.240000000000009</v>
      </c>
      <c r="CH48" s="16">
        <f>IF(ISNA(VLOOKUP(A48,'Données projet'!$A$113:$I$133,5,0)),0%,VLOOKUP(A48,'Données projet'!$A$113:$I$133,5,0)*VLOOKUP('Données projet'!$B$12,Paramètres!$A$1:$I$89,7,0))</f>
        <v>0.1125</v>
      </c>
      <c r="CI48" s="16">
        <f>IF(ISNA(VLOOKUP(A48,'Données projet'!$A$113:$I$133,6,0)),0%,VLOOKUP(A48,'Données projet'!$A$113:$I$133,6,0)*VLOOKUP('Données projet'!$B$12,Paramètres!$A$1:$I$89,7,0))</f>
        <v>0.16650000000000001</v>
      </c>
      <c r="CJ48" s="16">
        <f>IF(ISNA(VLOOKUP(A48,'Données projet'!$A$113:$I$133,7,0)),0%,VLOOKUP(A48,'Données projet'!$A$113:$I$133,7,0))</f>
        <v>0.38</v>
      </c>
      <c r="CK48" s="21">
        <f>EXP(-LN(2)/35)*CK47+(1-EXP(-LN(2)/35))/(LN(2)/35)*CG48*CH48*VLOOKUP('Données projet'!$B$12,Paramètres!$A$1:$I$89,3,0)*0.475*44/12</f>
        <v>6.6255208664349636</v>
      </c>
      <c r="CL48" s="21">
        <f>EXP(-LN(2)/25)*CL47+(1-EXP(-LN(2)/25))/(LN(2)/25)*Calculateur!CG48*Calculateur!CI48*VLOOKUP('Données projet'!$B$12,Paramètres!$A$1:$I$89,3,0)*0.475*44/12</f>
        <v>9.7671618260684117</v>
      </c>
      <c r="CM48" s="21">
        <f>EXP(-LN(2)/2)*CM47+(1-EXP(-LN(2)/2))/(LN(2)/2)*CG48*CJ48*VLOOKUP('Données projet'!$B$12,Paramètres!$A$1:$I$89,3,0)*0.475*44/12</f>
        <v>19.101095811603226</v>
      </c>
      <c r="CN48" s="22">
        <f t="shared" si="12"/>
        <v>35.493778504106601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2.2538461538461521</v>
      </c>
      <c r="CT48" s="12">
        <f>IF('Données projet'!$A$140&gt;35,CT47+CS48-DB47,IF(A48&lt;'Données projet'!$A$140,$CQ$205^A48,IF(A48='Données projet'!$A$140,'Données projet'!$B$140,CT47+CS48-DB47)))</f>
        <v>76.961538461538481</v>
      </c>
      <c r="CU48" s="17">
        <f>CT48*VLOOKUP('Données projet'!$B$13,Paramètres!$A$1:$I$89,3,0)*VLOOKUP('Données projet'!$B$13,Paramètres!$A$1:$I$89,5,0)</f>
        <v>88.659692307692325</v>
      </c>
      <c r="CV48" s="13">
        <f t="shared" si="41"/>
        <v>24.241693316861578</v>
      </c>
      <c r="CW48" s="20">
        <f t="shared" si="13"/>
        <v>196.6365799627647</v>
      </c>
      <c r="CX48" s="59">
        <f t="shared" si="14"/>
        <v>489.96991329609801</v>
      </c>
      <c r="CY48" s="59">
        <f ca="1">AVERAGE(OFFSET($CX$3,0,0,'Données projet'!$E$13+1,1))-AVERAGE(OFFSET($H$3,0,0,'Données projet'!$E$13+1,1))</f>
        <v>150.78964413039063</v>
      </c>
      <c r="CZ48" s="59">
        <f t="shared" si="42"/>
        <v>131.90332435966184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2.1077421275052268</v>
      </c>
      <c r="DG48" s="21">
        <f>EXP(-LN(2)/25)*DG47+(1-EXP(-LN(2)/25))/(LN(2)/25)*Calculateur!DB48*Calculateur!DD48*VLOOKUP('Données projet'!$B$13,Paramètres!$A$1:$I$89,3,0)*0.475*44/12</f>
        <v>2.7950476010721736</v>
      </c>
      <c r="DH48" s="21">
        <f>EXP(-LN(2)/2)*DH47+(1-EXP(-LN(2)/2))/(LN(2)/2)*DB48*DE48*VLOOKUP('Données projet'!$B$13,Paramètres!$A$1:$I$89,3,0)*0.475*44/12</f>
        <v>0.54337482560242101</v>
      </c>
      <c r="DI48" s="22">
        <f t="shared" si="15"/>
        <v>5.4461645541798216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73.717948717948715</v>
      </c>
      <c r="DM48" s="12">
        <f>VLOOKUP(A48,'Données projet'!$A$165:$I$185,9,0)</f>
        <v>2.9487179487179502</v>
      </c>
      <c r="DN48" s="12">
        <f t="array" ref="DN48">INDEX(DM:DM,MIN(IF(ISNUMBER(DM48:DM244),ROW(DM48:DM244),"")))</f>
        <v>2.9487179487179502</v>
      </c>
      <c r="DO48" s="12">
        <f>IF('Données projet'!$A$166&gt;35,DO47+DN48-DW47,IF(A48&lt;'Données projet'!$A$166,$DL$205^A48,IF(A48='Données projet'!$A$166,'Données projet'!$B$166,DO47+DN48-DW47)))</f>
        <v>73.717948717948744</v>
      </c>
      <c r="DP48" s="17">
        <f>DO48*VLOOKUP('Données projet'!$B$14,Paramètres!$A$1:$I$89,3,0)*VLOOKUP('Données projet'!$B$14,Paramètres!$A$1:$I$89,5,0)</f>
        <v>77.05000000000004</v>
      </c>
      <c r="DQ48" s="13">
        <f t="shared" si="43"/>
        <v>21.414324147037931</v>
      </c>
      <c r="DR48" s="20">
        <f t="shared" si="16"/>
        <v>171.49203122275779</v>
      </c>
      <c r="DS48" s="59">
        <f t="shared" si="17"/>
        <v>464.82536455609113</v>
      </c>
      <c r="DT48" s="59">
        <f ca="1">AVERAGE(OFFSET($DS$3,0,0,'Données projet'!$E$14+1,1))-AVERAGE(OFFSET($H$3,0,0,'Données projet'!$E$14+1,1))</f>
        <v>110.10595934547638</v>
      </c>
      <c r="DU48" s="59">
        <f t="shared" si="44"/>
        <v>131.10971921141493</v>
      </c>
      <c r="DV48" s="15">
        <f>IF(ISNA(VLOOKUP(A48,'Données projet'!$A$165:$I$185,3,0)),0,VLOOKUP(A48,'Données projet'!$A$165:$I$185,3,0))</f>
        <v>4</v>
      </c>
      <c r="DW48" s="15">
        <f>IF(ISNA(VLOOKUP(A48,'Données projet'!$A$165:$I$185,4,0)),0,VLOOKUP(A48,'Données projet'!$A$165:$I$185,4,0))</f>
        <v>7.6923076923076916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0.215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9.08414661849495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9.08414661849495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3.3603333333333336</v>
      </c>
      <c r="EJ48" s="12">
        <f>IF('Données projet'!$A$192&gt;35,EJ47+EI48-ER47,IF(A48&lt;'Données projet'!$A$192,$EG$205^A48,IF(A48='Données projet'!$A$192,'Données projet'!$B$192,EJ47+EI48-ER47)))</f>
        <v>151.21499999999995</v>
      </c>
      <c r="EK48" s="17">
        <f>EJ48*VLOOKUP('Données projet'!$B$15,Paramètres!$A$1:$I$89,3,0)*VLOOKUP('Données projet'!$B$15,Paramètres!$A$1:$I$89,5,0)</f>
        <v>153.33200999999997</v>
      </c>
      <c r="EL48" s="13">
        <f t="shared" si="45"/>
        <v>39.334825910514574</v>
      </c>
      <c r="EM48" s="20">
        <f t="shared" si="19"/>
        <v>335.5614058774795</v>
      </c>
      <c r="EN48" s="59">
        <f t="shared" si="20"/>
        <v>628.89473921081276</v>
      </c>
      <c r="EO48" s="59">
        <f ca="1">AVERAGE(OFFSET($EN$3,0,0,'Données projet'!$E$15+1,1))-AVERAGE(OFFSET($H$3,0,0,'Données projet'!$E$15+1,1))</f>
        <v>420.38735944595965</v>
      </c>
      <c r="EP48" s="59">
        <f t="shared" si="46"/>
        <v>200.0823542414671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149.75</v>
      </c>
      <c r="FC48" s="12">
        <f>VLOOKUP(A48,'Données projet'!$A$217:$I$237,9,0)</f>
        <v>9.8128571428571423</v>
      </c>
      <c r="FD48" s="12">
        <f t="array" ref="FD48">INDEX(FC:FC,MIN(IF(ISNUMBER(FC48:FC244),ROW(FC48:FC244),"")))</f>
        <v>9.8128571428571423</v>
      </c>
      <c r="FE48" s="12">
        <f>IF('Données projet'!$A$218&gt;35,FE47+FD48-FM47,IF(A48&lt;'Données projet'!$A$218,$FB$205^A48,IF(A48='Données projet'!$A$218,'Données projet'!$B$218,FE47+FD48-FM47)))</f>
        <v>149.75000000000003</v>
      </c>
      <c r="FF48" s="17">
        <f>FE48*VLOOKUP('Données projet'!$B$16,Paramètres!$A$1:$I$89,3,0)*VLOOKUP('Données projet'!$B$16,Paramètres!$A$1:$I$89,5,0)</f>
        <v>161.19090000000003</v>
      </c>
      <c r="FG48" s="13">
        <f t="shared" si="47"/>
        <v>41.111010187440861</v>
      </c>
      <c r="FH48" s="20">
        <f t="shared" si="22"/>
        <v>352.3424935764595</v>
      </c>
      <c r="FI48" s="59">
        <f t="shared" si="23"/>
        <v>645.67582690979282</v>
      </c>
      <c r="FJ48" s="59">
        <f ca="1">AVERAGE(OFFSET($FI$3,0,0,'Données projet'!$E$16+1,1))-AVERAGE(OFFSET($H$3,0,0,'Données projet'!$E$16+1,1))</f>
        <v>415.8741608506952</v>
      </c>
      <c r="FK48" s="59">
        <f t="shared" si="48"/>
        <v>259.15848913719356</v>
      </c>
      <c r="FL48" s="15">
        <f>IF(ISNA(VLOOKUP(A48,'Données projet'!$A$217:$I$237,3,0)),0,VLOOKUP(A48,'Données projet'!$A$217:$I$237,3,0))</f>
        <v>2</v>
      </c>
      <c r="FM48" s="15">
        <f>IF(ISNA(VLOOKUP(A48,'Données projet'!$A$217:$I$237,4,0)),0,VLOOKUP(A48,'Données projet'!$A$217:$I$237,4,0))</f>
        <v>41.69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0.34400000000000003</v>
      </c>
      <c r="FP48" s="16">
        <f>IF(ISNA(VLOOKUP(A48,'Données projet'!$A$217:$I$237,7,0)),0%,VLOOKUP(A48,'Données projet'!$A$217:$I$237,7,0))</f>
        <v>0.2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41.031026752604731</v>
      </c>
      <c r="FS48" s="21">
        <f>EXP(-LN(2)/2)*FS47+(1-EXP(-LN(2)/2))/(LN(2)/2)*FM48*FP48*VLOOKUP('Données projet'!$B$16,Paramètres!$A$1:$I$89,3,0)*0.475*44/12</f>
        <v>9.7531193847795556</v>
      </c>
      <c r="FT48" s="22">
        <f t="shared" si="24"/>
        <v>50.784146137384283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149.75</v>
      </c>
      <c r="FX48" s="12">
        <f>VLOOKUP(A48,'Données projet'!$A$243:$I$263,9,0)</f>
        <v>9.8128571428571423</v>
      </c>
      <c r="FY48" s="12">
        <f t="array" ref="FY48">INDEX(FX:FX,MIN(IF(ISNUMBER(FX48:FX244),ROW(FX48:FX244),"")))</f>
        <v>9.8128571428571423</v>
      </c>
      <c r="FZ48" s="12">
        <f>IF('Données projet'!$A$244&gt;35,FZ47+FY48-GH47,IF(A48&lt;'Données projet'!$A$244,$FW$205^A48,IF(A48='Données projet'!$A$244,'Données projet'!$B$244,FZ47+FY48-GH47)))</f>
        <v>149.75000000000003</v>
      </c>
      <c r="GA48" s="17">
        <f>FZ48*VLOOKUP('Données projet'!$B$17,Paramètres!$A$1:$I$89,3,0)*VLOOKUP('Données projet'!$B$17,Paramètres!$A$1:$I$89,5,0)</f>
        <v>128.48550000000003</v>
      </c>
      <c r="GB48" s="13">
        <f t="shared" si="49"/>
        <v>33.64616453308556</v>
      </c>
      <c r="GC48" s="20">
        <f t="shared" si="25"/>
        <v>282.37931572845736</v>
      </c>
      <c r="GD48" s="59">
        <f t="shared" si="26"/>
        <v>575.71264906179067</v>
      </c>
      <c r="GE48" s="59">
        <f ca="1">AVERAGE(OFFSET($GD$3,0,0,'Données projet'!$E$17+1,1))-AVERAGE(OFFSET($H$3,0,0,'Données projet'!$E$17+1,1))</f>
        <v>322.39807389980882</v>
      </c>
      <c r="GF48" s="59">
        <f t="shared" si="50"/>
        <v>202.59410055732792</v>
      </c>
      <c r="GG48" s="15">
        <f>IF(ISNA(VLOOKUP(A48,'Données projet'!$A$243:$I$263,3,0)),0,VLOOKUP(A48,'Données projet'!$A$243:$I$263,3,0))</f>
        <v>2</v>
      </c>
      <c r="GH48" s="15">
        <f>IF(ISNA(VLOOKUP(A48,'Données projet'!$A$243:$I$263,4,0)),0,VLOOKUP(A48,'Données projet'!$A$243:$I$263,4,0))</f>
        <v>41.69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0.42400000000000004</v>
      </c>
      <c r="GK48" s="16">
        <f>IF(ISNA(VLOOKUP(A48,'Données projet'!$A$243:$I$263,7,0)),0%,VLOOKUP(A48,'Données projet'!$A$243:$I$263,7,0))</f>
        <v>0.2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40.311912026910271</v>
      </c>
      <c r="GN48" s="21">
        <f>EXP(-LN(2)/2)*GN47+(1-EXP(-LN(2)/2))/(LN(2)/2)*GH48*GK48*VLOOKUP('Données projet'!$B$17,Paramètres!$A$1:$I$89,3,0)*0.475*44/12</f>
        <v>7.7742255965634151</v>
      </c>
      <c r="GO48" s="21">
        <f t="shared" si="27"/>
        <v>48.086137623473689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16.863599999999995</v>
      </c>
      <c r="D49" s="11">
        <f t="shared" si="32"/>
        <v>5.5935219046849918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173.35322172037536</v>
      </c>
      <c r="H49" s="67">
        <f t="shared" si="1"/>
        <v>332.44615398399299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6.4429411764705877</v>
      </c>
      <c r="N49" s="13">
        <f>IF('Données projet'!$A$36&gt;35,N48+M49-V48,IF(A49&lt;'Données projet'!$A$36,$K$205^A49,IF(A49='Données projet'!$A$36,'Données projet'!$B$36,N48+M49-V48)))</f>
        <v>296.37529411764689</v>
      </c>
      <c r="O49" s="13">
        <f>N49*VLOOKUP('Données projet'!$B$9,Paramètres!$A$1:$I$89,3,0)*VLOOKUP('Données projet'!$B$9,Paramètres!$A$1:$I$89,5,0)</f>
        <v>138.70363764705874</v>
      </c>
      <c r="P49" s="13">
        <f t="shared" si="33"/>
        <v>35.999866483331765</v>
      </c>
      <c r="Q49" s="20">
        <f t="shared" si="53"/>
        <v>304.27526969376351</v>
      </c>
      <c r="R49" s="59">
        <f t="shared" si="0"/>
        <v>597.60860302709682</v>
      </c>
      <c r="S49" s="59">
        <f ca="1">AVERAGE(OFFSET($R$3,0,0,'Données projet'!$E$9+1,1))-AVERAGE(OFFSET($H$3,0,0,'Données projet'!$E$9+1,1))</f>
        <v>215.77907571824977</v>
      </c>
      <c r="T49" s="59">
        <f t="shared" si="34"/>
        <v>174.69390149594869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285.95999999999998</v>
      </c>
      <c r="AG49" s="12">
        <f>VLOOKUP(A49,'Données projet'!$A$61:$I$81,9,0)</f>
        <v>12.984999999999996</v>
      </c>
      <c r="AH49" s="12">
        <f t="array" ref="AH49">INDEX(AG:AG,MIN(IF(ISNUMBER(AG49:AG245),ROW(AG49:AG245),"")))</f>
        <v>12.984999999999996</v>
      </c>
      <c r="AI49" s="13">
        <f>IF('Données projet'!$A$62&gt;35,AI48+AH49-AQ48,IF(A49&lt;'Données projet'!$A$62,$AF$205^A49,IF(A49='Données projet'!$A$62,'Données projet'!$B$62,AI48+AH49-AQ48)))</f>
        <v>285.95999999999987</v>
      </c>
      <c r="AJ49" s="13">
        <f>AI49*VLOOKUP('Données projet'!$B$10,Paramètres!$A$1:$I$89,3,0)*VLOOKUP('Données projet'!$B$10,Paramètres!$A$1:$I$89,5,0)</f>
        <v>171.00407999999993</v>
      </c>
      <c r="AK49" s="13">
        <f t="shared" si="35"/>
        <v>43.31482697069935</v>
      </c>
      <c r="AL49" s="20">
        <f t="shared" si="4"/>
        <v>373.2720963073013</v>
      </c>
      <c r="AM49" s="59">
        <f t="shared" si="5"/>
        <v>666.60542964063461</v>
      </c>
      <c r="AN49" s="59">
        <f ca="1">AVERAGE(OFFSET($AM$3,0,0,'Données projet'!$E$10+1,1))-AVERAGE(OFFSET($H$3,0,0,'Données projet'!$E$10+1,1))</f>
        <v>171.701352621833</v>
      </c>
      <c r="AO49" s="59">
        <f t="shared" si="36"/>
        <v>195.58435749168586</v>
      </c>
      <c r="AP49" s="15">
        <f>IF(ISNA(VLOOKUP(A49,'Données projet'!$A$61:$I$81,3,0)),0,VLOOKUP(A49,'Données projet'!$A$61:$I$81,3,0))</f>
        <v>4</v>
      </c>
      <c r="AQ49" s="15">
        <f>IF(ISNA(VLOOKUP(A49,'Données projet'!$A$61:$I$81,4,0)),0,VLOOKUP(A49,'Données projet'!$A$61:$I$81,4,0))</f>
        <v>65.679999999999978</v>
      </c>
      <c r="AR49" s="16">
        <f>IF(ISNA(VLOOKUP(A49,'Données projet'!$A$61:$I$81,5,0)),0%,VLOOKUP(A49,'Données projet'!$A$61:$I$81,5,0)*VLOOKUP('Données projet'!$B$10,Paramètres!$A$1:$I$89,7,0))</f>
        <v>0.27</v>
      </c>
      <c r="AS49" s="16">
        <f>IF(ISNA(VLOOKUP(A49,'Données projet'!$A$61:$I$81,6,0)),0%,VLOOKUP(A49,'Données projet'!$A$61:$I$81,6,0)*VLOOKUP('Données projet'!$B$10,Paramètres!$A$1:$I$89,7,0))</f>
        <v>9.0000000000000011E-2</v>
      </c>
      <c r="AT49" s="16">
        <f>IF(ISNA(VLOOKUP(A49,'Données projet'!$A$61:$I$81,7,0)),0%,VLOOKUP(A49,'Données projet'!$A$61:$I$81,7,0))</f>
        <v>0.2</v>
      </c>
      <c r="AU49" s="21">
        <f>EXP(-LN(2)/35)*AU48+(1-EXP(-LN(2)/35))/(LN(2)/35)*AQ49*AR49*VLOOKUP('Données projet'!$B$10,Paramètres!$A$1:$I$89,3,0)*0.475*44/12</f>
        <v>26.471624786173187</v>
      </c>
      <c r="AV49" s="21">
        <f>EXP(-LN(2)/25)*AV48+(1-EXP(-LN(2)/25))/(LN(2)/25)*Calculateur!AQ49*Calculateur!AS49*VLOOKUP('Données projet'!$B$10,Paramètres!$A$1:$I$89,3,0)*0.475*44/12</f>
        <v>15.757110255265452</v>
      </c>
      <c r="AW49" s="21">
        <f>EXP(-LN(2)/2)*AW48+(1-EXP(-LN(2)/2))/(LN(2)/2)*AQ49*AT49*VLOOKUP('Données projet'!$B$10,Paramètres!$A$1:$I$89,3,0)*0.475*44/12</f>
        <v>9.4006896720362878</v>
      </c>
      <c r="AX49" s="21">
        <f t="shared" si="6"/>
        <v>51.629424713474926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</v>
      </c>
      <c r="BD49" s="12">
        <f>IF('Données projet'!$A$88&gt;35,BD48+BC49-BL48,IF(A49&lt;'Données projet'!$A$88,$BA$205^A49,IF(A49='Données projet'!$A$88,'Données projet'!$B$88,BD48+BC49-BL48)))</f>
        <v>414.99999999999966</v>
      </c>
      <c r="BE49" s="13">
        <f>BD49*VLOOKUP('Données projet'!$B$11,Paramètres!$A$1:$I$89,3,0)*VLOOKUP('Données projet'!$B$11,Paramètres!$A$1:$I$89,5,0)</f>
        <v>215.79999999999987</v>
      </c>
      <c r="BF49" s="13">
        <f t="shared" si="37"/>
        <v>53.201014934155758</v>
      </c>
      <c r="BG49" s="20">
        <f t="shared" si="7"/>
        <v>468.51010101032102</v>
      </c>
      <c r="BH49" s="59">
        <f t="shared" si="8"/>
        <v>761.84343434365428</v>
      </c>
      <c r="BI49" s="59">
        <f ca="1">AVERAGE(OFFSET($BH$3,0,0,'Données projet'!$E$11+1,1))-AVERAGE(OFFSET($H$3,0,0,'Données projet'!$E$11+1,1))</f>
        <v>348.29124901999882</v>
      </c>
      <c r="BJ49" s="59">
        <f t="shared" si="38"/>
        <v>284.30034973939053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20.693033314323692</v>
      </c>
      <c r="BQ49" s="21">
        <f>EXP(-LN(2)/25)*BQ48+(1-EXP(-LN(2)/25))/(LN(2)/25)*Calculateur!BL49*Calculateur!BN49*VLOOKUP('Données projet'!$B$11,Paramètres!$A$1:$I$89,3,0)*0.475*44/12</f>
        <v>28.323503050140115</v>
      </c>
      <c r="BR49" s="21">
        <f>EXP(-LN(2)/2)*BR48+(1-EXP(-LN(2)/2))/(LN(2)/2)*BL49*BO49*VLOOKUP('Données projet'!$B$11,Paramètres!$A$1:$I$89,3,0)*0.475*44/12</f>
        <v>10.757604230233003</v>
      </c>
      <c r="BS49" s="22">
        <f t="shared" si="9"/>
        <v>59.774140594696803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7.5706666666666669</v>
      </c>
      <c r="BY49" s="12">
        <f>IF('Données projet'!$A$114&gt;35,BY48+BX49-CG48,IF(A49&lt;'Données projet'!$A$114,$BV$205^A49,IF(A49='Données projet'!$A$114,'Données projet'!$B$114,BY48+BX49-CG48)))</f>
        <v>137.9406666666668</v>
      </c>
      <c r="BZ49" s="13">
        <f>BY49*VLOOKUP('Données projet'!$B$12,Paramètres!$A$1:$I$89,3,0)*VLOOKUP('Données projet'!$B$12,Paramètres!$A$1:$I$89,5,0)</f>
        <v>82.488518666666749</v>
      </c>
      <c r="CA49" s="13">
        <f t="shared" si="39"/>
        <v>22.744550878416433</v>
      </c>
      <c r="CB49" s="20">
        <f t="shared" si="10"/>
        <v>183.28092945768654</v>
      </c>
      <c r="CC49" s="59">
        <f t="shared" si="11"/>
        <v>476.61426279101988</v>
      </c>
      <c r="CD49" s="59">
        <f ca="1">AVERAGE(OFFSET($CC$3,0,0,'Données projet'!$E$12+1,1))-AVERAGE(OFFSET($H$3,0,0,'Données projet'!$E$12+1,1))</f>
        <v>185.82627135915504</v>
      </c>
      <c r="CE49" s="59">
        <f t="shared" si="40"/>
        <v>155.46126452522037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6.4955984434128702</v>
      </c>
      <c r="CL49" s="21">
        <f>EXP(-LN(2)/25)*CL48+(1-EXP(-LN(2)/25))/(LN(2)/25)*Calculateur!CG49*Calculateur!CI49*VLOOKUP('Données projet'!$B$12,Paramètres!$A$1:$I$89,3,0)*0.475*44/12</f>
        <v>9.5000782723018542</v>
      </c>
      <c r="CM49" s="21">
        <f>EXP(-LN(2)/2)*CM48+(1-EXP(-LN(2)/2))/(LN(2)/2)*CG49*CJ49*VLOOKUP('Données projet'!$B$12,Paramètres!$A$1:$I$89,3,0)*0.475*44/12</f>
        <v>13.506514376478602</v>
      </c>
      <c r="CN49" s="22">
        <f t="shared" si="12"/>
        <v>29.502191092193328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2.2538461538461521</v>
      </c>
      <c r="CT49" s="12">
        <f>IF('Données projet'!$A$140&gt;35,CT48+CS49-DB48,IF(A49&lt;'Données projet'!$A$140,$CQ$205^A49,IF(A49='Données projet'!$A$140,'Données projet'!$B$140,CT48+CS49-DB48)))</f>
        <v>79.215384615384636</v>
      </c>
      <c r="CU49" s="17">
        <f>CT49*VLOOKUP('Données projet'!$B$13,Paramètres!$A$1:$I$89,3,0)*VLOOKUP('Données projet'!$B$13,Paramètres!$A$1:$I$89,5,0)</f>
        <v>91.256123076923089</v>
      </c>
      <c r="CV49" s="13">
        <f t="shared" si="41"/>
        <v>24.86792682002288</v>
      </c>
      <c r="CW49" s="20">
        <f t="shared" si="13"/>
        <v>202.24938690384752</v>
      </c>
      <c r="CX49" s="59">
        <f t="shared" si="14"/>
        <v>495.58272023718087</v>
      </c>
      <c r="CY49" s="59">
        <f ca="1">AVERAGE(OFFSET($CX$3,0,0,'Données projet'!$E$13+1,1))-AVERAGE(OFFSET($H$3,0,0,'Données projet'!$E$13+1,1))</f>
        <v>150.78964413039063</v>
      </c>
      <c r="CZ49" s="59">
        <f t="shared" si="42"/>
        <v>131.90332435966184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2.0664105899806051</v>
      </c>
      <c r="DG49" s="21">
        <f>EXP(-LN(2)/25)*DG48+(1-EXP(-LN(2)/25))/(LN(2)/25)*Calculateur!DB49*Calculateur!DD49*VLOOKUP('Données projet'!$B$13,Paramètres!$A$1:$I$89,3,0)*0.475*44/12</f>
        <v>2.7186168774356898</v>
      </c>
      <c r="DH49" s="21">
        <f>EXP(-LN(2)/2)*DH48+(1-EXP(-LN(2)/2))/(LN(2)/2)*DB49*DE49*VLOOKUP('Données projet'!$B$13,Paramètres!$A$1:$I$89,3,0)*0.475*44/12</f>
        <v>0.38422402390952953</v>
      </c>
      <c r="DI49" s="22">
        <f t="shared" si="15"/>
        <v>5.1692514913258245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2.6923076923076907</v>
      </c>
      <c r="DO49" s="12">
        <f>IF('Données projet'!$A$166&gt;35,DO48+DN49-DW48,IF(A49&lt;'Données projet'!$A$166,$DL$205^A49,IF(A49='Données projet'!$A$166,'Données projet'!$B$166,DO48+DN49-DW48)))</f>
        <v>68.717948717948744</v>
      </c>
      <c r="DP49" s="17">
        <f>DO49*VLOOKUP('Données projet'!$B$14,Paramètres!$A$1:$I$89,3,0)*VLOOKUP('Données projet'!$B$14,Paramètres!$A$1:$I$89,5,0)</f>
        <v>71.824000000000041</v>
      </c>
      <c r="DQ49" s="13">
        <f t="shared" si="43"/>
        <v>20.125740697059342</v>
      </c>
      <c r="DR49" s="20">
        <f t="shared" si="16"/>
        <v>160.14579838071174</v>
      </c>
      <c r="DS49" s="59">
        <f t="shared" si="17"/>
        <v>453.47913171404502</v>
      </c>
      <c r="DT49" s="59">
        <f ca="1">AVERAGE(OFFSET($DS$3,0,0,'Données projet'!$E$14+1,1))-AVERAGE(OFFSET($H$3,0,0,'Données projet'!$E$14+1,1))</f>
        <v>110.10595934547638</v>
      </c>
      <c r="DU49" s="59">
        <f t="shared" si="44"/>
        <v>131.10971921141493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8.8357401514976974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8.8357401514976974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3.3603333333333336</v>
      </c>
      <c r="EJ49" s="12">
        <f>IF('Données projet'!$A$192&gt;35,EJ48+EI49-ER48,IF(A49&lt;'Données projet'!$A$192,$EG$205^A49,IF(A49='Données projet'!$A$192,'Données projet'!$B$192,EJ48+EI49-ER48)))</f>
        <v>154.57533333333328</v>
      </c>
      <c r="EK49" s="17">
        <f>EJ49*VLOOKUP('Données projet'!$B$15,Paramètres!$A$1:$I$89,3,0)*VLOOKUP('Données projet'!$B$15,Paramètres!$A$1:$I$89,5,0)</f>
        <v>156.73938799999993</v>
      </c>
      <c r="EL49" s="13">
        <f t="shared" si="45"/>
        <v>40.106196314415328</v>
      </c>
      <c r="EM49" s="20">
        <f t="shared" si="19"/>
        <v>342.83939268093991</v>
      </c>
      <c r="EN49" s="59">
        <f t="shared" si="20"/>
        <v>636.17272601427317</v>
      </c>
      <c r="EO49" s="59">
        <f ca="1">AVERAGE(OFFSET($EN$3,0,0,'Données projet'!$E$15+1,1))-AVERAGE(OFFSET($H$3,0,0,'Données projet'!$E$15+1,1))</f>
        <v>420.38735944595965</v>
      </c>
      <c r="EP49" s="59">
        <f t="shared" si="46"/>
        <v>200.0823542414671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10.001428571428571</v>
      </c>
      <c r="FE49" s="12">
        <f>IF('Données projet'!$A$218&gt;35,FE48+FD49-FM48,IF(A49&lt;'Données projet'!$A$218,$FB$205^A49,IF(A49='Données projet'!$A$218,'Données projet'!$B$218,FE48+FD49-FM48)))</f>
        <v>118.06142857142859</v>
      </c>
      <c r="FF49" s="17">
        <f>FE49*VLOOKUP('Données projet'!$B$16,Paramètres!$A$1:$I$89,3,0)*VLOOKUP('Données projet'!$B$16,Paramètres!$A$1:$I$89,5,0)</f>
        <v>127.08132171428572</v>
      </c>
      <c r="FG49" s="13">
        <f t="shared" si="47"/>
        <v>33.321049778221109</v>
      </c>
      <c r="FH49" s="20">
        <f t="shared" si="22"/>
        <v>279.36746368278273</v>
      </c>
      <c r="FI49" s="59">
        <f t="shared" si="23"/>
        <v>572.70079701611598</v>
      </c>
      <c r="FJ49" s="59">
        <f ca="1">AVERAGE(OFFSET($FI$3,0,0,'Données projet'!$E$16+1,1))-AVERAGE(OFFSET($H$3,0,0,'Données projet'!$E$16+1,1))</f>
        <v>415.8741608506952</v>
      </c>
      <c r="FK49" s="59">
        <f t="shared" si="48"/>
        <v>259.15848913719356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39.909031168326834</v>
      </c>
      <c r="FS49" s="21">
        <f>EXP(-LN(2)/2)*FS48+(1-EXP(-LN(2)/2))/(LN(2)/2)*FM49*FP49*VLOOKUP('Données projet'!$B$16,Paramètres!$A$1:$I$89,3,0)*0.475*44/12</f>
        <v>6.8964968546995928</v>
      </c>
      <c r="FT49" s="22">
        <f t="shared" si="24"/>
        <v>46.805528023026426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10.001428571428571</v>
      </c>
      <c r="FZ49" s="12">
        <f>IF('Données projet'!$A$244&gt;35,FZ48+FY49-GH48,IF(A49&lt;'Données projet'!$A$244,$FW$205^A49,IF(A49='Données projet'!$A$244,'Données projet'!$B$244,FZ48+FY49-GH48)))</f>
        <v>118.06142857142859</v>
      </c>
      <c r="GA49" s="17">
        <f>FZ49*VLOOKUP('Données projet'!$B$17,Paramètres!$A$1:$I$89,3,0)*VLOOKUP('Données projet'!$B$17,Paramètres!$A$1:$I$89,5,0)</f>
        <v>101.29670571428575</v>
      </c>
      <c r="GB49" s="13">
        <f t="shared" si="49"/>
        <v>27.270687782701525</v>
      </c>
      <c r="GC49" s="20">
        <f t="shared" si="25"/>
        <v>223.9215436739195</v>
      </c>
      <c r="GD49" s="59">
        <f t="shared" si="26"/>
        <v>517.25487700725284</v>
      </c>
      <c r="GE49" s="59">
        <f ca="1">AVERAGE(OFFSET($GD$3,0,0,'Données projet'!$E$17+1,1))-AVERAGE(OFFSET($H$3,0,0,'Données projet'!$E$17+1,1))</f>
        <v>322.39807389980882</v>
      </c>
      <c r="GF49" s="59">
        <f t="shared" si="50"/>
        <v>202.59410055732792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39.20958067262309</v>
      </c>
      <c r="GN49" s="21">
        <f>EXP(-LN(2)/2)*GN48+(1-EXP(-LN(2)/2))/(LN(2)/2)*GH49*GK49*VLOOKUP('Données projet'!$B$17,Paramètres!$A$1:$I$89,3,0)*0.475*44/12</f>
        <v>5.4972076378040242</v>
      </c>
      <c r="GO49" s="21">
        <f t="shared" si="27"/>
        <v>44.706788310427115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17.230199999999993</v>
      </c>
      <c r="D50" s="11">
        <f t="shared" si="32"/>
        <v>5.7008313114868434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177.01146977288087</v>
      </c>
      <c r="H50" s="67">
        <f t="shared" si="1"/>
        <v>333.27154620083957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6.4429411764705877</v>
      </c>
      <c r="N50" s="13">
        <f>IF('Données projet'!$A$36&gt;35,N49+M50-V49,IF(A50&lt;'Données projet'!$A$36,$K$205^A50,IF(A50='Données projet'!$A$36,'Données projet'!$B$36,N49+M50-V49)))</f>
        <v>302.81823529411747</v>
      </c>
      <c r="O50" s="13">
        <f>N50*VLOOKUP('Données projet'!$B$9,Paramètres!$A$1:$I$89,3,0)*VLOOKUP('Données projet'!$B$9,Paramètres!$A$1:$I$89,5,0)</f>
        <v>141.71893411764697</v>
      </c>
      <c r="P50" s="13">
        <f t="shared" si="33"/>
        <v>36.690509048624413</v>
      </c>
      <c r="Q50" s="20">
        <f t="shared" si="53"/>
        <v>310.72978018125599</v>
      </c>
      <c r="R50" s="59">
        <f t="shared" si="0"/>
        <v>604.0631135145893</v>
      </c>
      <c r="S50" s="59">
        <f ca="1">AVERAGE(OFFSET($R$3,0,0,'Données projet'!$E$9+1,1))-AVERAGE(OFFSET($H$3,0,0,'Données projet'!$E$9+1,1))</f>
        <v>215.77907571824977</v>
      </c>
      <c r="T50" s="59">
        <f t="shared" si="34"/>
        <v>174.69390149594869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12.103750000000002</v>
      </c>
      <c r="AI50" s="13">
        <f>IF('Données projet'!$A$62&gt;35,AI49+AH50-AQ49,IF(A50&lt;'Données projet'!$A$62,$AF$205^A50,IF(A50='Données projet'!$A$62,'Données projet'!$B$62,AI49+AH50-AQ49)))</f>
        <v>232.38374999999988</v>
      </c>
      <c r="AJ50" s="13">
        <f>AI50*VLOOKUP('Données projet'!$B$10,Paramètres!$A$1:$I$89,3,0)*VLOOKUP('Données projet'!$B$10,Paramètres!$A$1:$I$89,5,0)</f>
        <v>138.96548249999995</v>
      </c>
      <c r="AK50" s="13">
        <f t="shared" si="35"/>
        <v>36.059909859285625</v>
      </c>
      <c r="AL50" s="20">
        <f t="shared" si="4"/>
        <v>304.83589169242236</v>
      </c>
      <c r="AM50" s="59">
        <f t="shared" si="5"/>
        <v>598.16922502575562</v>
      </c>
      <c r="AN50" s="59">
        <f ca="1">AVERAGE(OFFSET($AM$3,0,0,'Données projet'!$E$10+1,1))-AVERAGE(OFFSET($H$3,0,0,'Données projet'!$E$10+1,1))</f>
        <v>171.701352621833</v>
      </c>
      <c r="AO50" s="59">
        <f t="shared" si="36"/>
        <v>195.58435749168586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25.952532370213156</v>
      </c>
      <c r="AV50" s="21">
        <f>EXP(-LN(2)/25)*AV49+(1-EXP(-LN(2)/25))/(LN(2)/25)*Calculateur!AQ50*Calculateur!AS50*VLOOKUP('Données projet'!$B$10,Paramètres!$A$1:$I$89,3,0)*0.475*44/12</f>
        <v>15.326231246704804</v>
      </c>
      <c r="AW50" s="21">
        <f>EXP(-LN(2)/2)*AW49+(1-EXP(-LN(2)/2))/(LN(2)/2)*AQ50*AT50*VLOOKUP('Données projet'!$B$10,Paramètres!$A$1:$I$89,3,0)*0.475*44/12</f>
        <v>6.6472914149272011</v>
      </c>
      <c r="AX50" s="21">
        <f t="shared" si="6"/>
        <v>47.926055031845159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</v>
      </c>
      <c r="BD50" s="12">
        <f>IF('Données projet'!$A$88&gt;35,BD49+BC50-BL49,IF(A50&lt;'Données projet'!$A$88,$BA$205^A50,IF(A50='Données projet'!$A$88,'Données projet'!$B$88,BD49+BC50-BL49)))</f>
        <v>435.99999999999966</v>
      </c>
      <c r="BE50" s="13">
        <f>BD50*VLOOKUP('Données projet'!$B$11,Paramètres!$A$1:$I$89,3,0)*VLOOKUP('Données projet'!$B$11,Paramètres!$A$1:$I$89,5,0)</f>
        <v>226.71999999999983</v>
      </c>
      <c r="BF50" s="13">
        <f t="shared" si="37"/>
        <v>55.572877062900702</v>
      </c>
      <c r="BG50" s="20">
        <f t="shared" si="7"/>
        <v>491.66009421788505</v>
      </c>
      <c r="BH50" s="59">
        <f t="shared" si="8"/>
        <v>784.99342755121836</v>
      </c>
      <c r="BI50" s="59">
        <f ca="1">AVERAGE(OFFSET($BH$3,0,0,'Données projet'!$E$11+1,1))-AVERAGE(OFFSET($H$3,0,0,'Données projet'!$E$11+1,1))</f>
        <v>348.29124901999882</v>
      </c>
      <c r="BJ50" s="59">
        <f t="shared" si="38"/>
        <v>284.30034973939053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20.287255552533857</v>
      </c>
      <c r="BQ50" s="21">
        <f>EXP(-LN(2)/25)*BQ49+(1-EXP(-LN(2)/25))/(LN(2)/25)*Calculateur!BL50*Calculateur!BN50*VLOOKUP('Données projet'!$B$11,Paramètres!$A$1:$I$89,3,0)*0.475*44/12</f>
        <v>27.548995369765741</v>
      </c>
      <c r="BR50" s="21">
        <f>EXP(-LN(2)/2)*BR49+(1-EXP(-LN(2)/2))/(LN(2)/2)*BL50*BO50*VLOOKUP('Données projet'!$B$11,Paramètres!$A$1:$I$89,3,0)*0.475*44/12</f>
        <v>7.6067749005188467</v>
      </c>
      <c r="BS50" s="22">
        <f t="shared" si="9"/>
        <v>55.443025822818441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7.5706666666666669</v>
      </c>
      <c r="BY50" s="12">
        <f>IF('Données projet'!$A$114&gt;35,BY49+BX50-CG49,IF(A50&lt;'Données projet'!$A$114,$BV$205^A50,IF(A50='Données projet'!$A$114,'Données projet'!$B$114,BY49+BX50-CG49)))</f>
        <v>145.51133333333345</v>
      </c>
      <c r="BZ50" s="13">
        <f>BY50*VLOOKUP('Données projet'!$B$12,Paramètres!$A$1:$I$89,3,0)*VLOOKUP('Données projet'!$B$12,Paramètres!$A$1:$I$89,5,0)</f>
        <v>87.015777333333418</v>
      </c>
      <c r="CA50" s="13">
        <f t="shared" si="39"/>
        <v>23.844095982611389</v>
      </c>
      <c r="CB50" s="20">
        <f t="shared" si="10"/>
        <v>193.08094602527055</v>
      </c>
      <c r="CC50" s="59">
        <f t="shared" si="11"/>
        <v>486.41427935860384</v>
      </c>
      <c r="CD50" s="59">
        <f ca="1">AVERAGE(OFFSET($CC$3,0,0,'Données projet'!$E$12+1,1))-AVERAGE(OFFSET($H$3,0,0,'Données projet'!$E$12+1,1))</f>
        <v>185.82627135915504</v>
      </c>
      <c r="CE50" s="59">
        <f t="shared" si="40"/>
        <v>155.46126452522037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6.3682237198613869</v>
      </c>
      <c r="CL50" s="21">
        <f>EXP(-LN(2)/25)*CL49+(1-EXP(-LN(2)/25))/(LN(2)/25)*Calculateur!CG50*Calculateur!CI50*VLOOKUP('Données projet'!$B$12,Paramètres!$A$1:$I$89,3,0)*0.475*44/12</f>
        <v>9.2402981323583564</v>
      </c>
      <c r="CM50" s="21">
        <f>EXP(-LN(2)/2)*CM49+(1-EXP(-LN(2)/2))/(LN(2)/2)*CG50*CJ50*VLOOKUP('Données projet'!$B$12,Paramètres!$A$1:$I$89,3,0)*0.475*44/12</f>
        <v>9.5505479058016132</v>
      </c>
      <c r="CN50" s="22">
        <f t="shared" si="12"/>
        <v>25.159069758021356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2.2538461538461521</v>
      </c>
      <c r="CT50" s="12">
        <f>IF('Données projet'!$A$140&gt;35,CT49+CS50-DB49,IF(A50&lt;'Données projet'!$A$140,$CQ$205^A50,IF(A50='Données projet'!$A$140,'Données projet'!$B$140,CT49+CS50-DB49)))</f>
        <v>81.469230769230791</v>
      </c>
      <c r="CU50" s="17">
        <f>CT50*VLOOKUP('Données projet'!$B$13,Paramètres!$A$1:$I$89,3,0)*VLOOKUP('Données projet'!$B$13,Paramètres!$A$1:$I$89,5,0)</f>
        <v>93.852553846153867</v>
      </c>
      <c r="CV50" s="13">
        <f t="shared" si="41"/>
        <v>25.492089481132997</v>
      </c>
      <c r="CW50" s="20">
        <f t="shared" si="13"/>
        <v>207.85858712835793</v>
      </c>
      <c r="CX50" s="59">
        <f t="shared" si="14"/>
        <v>501.19192046169121</v>
      </c>
      <c r="CY50" s="59">
        <f ca="1">AVERAGE(OFFSET($CX$3,0,0,'Données projet'!$E$13+1,1))-AVERAGE(OFFSET($H$3,0,0,'Données projet'!$E$13+1,1))</f>
        <v>150.78964413039063</v>
      </c>
      <c r="CZ50" s="59">
        <f t="shared" si="42"/>
        <v>131.90332435966184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2.0258895386970925</v>
      </c>
      <c r="DG50" s="21">
        <f>EXP(-LN(2)/25)*DG49+(1-EXP(-LN(2)/25))/(LN(2)/25)*Calculateur!DB50*Calculateur!DD50*VLOOKUP('Données projet'!$B$13,Paramètres!$A$1:$I$89,3,0)*0.475*44/12</f>
        <v>2.6442761559563626</v>
      </c>
      <c r="DH50" s="21">
        <f>EXP(-LN(2)/2)*DH49+(1-EXP(-LN(2)/2))/(LN(2)/2)*DB50*DE50*VLOOKUP('Données projet'!$B$13,Paramètres!$A$1:$I$89,3,0)*0.475*44/12</f>
        <v>0.2716874128012105</v>
      </c>
      <c r="DI50" s="22">
        <f t="shared" si="15"/>
        <v>4.9418531074546657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2.6923076923076907</v>
      </c>
      <c r="DO50" s="12">
        <f>IF('Données projet'!$A$166&gt;35,DO49+DN50-DW49,IF(A50&lt;'Données projet'!$A$166,$DL$205^A50,IF(A50='Données projet'!$A$166,'Données projet'!$B$166,DO49+DN50-DW49)))</f>
        <v>71.410256410256437</v>
      </c>
      <c r="DP50" s="17">
        <f>DO50*VLOOKUP('Données projet'!$B$14,Paramètres!$A$1:$I$89,3,0)*VLOOKUP('Données projet'!$B$14,Paramètres!$A$1:$I$89,5,0)</f>
        <v>74.638000000000034</v>
      </c>
      <c r="DQ50" s="13">
        <f t="shared" si="43"/>
        <v>20.820900808049089</v>
      </c>
      <c r="DR50" s="20">
        <f t="shared" si="16"/>
        <v>166.25758557401886</v>
      </c>
      <c r="DS50" s="59">
        <f t="shared" si="17"/>
        <v>459.59091890735215</v>
      </c>
      <c r="DT50" s="59">
        <f ca="1">AVERAGE(OFFSET($DS$3,0,0,'Données projet'!$E$14+1,1))-AVERAGE(OFFSET($H$3,0,0,'Données projet'!$E$14+1,1))</f>
        <v>110.10595934547638</v>
      </c>
      <c r="DU50" s="59">
        <f t="shared" si="44"/>
        <v>131.10971921141493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8.594126372403613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8.594126372403613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3.3603333333333336</v>
      </c>
      <c r="EJ50" s="12">
        <f>IF('Données projet'!$A$192&gt;35,EJ49+EI50-ER49,IF(A50&lt;'Données projet'!$A$192,$EG$205^A50,IF(A50='Données projet'!$A$192,'Données projet'!$B$192,EJ49+EI50-ER49)))</f>
        <v>157.93566666666661</v>
      </c>
      <c r="EK50" s="17">
        <f>EJ50*VLOOKUP('Données projet'!$B$15,Paramètres!$A$1:$I$89,3,0)*VLOOKUP('Données projet'!$B$15,Paramètres!$A$1:$I$89,5,0)</f>
        <v>160.14676599999996</v>
      </c>
      <c r="EL50" s="13">
        <f t="shared" si="45"/>
        <v>40.875617121004808</v>
      </c>
      <c r="EM50" s="20">
        <f t="shared" si="19"/>
        <v>350.11398393574996</v>
      </c>
      <c r="EN50" s="59">
        <f t="shared" si="20"/>
        <v>643.44731726908321</v>
      </c>
      <c r="EO50" s="59">
        <f ca="1">AVERAGE(OFFSET($EN$3,0,0,'Données projet'!$E$15+1,1))-AVERAGE(OFFSET($H$3,0,0,'Données projet'!$E$15+1,1))</f>
        <v>420.38735944595965</v>
      </c>
      <c r="EP50" s="59">
        <f t="shared" si="46"/>
        <v>200.0823542414671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10.001428571428571</v>
      </c>
      <c r="FE50" s="12">
        <f>IF('Données projet'!$A$218&gt;35,FE49+FD50-FM49,IF(A50&lt;'Données projet'!$A$218,$FB$205^A50,IF(A50='Données projet'!$A$218,'Données projet'!$B$218,FE49+FD50-FM49)))</f>
        <v>128.06285714285715</v>
      </c>
      <c r="FF50" s="17">
        <f>FE50*VLOOKUP('Données projet'!$B$16,Paramètres!$A$1:$I$89,3,0)*VLOOKUP('Données projet'!$B$16,Paramètres!$A$1:$I$89,5,0)</f>
        <v>137.84685942857143</v>
      </c>
      <c r="FG50" s="13">
        <f t="shared" si="47"/>
        <v>35.803307170263928</v>
      </c>
      <c r="FH50" s="20">
        <f t="shared" si="22"/>
        <v>302.4407068263049</v>
      </c>
      <c r="FI50" s="59">
        <f t="shared" si="23"/>
        <v>595.77404015963816</v>
      </c>
      <c r="FJ50" s="59">
        <f ca="1">AVERAGE(OFFSET($FI$3,0,0,'Données projet'!$E$16+1,1))-AVERAGE(OFFSET($H$3,0,0,'Données projet'!$E$16+1,1))</f>
        <v>415.8741608506952</v>
      </c>
      <c r="FK50" s="59">
        <f t="shared" si="48"/>
        <v>259.15848913719356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38.817716612304203</v>
      </c>
      <c r="FS50" s="21">
        <f>EXP(-LN(2)/2)*FS49+(1-EXP(-LN(2)/2))/(LN(2)/2)*FM50*FP50*VLOOKUP('Données projet'!$B$16,Paramètres!$A$1:$I$89,3,0)*0.475*44/12</f>
        <v>4.8765596923897787</v>
      </c>
      <c r="FT50" s="22">
        <f t="shared" si="24"/>
        <v>43.694276304693979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10.001428571428571</v>
      </c>
      <c r="FZ50" s="12">
        <f>IF('Données projet'!$A$244&gt;35,FZ49+FY50-GH49,IF(A50&lt;'Données projet'!$A$244,$FW$205^A50,IF(A50='Données projet'!$A$244,'Données projet'!$B$244,FZ49+FY50-GH49)))</f>
        <v>128.06285714285715</v>
      </c>
      <c r="GA50" s="17">
        <f>FZ50*VLOOKUP('Données projet'!$B$17,Paramètres!$A$1:$I$89,3,0)*VLOOKUP('Données projet'!$B$17,Paramètres!$A$1:$I$89,5,0)</f>
        <v>109.87793142857146</v>
      </c>
      <c r="GB50" s="13">
        <f t="shared" si="49"/>
        <v>29.30222240676812</v>
      </c>
      <c r="GC50" s="20">
        <f t="shared" si="25"/>
        <v>242.40543459654972</v>
      </c>
      <c r="GD50" s="59">
        <f t="shared" si="26"/>
        <v>535.73876792988301</v>
      </c>
      <c r="GE50" s="59">
        <f ca="1">AVERAGE(OFFSET($GD$3,0,0,'Données projet'!$E$17+1,1))-AVERAGE(OFFSET($H$3,0,0,'Données projet'!$E$17+1,1))</f>
        <v>322.39807389980882</v>
      </c>
      <c r="GF50" s="59">
        <f t="shared" si="50"/>
        <v>202.59410055732792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38.137392627187978</v>
      </c>
      <c r="GN50" s="21">
        <f>EXP(-LN(2)/2)*GN49+(1-EXP(-LN(2)/2))/(LN(2)/2)*GH50*GK50*VLOOKUP('Données projet'!$B$17,Paramètres!$A$1:$I$89,3,0)*0.475*44/12</f>
        <v>3.8871127982817084</v>
      </c>
      <c r="GO50" s="21">
        <f t="shared" si="27"/>
        <v>42.024505425469684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17.596799999999991</v>
      </c>
      <c r="D51" s="11">
        <f t="shared" si="32"/>
        <v>5.8078752639195059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180.66766870393997</v>
      </c>
      <c r="H51" s="67">
        <f t="shared" si="1"/>
        <v>334.0964760846598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6.4429411764705877</v>
      </c>
      <c r="N51" s="13">
        <f>IF('Données projet'!$A$36&gt;35,N50+M51-V50,IF(A51&lt;'Données projet'!$A$36,$K$205^A51,IF(A51='Données projet'!$A$36,'Données projet'!$B$36,N50+M51-V50)))</f>
        <v>309.26117647058805</v>
      </c>
      <c r="O51" s="13">
        <f>N51*VLOOKUP('Données projet'!$B$9,Paramètres!$A$1:$I$89,3,0)*VLOOKUP('Données projet'!$B$9,Paramètres!$A$1:$I$89,5,0)</f>
        <v>144.73423058823522</v>
      </c>
      <c r="P51" s="13">
        <f t="shared" si="33"/>
        <v>37.379443151518736</v>
      </c>
      <c r="Q51" s="20">
        <f t="shared" si="53"/>
        <v>317.1813150967381</v>
      </c>
      <c r="R51" s="59">
        <f t="shared" si="0"/>
        <v>610.51464843007147</v>
      </c>
      <c r="S51" s="59">
        <f ca="1">AVERAGE(OFFSET($R$3,0,0,'Données projet'!$E$9+1,1))-AVERAGE(OFFSET($H$3,0,0,'Données projet'!$E$9+1,1))</f>
        <v>215.77907571824977</v>
      </c>
      <c r="T51" s="59">
        <f t="shared" si="34"/>
        <v>174.69390149594869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12.103750000000002</v>
      </c>
      <c r="AI51" s="13">
        <f>IF('Données projet'!$A$62&gt;35,AI50+AH51-AQ50,IF(A51&lt;'Données projet'!$A$62,$AF$205^A51,IF(A51='Données projet'!$A$62,'Données projet'!$B$62,AI50+AH51-AQ50)))</f>
        <v>244.48749999999987</v>
      </c>
      <c r="AJ51" s="13">
        <f>AI51*VLOOKUP('Données projet'!$B$10,Paramètres!$A$1:$I$89,3,0)*VLOOKUP('Données projet'!$B$10,Paramètres!$A$1:$I$89,5,0)</f>
        <v>146.20352499999993</v>
      </c>
      <c r="AK51" s="13">
        <f t="shared" si="35"/>
        <v>37.714540044048903</v>
      </c>
      <c r="AL51" s="20">
        <f t="shared" si="4"/>
        <v>320.32396328505172</v>
      </c>
      <c r="AM51" s="59">
        <f t="shared" si="5"/>
        <v>613.65729661838509</v>
      </c>
      <c r="AN51" s="59">
        <f ca="1">AVERAGE(OFFSET($AM$3,0,0,'Données projet'!$E$10+1,1))-AVERAGE(OFFSET($H$3,0,0,'Données projet'!$E$10+1,1))</f>
        <v>171.701352621833</v>
      </c>
      <c r="AO51" s="59">
        <f t="shared" si="36"/>
        <v>195.58435749168586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25.443619039914989</v>
      </c>
      <c r="AV51" s="21">
        <f>EXP(-LN(2)/25)*AV50+(1-EXP(-LN(2)/25))/(LN(2)/25)*Calculateur!AQ51*Calculateur!AS51*VLOOKUP('Données projet'!$B$10,Paramètres!$A$1:$I$89,3,0)*0.475*44/12</f>
        <v>14.907134647292189</v>
      </c>
      <c r="AW51" s="21">
        <f>EXP(-LN(2)/2)*AW50+(1-EXP(-LN(2)/2))/(LN(2)/2)*AQ51*AT51*VLOOKUP('Données projet'!$B$10,Paramètres!$A$1:$I$89,3,0)*0.475*44/12</f>
        <v>4.7003448360181448</v>
      </c>
      <c r="AX51" s="21">
        <f t="shared" si="6"/>
        <v>45.05109852322532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21</v>
      </c>
      <c r="BD51" s="12">
        <f>IF('Données projet'!$A$88&gt;35,BD50+BC51-BL50,IF(A51&lt;'Données projet'!$A$88,$BA$205^A51,IF(A51='Données projet'!$A$88,'Données projet'!$B$88,BD50+BC51-BL50)))</f>
        <v>456.99999999999966</v>
      </c>
      <c r="BE51" s="13">
        <f>BD51*VLOOKUP('Données projet'!$B$11,Paramètres!$A$1:$I$89,3,0)*VLOOKUP('Données projet'!$B$11,Paramètres!$A$1:$I$89,5,0)</f>
        <v>237.63999999999984</v>
      </c>
      <c r="BF51" s="13">
        <f t="shared" si="37"/>
        <v>57.931473322594478</v>
      </c>
      <c r="BG51" s="20">
        <f t="shared" si="7"/>
        <v>514.78698270351845</v>
      </c>
      <c r="BH51" s="59">
        <f t="shared" si="8"/>
        <v>808.12031603685182</v>
      </c>
      <c r="BI51" s="59">
        <f ca="1">AVERAGE(OFFSET($BH$3,0,0,'Données projet'!$E$11+1,1))-AVERAGE(OFFSET($H$3,0,0,'Données projet'!$E$11+1,1))</f>
        <v>348.29124901999882</v>
      </c>
      <c r="BJ51" s="59">
        <f t="shared" si="38"/>
        <v>284.30034973939053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19.889434845152724</v>
      </c>
      <c r="BQ51" s="21">
        <f>EXP(-LN(2)/25)*BQ50+(1-EXP(-LN(2)/25))/(LN(2)/25)*Calculateur!BL51*Calculateur!BN51*VLOOKUP('Données projet'!$B$11,Paramètres!$A$1:$I$89,3,0)*0.475*44/12</f>
        <v>26.795666642640796</v>
      </c>
      <c r="BR51" s="21">
        <f>EXP(-LN(2)/2)*BR50+(1-EXP(-LN(2)/2))/(LN(2)/2)*BL51*BO51*VLOOKUP('Données projet'!$B$11,Paramètres!$A$1:$I$89,3,0)*0.475*44/12</f>
        <v>5.3788021151165024</v>
      </c>
      <c r="BS51" s="22">
        <f t="shared" si="9"/>
        <v>52.063903602910017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7.5706666666666669</v>
      </c>
      <c r="BY51" s="12">
        <f>IF('Données projet'!$A$114&gt;35,BY50+BX51-CG50,IF(A51&lt;'Données projet'!$A$114,$BV$205^A51,IF(A51='Données projet'!$A$114,'Données projet'!$B$114,BY50+BX51-CG50)))</f>
        <v>153.08200000000011</v>
      </c>
      <c r="BZ51" s="13">
        <f>BY51*VLOOKUP('Données projet'!$B$12,Paramètres!$A$1:$I$89,3,0)*VLOOKUP('Données projet'!$B$12,Paramètres!$A$1:$I$89,5,0)</f>
        <v>91.543036000000058</v>
      </c>
      <c r="CA51" s="13">
        <f t="shared" si="39"/>
        <v>24.93699913324382</v>
      </c>
      <c r="CB51" s="20">
        <f t="shared" si="10"/>
        <v>202.86939452373306</v>
      </c>
      <c r="CC51" s="59">
        <f t="shared" si="11"/>
        <v>496.20272785706641</v>
      </c>
      <c r="CD51" s="59">
        <f ca="1">AVERAGE(OFFSET($CC$3,0,0,'Données projet'!$E$12+1,1))-AVERAGE(OFFSET($H$3,0,0,'Données projet'!$E$12+1,1))</f>
        <v>185.82627135915504</v>
      </c>
      <c r="CE51" s="59">
        <f t="shared" si="40"/>
        <v>155.46126452522037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6.2433467369478377</v>
      </c>
      <c r="CL51" s="21">
        <f>EXP(-LN(2)/25)*CL50+(1-EXP(-LN(2)/25))/(LN(2)/25)*Calculateur!CG51*Calculateur!CI51*VLOOKUP('Données projet'!$B$12,Paramètres!$A$1:$I$89,3,0)*0.475*44/12</f>
        <v>8.9876216940028577</v>
      </c>
      <c r="CM51" s="21">
        <f>EXP(-LN(2)/2)*CM50+(1-EXP(-LN(2)/2))/(LN(2)/2)*CG51*CJ51*VLOOKUP('Données projet'!$B$12,Paramètres!$A$1:$I$89,3,0)*0.475*44/12</f>
        <v>6.7532571882393011</v>
      </c>
      <c r="CN51" s="22">
        <f t="shared" si="12"/>
        <v>21.984225619189999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2.2538461538461521</v>
      </c>
      <c r="CT51" s="12">
        <f>IF('Données projet'!$A$140&gt;35,CT50+CS51-DB50,IF(A51&lt;'Données projet'!$A$140,$CQ$205^A51,IF(A51='Données projet'!$A$140,'Données projet'!$B$140,CT50+CS51-DB50)))</f>
        <v>83.723076923076945</v>
      </c>
      <c r="CU51" s="17">
        <f>CT51*VLOOKUP('Données projet'!$B$13,Paramètres!$A$1:$I$89,3,0)*VLOOKUP('Données projet'!$B$13,Paramètres!$A$1:$I$89,5,0)</f>
        <v>96.448984615384632</v>
      </c>
      <c r="CV51" s="13">
        <f t="shared" si="41"/>
        <v>26.114245172206271</v>
      </c>
      <c r="CW51" s="20">
        <f t="shared" si="13"/>
        <v>213.46429188005413</v>
      </c>
      <c r="CX51" s="59">
        <f t="shared" si="14"/>
        <v>506.79762521338745</v>
      </c>
      <c r="CY51" s="59">
        <f ca="1">AVERAGE(OFFSET($CX$3,0,0,'Données projet'!$E$13+1,1))-AVERAGE(OFFSET($H$3,0,0,'Données projet'!$E$13+1,1))</f>
        <v>150.78964413039063</v>
      </c>
      <c r="CZ51" s="59">
        <f t="shared" si="42"/>
        <v>131.90332435966184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1.9861630805138488</v>
      </c>
      <c r="DG51" s="21">
        <f>EXP(-LN(2)/25)*DG50+(1-EXP(-LN(2)/25))/(LN(2)/25)*Calculateur!DB51*Calculateur!DD51*VLOOKUP('Données projet'!$B$13,Paramètres!$A$1:$I$89,3,0)*0.475*44/12</f>
        <v>2.5719682854152963</v>
      </c>
      <c r="DH51" s="21">
        <f>EXP(-LN(2)/2)*DH50+(1-EXP(-LN(2)/2))/(LN(2)/2)*DB51*DE51*VLOOKUP('Données projet'!$B$13,Paramètres!$A$1:$I$89,3,0)*0.475*44/12</f>
        <v>0.19211201195476477</v>
      </c>
      <c r="DI51" s="22">
        <f t="shared" si="15"/>
        <v>4.7502433778839102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2.6923076923076907</v>
      </c>
      <c r="DO51" s="12">
        <f>IF('Données projet'!$A$166&gt;35,DO50+DN51-DW50,IF(A51&lt;'Données projet'!$A$166,$DL$205^A51,IF(A51='Données projet'!$A$166,'Données projet'!$B$166,DO50+DN51-DW50)))</f>
        <v>74.102564102564131</v>
      </c>
      <c r="DP51" s="17">
        <f>DO51*VLOOKUP('Données projet'!$B$14,Paramètres!$A$1:$I$89,3,0)*VLOOKUP('Données projet'!$B$14,Paramètres!$A$1:$I$89,5,0)</f>
        <v>77.452000000000041</v>
      </c>
      <c r="DQ51" s="13">
        <f t="shared" si="43"/>
        <v>21.513016124394831</v>
      </c>
      <c r="DR51" s="20">
        <f t="shared" si="16"/>
        <v>172.36406974998775</v>
      </c>
      <c r="DS51" s="59">
        <f t="shared" si="17"/>
        <v>465.69740308332109</v>
      </c>
      <c r="DT51" s="59">
        <f ca="1">AVERAGE(OFFSET($DS$3,0,0,'Données projet'!$E$14+1,1))-AVERAGE(OFFSET($H$3,0,0,'Données projet'!$E$14+1,1))</f>
        <v>110.10595934547638</v>
      </c>
      <c r="DU51" s="59">
        <f t="shared" si="44"/>
        <v>131.10971921141493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8.3591195348047727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8.3591195348047727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3.3603333333333336</v>
      </c>
      <c r="EJ51" s="12">
        <f>IF('Données projet'!$A$192&gt;35,EJ50+EI51-ER50,IF(A51&lt;'Données projet'!$A$192,$EG$205^A51,IF(A51='Données projet'!$A$192,'Données projet'!$B$192,EJ50+EI51-ER50)))</f>
        <v>161.29599999999994</v>
      </c>
      <c r="EK51" s="17">
        <f>EJ51*VLOOKUP('Données projet'!$B$15,Paramètres!$A$1:$I$89,3,0)*VLOOKUP('Données projet'!$B$15,Paramètres!$A$1:$I$89,5,0)</f>
        <v>163.55414399999992</v>
      </c>
      <c r="EL51" s="13">
        <f t="shared" si="45"/>
        <v>41.64313458919235</v>
      </c>
      <c r="EM51" s="20">
        <f t="shared" si="19"/>
        <v>357.38526020950985</v>
      </c>
      <c r="EN51" s="59">
        <f t="shared" si="20"/>
        <v>650.71859354284311</v>
      </c>
      <c r="EO51" s="59">
        <f ca="1">AVERAGE(OFFSET($EN$3,0,0,'Données projet'!$E$15+1,1))-AVERAGE(OFFSET($H$3,0,0,'Données projet'!$E$15+1,1))</f>
        <v>420.38735944595965</v>
      </c>
      <c r="EP51" s="59">
        <f t="shared" si="46"/>
        <v>200.0823542414671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10.001428571428571</v>
      </c>
      <c r="FE51" s="12">
        <f>IF('Données projet'!$A$218&gt;35,FE50+FD51-FM50,IF(A51&lt;'Données projet'!$A$218,$FB$205^A51,IF(A51='Données projet'!$A$218,'Données projet'!$B$218,FE50+FD51-FM50)))</f>
        <v>138.06428571428572</v>
      </c>
      <c r="FF51" s="17">
        <f>FE51*VLOOKUP('Données projet'!$B$16,Paramètres!$A$1:$I$89,3,0)*VLOOKUP('Données projet'!$B$16,Paramètres!$A$1:$I$89,5,0)</f>
        <v>148.61239714285713</v>
      </c>
      <c r="FG51" s="13">
        <f t="shared" si="47"/>
        <v>38.263077530368669</v>
      </c>
      <c r="FH51" s="20">
        <f t="shared" si="22"/>
        <v>325.47478505586827</v>
      </c>
      <c r="FI51" s="59">
        <f t="shared" si="23"/>
        <v>618.80811838920158</v>
      </c>
      <c r="FJ51" s="59">
        <f ca="1">AVERAGE(OFFSET($FI$3,0,0,'Données projet'!$E$16+1,1))-AVERAGE(OFFSET($H$3,0,0,'Données projet'!$E$16+1,1))</f>
        <v>415.8741608506952</v>
      </c>
      <c r="FK51" s="59">
        <f t="shared" si="48"/>
        <v>259.15848913719356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37.756244110205749</v>
      </c>
      <c r="FS51" s="21">
        <f>EXP(-LN(2)/2)*FS50+(1-EXP(-LN(2)/2))/(LN(2)/2)*FM51*FP51*VLOOKUP('Données projet'!$B$16,Paramètres!$A$1:$I$89,3,0)*0.475*44/12</f>
        <v>3.4482484273497969</v>
      </c>
      <c r="FT51" s="22">
        <f t="shared" si="24"/>
        <v>41.204492537555545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10.001428571428571</v>
      </c>
      <c r="FZ51" s="12">
        <f>IF('Données projet'!$A$244&gt;35,FZ50+FY51-GH50,IF(A51&lt;'Données projet'!$A$244,$FW$205^A51,IF(A51='Données projet'!$A$244,'Données projet'!$B$244,FZ50+FY51-GH50)))</f>
        <v>138.06428571428572</v>
      </c>
      <c r="GA51" s="17">
        <f>FZ51*VLOOKUP('Données projet'!$B$17,Paramètres!$A$1:$I$89,3,0)*VLOOKUP('Données projet'!$B$17,Paramètres!$A$1:$I$89,5,0)</f>
        <v>118.45915714285717</v>
      </c>
      <c r="GB51" s="13">
        <f t="shared" si="49"/>
        <v>31.315353144065707</v>
      </c>
      <c r="GC51" s="20">
        <f t="shared" si="25"/>
        <v>260.8572720830573</v>
      </c>
      <c r="GD51" s="59">
        <f t="shared" si="26"/>
        <v>554.19060541639055</v>
      </c>
      <c r="GE51" s="59">
        <f ca="1">AVERAGE(OFFSET($GD$3,0,0,'Données projet'!$E$17+1,1))-AVERAGE(OFFSET($H$3,0,0,'Données projet'!$E$17+1,1))</f>
        <v>322.39807389980882</v>
      </c>
      <c r="GF51" s="59">
        <f t="shared" si="50"/>
        <v>202.59410055732792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37.094523620239208</v>
      </c>
      <c r="GN51" s="21">
        <f>EXP(-LN(2)/2)*GN50+(1-EXP(-LN(2)/2))/(LN(2)/2)*GH51*GK51*VLOOKUP('Données projet'!$B$17,Paramètres!$A$1:$I$89,3,0)*0.475*44/12</f>
        <v>2.7486038189020126</v>
      </c>
      <c r="GO51" s="21">
        <f t="shared" si="27"/>
        <v>39.84312743914122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17.963399999999989</v>
      </c>
      <c r="D52" s="11">
        <f t="shared" si="32"/>
        <v>5.9146599294299902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184.32186612191563</v>
      </c>
      <c r="H52" s="67">
        <f t="shared" si="1"/>
        <v>334.92095437709054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6.4429411764705877</v>
      </c>
      <c r="N52" s="13">
        <f>IF('Données projet'!$A$36&gt;35,N51+M52-V51,IF(A52&lt;'Données projet'!$A$36,$K$205^A52,IF(A52='Données projet'!$A$36,'Données projet'!$B$36,N51+M52-V51)))</f>
        <v>315.70411764705864</v>
      </c>
      <c r="O52" s="13">
        <f>N52*VLOOKUP('Données projet'!$B$9,Paramètres!$A$1:$I$89,3,0)*VLOOKUP('Données projet'!$B$9,Paramètres!$A$1:$I$89,5,0)</f>
        <v>147.74952705882345</v>
      </c>
      <c r="P52" s="13">
        <f t="shared" si="33"/>
        <v>38.06670848565912</v>
      </c>
      <c r="Q52" s="20">
        <f t="shared" si="53"/>
        <v>323.62994357330712</v>
      </c>
      <c r="R52" s="59">
        <f t="shared" si="0"/>
        <v>616.96327690664043</v>
      </c>
      <c r="S52" s="59">
        <f ca="1">AVERAGE(OFFSET($R$3,0,0,'Données projet'!$E$9+1,1))-AVERAGE(OFFSET($H$3,0,0,'Données projet'!$E$9+1,1))</f>
        <v>215.77907571824977</v>
      </c>
      <c r="T52" s="59">
        <f t="shared" si="34"/>
        <v>174.69390149594869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12.103750000000002</v>
      </c>
      <c r="AI52" s="13">
        <f>IF('Données projet'!$A$62&gt;35,AI51+AH52-AQ51,IF(A52&lt;'Données projet'!$A$62,$AF$205^A52,IF(A52='Données projet'!$A$62,'Données projet'!$B$62,AI51+AH52-AQ51)))</f>
        <v>256.59124999999989</v>
      </c>
      <c r="AJ52" s="13">
        <f>AI52*VLOOKUP('Données projet'!$B$10,Paramètres!$A$1:$I$89,3,0)*VLOOKUP('Données projet'!$B$10,Paramètres!$A$1:$I$89,5,0)</f>
        <v>153.44156749999996</v>
      </c>
      <c r="AK52" s="13">
        <f t="shared" si="35"/>
        <v>39.359658623485721</v>
      </c>
      <c r="AL52" s="20">
        <f t="shared" si="4"/>
        <v>335.79546883173754</v>
      </c>
      <c r="AM52" s="59">
        <f t="shared" si="5"/>
        <v>629.12880216507085</v>
      </c>
      <c r="AN52" s="59">
        <f ca="1">AVERAGE(OFFSET($AM$3,0,0,'Données projet'!$E$10+1,1))-AVERAGE(OFFSET($H$3,0,0,'Données projet'!$E$10+1,1))</f>
        <v>171.701352621833</v>
      </c>
      <c r="AO52" s="59">
        <f t="shared" si="36"/>
        <v>195.58435749168586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24.944685189617488</v>
      </c>
      <c r="AV52" s="21">
        <f>EXP(-LN(2)/25)*AV51+(1-EXP(-LN(2)/25))/(LN(2)/25)*Calculateur!AQ52*Calculateur!AS52*VLOOKUP('Données projet'!$B$10,Paramètres!$A$1:$I$89,3,0)*0.475*44/12</f>
        <v>14.499498266429844</v>
      </c>
      <c r="AW52" s="21">
        <f>EXP(-LN(2)/2)*AW51+(1-EXP(-LN(2)/2))/(LN(2)/2)*AQ52*AT52*VLOOKUP('Données projet'!$B$10,Paramètres!$A$1:$I$89,3,0)*0.475*44/12</f>
        <v>3.323645707463601</v>
      </c>
      <c r="AX52" s="21">
        <f t="shared" si="6"/>
        <v>42.767829163510932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21</v>
      </c>
      <c r="BD52" s="12">
        <f>IF('Données projet'!$A$88&gt;35,BD51+BC52-BL51,IF(A52&lt;'Données projet'!$A$88,$BA$205^A52,IF(A52='Données projet'!$A$88,'Données projet'!$B$88,BD51+BC52-BL51)))</f>
        <v>477.99999999999966</v>
      </c>
      <c r="BE52" s="13">
        <f>BD52*VLOOKUP('Données projet'!$B$11,Paramètres!$A$1:$I$89,3,0)*VLOOKUP('Données projet'!$B$11,Paramètres!$A$1:$I$89,5,0)</f>
        <v>248.55999999999983</v>
      </c>
      <c r="BF52" s="13">
        <f t="shared" si="37"/>
        <v>60.27748293279452</v>
      </c>
      <c r="BG52" s="20">
        <f t="shared" si="7"/>
        <v>537.89194944128337</v>
      </c>
      <c r="BH52" s="59">
        <f t="shared" si="8"/>
        <v>831.22528277461674</v>
      </c>
      <c r="BI52" s="59">
        <f ca="1">AVERAGE(OFFSET($BH$3,0,0,'Données projet'!$E$11+1,1))-AVERAGE(OFFSET($H$3,0,0,'Données projet'!$E$11+1,1))</f>
        <v>348.29124901999882</v>
      </c>
      <c r="BJ52" s="59">
        <f t="shared" si="38"/>
        <v>284.30034973939053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19.499415159196662</v>
      </c>
      <c r="BQ52" s="21">
        <f>EXP(-LN(2)/25)*BQ51+(1-EXP(-LN(2)/25))/(LN(2)/25)*Calculateur!BL52*Calculateur!BN52*VLOOKUP('Données projet'!$B$11,Paramètres!$A$1:$I$89,3,0)*0.475*44/12</f>
        <v>26.062937729174916</v>
      </c>
      <c r="BR52" s="21">
        <f>EXP(-LN(2)/2)*BR51+(1-EXP(-LN(2)/2))/(LN(2)/2)*BL52*BO52*VLOOKUP('Données projet'!$B$11,Paramètres!$A$1:$I$89,3,0)*0.475*44/12</f>
        <v>3.8033874502594238</v>
      </c>
      <c r="BS52" s="22">
        <f t="shared" si="9"/>
        <v>49.365740338630999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7.5706666666666669</v>
      </c>
      <c r="BY52" s="12">
        <f>IF('Données projet'!$A$114&gt;35,BY51+BX52-CG51,IF(A52&lt;'Données projet'!$A$114,$BV$205^A52,IF(A52='Données projet'!$A$114,'Données projet'!$B$114,BY51+BX52-CG51)))</f>
        <v>160.65266666666676</v>
      </c>
      <c r="BZ52" s="13">
        <f>BY52*VLOOKUP('Données projet'!$B$12,Paramètres!$A$1:$I$89,3,0)*VLOOKUP('Données projet'!$B$12,Paramètres!$A$1:$I$89,5,0)</f>
        <v>96.070294666666726</v>
      </c>
      <c r="CA52" s="13">
        <f t="shared" si="39"/>
        <v>26.023626294751082</v>
      </c>
      <c r="CB52" s="20">
        <f t="shared" si="10"/>
        <v>212.64691234113602</v>
      </c>
      <c r="CC52" s="59">
        <f t="shared" si="11"/>
        <v>505.9802456744693</v>
      </c>
      <c r="CD52" s="59">
        <f ca="1">AVERAGE(OFFSET($CC$3,0,0,'Données projet'!$E$12+1,1))-AVERAGE(OFFSET($H$3,0,0,'Données projet'!$E$12+1,1))</f>
        <v>185.82627135915504</v>
      </c>
      <c r="CE52" s="59">
        <f t="shared" si="40"/>
        <v>155.46126452522037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6.1209185155017849</v>
      </c>
      <c r="CL52" s="21">
        <f>EXP(-LN(2)/25)*CL51+(1-EXP(-LN(2)/25))/(LN(2)/25)*Calculateur!CG52*Calculateur!CI52*VLOOKUP('Données projet'!$B$12,Paramètres!$A$1:$I$89,3,0)*0.475*44/12</f>
        <v>8.7418547061418668</v>
      </c>
      <c r="CM52" s="21">
        <f>EXP(-LN(2)/2)*CM51+(1-EXP(-LN(2)/2))/(LN(2)/2)*CG52*CJ52*VLOOKUP('Données projet'!$B$12,Paramètres!$A$1:$I$89,3,0)*0.475*44/12</f>
        <v>4.7752739529008066</v>
      </c>
      <c r="CN52" s="22">
        <f t="shared" si="12"/>
        <v>19.638047174544457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2.2538461538461521</v>
      </c>
      <c r="CT52" s="12">
        <f>IF('Données projet'!$A$140&gt;35,CT51+CS52-DB51,IF(A52&lt;'Données projet'!$A$140,$CQ$205^A52,IF(A52='Données projet'!$A$140,'Données projet'!$B$140,CT51+CS52-DB51)))</f>
        <v>85.9769230769231</v>
      </c>
      <c r="CU52" s="17">
        <f>CT52*VLOOKUP('Données projet'!$B$13,Paramètres!$A$1:$I$89,3,0)*VLOOKUP('Données projet'!$B$13,Paramètres!$A$1:$I$89,5,0)</f>
        <v>99.04541538461541</v>
      </c>
      <c r="CV52" s="13">
        <f t="shared" si="41"/>
        <v>26.734454130581266</v>
      </c>
      <c r="CW52" s="20">
        <f t="shared" si="13"/>
        <v>219.06660607230086</v>
      </c>
      <c r="CX52" s="59">
        <f t="shared" si="14"/>
        <v>512.3999394056342</v>
      </c>
      <c r="CY52" s="59">
        <f ca="1">AVERAGE(OFFSET($CX$3,0,0,'Données projet'!$E$13+1,1))-AVERAGE(OFFSET($H$3,0,0,'Données projet'!$E$13+1,1))</f>
        <v>150.78964413039063</v>
      </c>
      <c r="CZ52" s="59">
        <f t="shared" si="42"/>
        <v>131.90332435966184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1.9472156339448317</v>
      </c>
      <c r="DG52" s="21">
        <f>EXP(-LN(2)/25)*DG51+(1-EXP(-LN(2)/25))/(LN(2)/25)*Calculateur!DB52*Calculateur!DD52*VLOOKUP('Données projet'!$B$13,Paramètres!$A$1:$I$89,3,0)*0.475*44/12</f>
        <v>2.5016376773966811</v>
      </c>
      <c r="DH52" s="21">
        <f>EXP(-LN(2)/2)*DH51+(1-EXP(-LN(2)/2))/(LN(2)/2)*DB52*DE52*VLOOKUP('Données projet'!$B$13,Paramètres!$A$1:$I$89,3,0)*0.475*44/12</f>
        <v>0.13584370640060525</v>
      </c>
      <c r="DI52" s="22">
        <f t="shared" si="15"/>
        <v>4.5846970177421174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2.6923076923076907</v>
      </c>
      <c r="DO52" s="12">
        <f>IF('Données projet'!$A$166&gt;35,DO51+DN52-DW51,IF(A52&lt;'Données projet'!$A$166,$DL$205^A52,IF(A52='Données projet'!$A$166,'Données projet'!$B$166,DO51+DN52-DW51)))</f>
        <v>76.794871794871824</v>
      </c>
      <c r="DP52" s="17">
        <f>DO52*VLOOKUP('Données projet'!$B$14,Paramètres!$A$1:$I$89,3,0)*VLOOKUP('Données projet'!$B$14,Paramètres!$A$1:$I$89,5,0)</f>
        <v>80.266000000000034</v>
      </c>
      <c r="DQ52" s="13">
        <f t="shared" si="43"/>
        <v>22.20220994115893</v>
      </c>
      <c r="DR52" s="20">
        <f t="shared" si="16"/>
        <v>178.46546564751853</v>
      </c>
      <c r="DS52" s="59">
        <f t="shared" si="17"/>
        <v>471.79879898085187</v>
      </c>
      <c r="DT52" s="59">
        <f ca="1">AVERAGE(OFFSET($DS$3,0,0,'Données projet'!$E$14+1,1))-AVERAGE(OFFSET($H$3,0,0,'Données projet'!$E$14+1,1))</f>
        <v>110.10595934547638</v>
      </c>
      <c r="DU52" s="59">
        <f t="shared" si="44"/>
        <v>131.10971921141493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8.1305389715385452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8.1305389715385452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3.3603333333333336</v>
      </c>
      <c r="EJ52" s="12">
        <f>IF('Données projet'!$A$192&gt;35,EJ51+EI52-ER51,IF(A52&lt;'Données projet'!$A$192,$EG$205^A52,IF(A52='Données projet'!$A$192,'Données projet'!$B$192,EJ51+EI52-ER51)))</f>
        <v>164.65633333333327</v>
      </c>
      <c r="EK52" s="17">
        <f>EJ52*VLOOKUP('Données projet'!$B$15,Paramètres!$A$1:$I$89,3,0)*VLOOKUP('Données projet'!$B$15,Paramètres!$A$1:$I$89,5,0)</f>
        <v>166.96152199999995</v>
      </c>
      <c r="EL52" s="13">
        <f t="shared" si="45"/>
        <v>42.408792940283384</v>
      </c>
      <c r="EM52" s="20">
        <f t="shared" si="19"/>
        <v>364.65329852099347</v>
      </c>
      <c r="EN52" s="59">
        <f t="shared" si="20"/>
        <v>657.98663185432679</v>
      </c>
      <c r="EO52" s="59">
        <f ca="1">AVERAGE(OFFSET($EN$3,0,0,'Données projet'!$E$15+1,1))-AVERAGE(OFFSET($H$3,0,0,'Données projet'!$E$15+1,1))</f>
        <v>420.38735944595965</v>
      </c>
      <c r="EP52" s="59">
        <f t="shared" si="46"/>
        <v>200.0823542414671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10.001428571428571</v>
      </c>
      <c r="FE52" s="12">
        <f>IF('Données projet'!$A$218&gt;35,FE51+FD52-FM51,IF(A52&lt;'Données projet'!$A$218,$FB$205^A52,IF(A52='Données projet'!$A$218,'Données projet'!$B$218,FE51+FD52-FM51)))</f>
        <v>148.06571428571428</v>
      </c>
      <c r="FF52" s="17">
        <f>FE52*VLOOKUP('Données projet'!$B$16,Paramètres!$A$1:$I$89,3,0)*VLOOKUP('Données projet'!$B$16,Paramètres!$A$1:$I$89,5,0)</f>
        <v>159.37793485714283</v>
      </c>
      <c r="FG52" s="13">
        <f t="shared" si="47"/>
        <v>40.702175082823857</v>
      </c>
      <c r="FH52" s="20">
        <f t="shared" si="22"/>
        <v>348.47285814544199</v>
      </c>
      <c r="FI52" s="59">
        <f t="shared" si="23"/>
        <v>641.8061914787753</v>
      </c>
      <c r="FJ52" s="59">
        <f ca="1">AVERAGE(OFFSET($FI$3,0,0,'Données projet'!$E$16+1,1))-AVERAGE(OFFSET($H$3,0,0,'Données projet'!$E$16+1,1))</f>
        <v>415.8741608506952</v>
      </c>
      <c r="FK52" s="59">
        <f t="shared" si="48"/>
        <v>259.15848913719356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36.723797629497589</v>
      </c>
      <c r="FS52" s="21">
        <f>EXP(-LN(2)/2)*FS51+(1-EXP(-LN(2)/2))/(LN(2)/2)*FM52*FP52*VLOOKUP('Données projet'!$B$16,Paramètres!$A$1:$I$89,3,0)*0.475*44/12</f>
        <v>2.4382798461948898</v>
      </c>
      <c r="FT52" s="22">
        <f t="shared" si="24"/>
        <v>39.162077475692477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10.001428571428571</v>
      </c>
      <c r="FZ52" s="12">
        <f>IF('Données projet'!$A$244&gt;35,FZ51+FY52-GH51,IF(A52&lt;'Données projet'!$A$244,$FW$205^A52,IF(A52='Données projet'!$A$244,'Données projet'!$B$244,FZ51+FY52-GH51)))</f>
        <v>148.06571428571428</v>
      </c>
      <c r="GA52" s="17">
        <f>FZ52*VLOOKUP('Données projet'!$B$17,Paramètres!$A$1:$I$89,3,0)*VLOOKUP('Données projet'!$B$17,Paramètres!$A$1:$I$89,5,0)</f>
        <v>127.04038285714286</v>
      </c>
      <c r="GB52" s="13">
        <f t="shared" si="49"/>
        <v>33.311564796077704</v>
      </c>
      <c r="GC52" s="20">
        <f t="shared" si="25"/>
        <v>279.27964216269248</v>
      </c>
      <c r="GD52" s="59">
        <f t="shared" si="26"/>
        <v>572.6129754960258</v>
      </c>
      <c r="GE52" s="59">
        <f ca="1">AVERAGE(OFFSET($GD$3,0,0,'Données projet'!$E$17+1,1))-AVERAGE(OFFSET($H$3,0,0,'Données projet'!$E$17+1,1))</f>
        <v>322.39807389980882</v>
      </c>
      <c r="GF52" s="59">
        <f t="shared" si="50"/>
        <v>202.59410055732792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36.080171921127551</v>
      </c>
      <c r="GN52" s="21">
        <f>EXP(-LN(2)/2)*GN51+(1-EXP(-LN(2)/2))/(LN(2)/2)*GH52*GK52*VLOOKUP('Données projet'!$B$17,Paramètres!$A$1:$I$89,3,0)*0.475*44/12</f>
        <v>1.9435563991408544</v>
      </c>
      <c r="GO52" s="21">
        <f t="shared" si="27"/>
        <v>38.023728320268404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18.329999999999988</v>
      </c>
      <c r="D53" s="11">
        <f t="shared" si="32"/>
        <v>6.021191209342672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187.97410758089072</v>
      </c>
      <c r="H53" s="67">
        <f t="shared" si="1"/>
        <v>335.74499135627178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6.4429411764705877</v>
      </c>
      <c r="N53" s="13">
        <f>IF('Données projet'!$A$36&gt;35,N52+M53-V52,IF(A53&lt;'Données projet'!$A$36,$K$205^A53,IF(A53='Données projet'!$A$36,'Données projet'!$B$36,N52+M53-V52)))</f>
        <v>322.14705882352922</v>
      </c>
      <c r="O53" s="13">
        <f>N53*VLOOKUP('Données projet'!$B$9,Paramètres!$A$1:$I$89,3,0)*VLOOKUP('Données projet'!$B$9,Paramètres!$A$1:$I$89,5,0)</f>
        <v>150.76482352941167</v>
      </c>
      <c r="P53" s="13">
        <f t="shared" si="33"/>
        <v>38.752343031926451</v>
      </c>
      <c r="Q53" s="20">
        <f t="shared" si="53"/>
        <v>330.0757317609972</v>
      </c>
      <c r="R53" s="59">
        <f t="shared" si="0"/>
        <v>623.40906509433057</v>
      </c>
      <c r="S53" s="59">
        <f ca="1">AVERAGE(OFFSET($R$3,0,0,'Données projet'!$E$9+1,1))-AVERAGE(OFFSET($H$3,0,0,'Données projet'!$E$9+1,1))</f>
        <v>215.77907571824977</v>
      </c>
      <c r="T53" s="59">
        <f t="shared" si="34"/>
        <v>174.69390149594869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12.103750000000002</v>
      </c>
      <c r="AI53" s="13">
        <f>IF('Données projet'!$A$62&gt;35,AI52+AH53-AQ52,IF(A53&lt;'Données projet'!$A$62,$AF$205^A53,IF(A53='Données projet'!$A$62,'Données projet'!$B$62,AI52+AH53-AQ52)))</f>
        <v>268.69499999999988</v>
      </c>
      <c r="AJ53" s="13">
        <f>AI53*VLOOKUP('Données projet'!$B$10,Paramètres!$A$1:$I$89,3,0)*VLOOKUP('Données projet'!$B$10,Paramètres!$A$1:$I$89,5,0)</f>
        <v>160.67960999999994</v>
      </c>
      <c r="AK53" s="13">
        <f t="shared" si="35"/>
        <v>40.995765504952942</v>
      </c>
      <c r="AL53" s="20">
        <f t="shared" si="4"/>
        <v>351.2512790044596</v>
      </c>
      <c r="AM53" s="59">
        <f t="shared" si="5"/>
        <v>644.58461233779292</v>
      </c>
      <c r="AN53" s="59">
        <f ca="1">AVERAGE(OFFSET($AM$3,0,0,'Données projet'!$E$10+1,1))-AVERAGE(OFFSET($H$3,0,0,'Données projet'!$E$10+1,1))</f>
        <v>171.701352621833</v>
      </c>
      <c r="AO53" s="59">
        <f t="shared" si="36"/>
        <v>195.58435749168586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24.455535127804723</v>
      </c>
      <c r="AV53" s="21">
        <f>EXP(-LN(2)/25)*AV52+(1-EXP(-LN(2)/25))/(LN(2)/25)*Calculateur!AQ53*Calculateur!AS53*VLOOKUP('Données projet'!$B$10,Paramètres!$A$1:$I$89,3,0)*0.475*44/12</f>
        <v>14.103008723838846</v>
      </c>
      <c r="AW53" s="21">
        <f>EXP(-LN(2)/2)*AW52+(1-EXP(-LN(2)/2))/(LN(2)/2)*AQ53*AT53*VLOOKUP('Données projet'!$B$10,Paramètres!$A$1:$I$89,3,0)*0.475*44/12</f>
        <v>2.3501724180090724</v>
      </c>
      <c r="AX53" s="21">
        <f t="shared" si="6"/>
        <v>40.908716269652643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499</v>
      </c>
      <c r="BB53" s="12">
        <f>VLOOKUP(A53,'Données projet'!$A$87:$I$107,9,0)</f>
        <v>21</v>
      </c>
      <c r="BC53" s="12">
        <f t="array" ref="BC53">INDEX(BB:BB,MIN(IF(ISNUMBER(BB53:BB249),ROW(BB53:BB249),"")))</f>
        <v>21</v>
      </c>
      <c r="BD53" s="12">
        <f>IF('Données projet'!$A$88&gt;35,BD52+BC53-BL52,IF(A53&lt;'Données projet'!$A$88,$BA$205^A53,IF(A53='Données projet'!$A$88,'Données projet'!$B$88,BD52+BC53-BL52)))</f>
        <v>498.99999999999966</v>
      </c>
      <c r="BE53" s="13">
        <f>BD53*VLOOKUP('Données projet'!$B$11,Paramètres!$A$1:$I$89,3,0)*VLOOKUP('Données projet'!$B$11,Paramètres!$A$1:$I$89,5,0)</f>
        <v>259.47999999999985</v>
      </c>
      <c r="BF53" s="13">
        <f t="shared" si="37"/>
        <v>62.611522058102118</v>
      </c>
      <c r="BG53" s="20">
        <f t="shared" si="7"/>
        <v>560.97606758452764</v>
      </c>
      <c r="BH53" s="59">
        <f t="shared" si="8"/>
        <v>854.30940091786101</v>
      </c>
      <c r="BI53" s="59">
        <f ca="1">AVERAGE(OFFSET($BH$3,0,0,'Données projet'!$E$11+1,1))-AVERAGE(OFFSET($H$3,0,0,'Données projet'!$E$11+1,1))</f>
        <v>348.29124901999882</v>
      </c>
      <c r="BJ53" s="59">
        <f t="shared" si="38"/>
        <v>284.30034973939053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0.33</v>
      </c>
      <c r="BN53" s="16">
        <f>IF(ISNA(VLOOKUP(A53,'Données projet'!$A$87:$I$107,6,0)),0%,VLOOKUP(A53,'Données projet'!$A$87:$I$107,6,0)*VLOOKUP('Données projet'!$B$11,Paramètres!$A$1:$I$89,7,0))</f>
        <v>0.11000000000000001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31.864797312385484</v>
      </c>
      <c r="BQ53" s="21">
        <f>EXP(-LN(2)/25)*BQ52+(1-EXP(-LN(2)/25))/(LN(2)/25)*Calculateur!BL53*Calculateur!BN53*VLOOKUP('Données projet'!$B$11,Paramètres!$A$1:$I$89,3,0)*0.475*44/12</f>
        <v>29.582765668727525</v>
      </c>
      <c r="BR53" s="21">
        <f>EXP(-LN(2)/2)*BR52+(1-EXP(-LN(2)/2))/(LN(2)/2)*BL53*BO53*VLOOKUP('Données projet'!$B$11,Paramètres!$A$1:$I$89,3,0)*0.475*44/12</f>
        <v>9.2835219583523898</v>
      </c>
      <c r="BS53" s="22">
        <f t="shared" si="9"/>
        <v>70.731084939465404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7.5706666666666669</v>
      </c>
      <c r="BY53" s="12">
        <f>IF('Données projet'!$A$114&gt;35,BY52+BX53-CG52,IF(A53&lt;'Données projet'!$A$114,$BV$205^A53,IF(A53='Données projet'!$A$114,'Données projet'!$B$114,BY52+BX53-CG52)))</f>
        <v>168.22333333333341</v>
      </c>
      <c r="BZ53" s="13">
        <f>BY53*VLOOKUP('Données projet'!$B$12,Paramètres!$A$1:$I$89,3,0)*VLOOKUP('Données projet'!$B$12,Paramètres!$A$1:$I$89,5,0)</f>
        <v>100.59755333333339</v>
      </c>
      <c r="CA53" s="13">
        <f t="shared" si="39"/>
        <v>27.104306990710651</v>
      </c>
      <c r="CB53" s="20">
        <f t="shared" si="10"/>
        <v>222.41407339771004</v>
      </c>
      <c r="CC53" s="59">
        <f t="shared" si="11"/>
        <v>515.74740673104338</v>
      </c>
      <c r="CD53" s="59">
        <f ca="1">AVERAGE(OFFSET($CC$3,0,0,'Données projet'!$E$12+1,1))-AVERAGE(OFFSET($H$3,0,0,'Données projet'!$E$12+1,1))</f>
        <v>185.82627135915504</v>
      </c>
      <c r="CE53" s="59">
        <f t="shared" si="40"/>
        <v>155.46126452522037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6.0008910368044477</v>
      </c>
      <c r="CL53" s="21">
        <f>EXP(-LN(2)/25)*CL52+(1-EXP(-LN(2)/25))/(LN(2)/25)*Calculateur!CG53*Calculateur!CI53*VLOOKUP('Données projet'!$B$12,Paramètres!$A$1:$I$89,3,0)*0.475*44/12</f>
        <v>8.5028082294882577</v>
      </c>
      <c r="CM53" s="21">
        <f>EXP(-LN(2)/2)*CM52+(1-EXP(-LN(2)/2))/(LN(2)/2)*CG53*CJ53*VLOOKUP('Données projet'!$B$12,Paramètres!$A$1:$I$89,3,0)*0.475*44/12</f>
        <v>3.3766285941196506</v>
      </c>
      <c r="CN53" s="22">
        <f t="shared" si="12"/>
        <v>17.880327860412358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88.230769230769226</v>
      </c>
      <c r="CR53" s="12">
        <f>VLOOKUP(A53,'Données projet'!$A$139:$I$159,9,0)</f>
        <v>2.2538461538461521</v>
      </c>
      <c r="CS53" s="12">
        <f t="array" ref="CS53">INDEX(CR:CR,MIN(IF(ISNUMBER(CR53:CR249),ROW(CR53:CR249),"")))</f>
        <v>2.2538461538461521</v>
      </c>
      <c r="CT53" s="12">
        <f>IF('Données projet'!$A$140&gt;35,CT52+CS53-DB52,IF(A53&lt;'Données projet'!$A$140,$CQ$205^A53,IF(A53='Données projet'!$A$140,'Données projet'!$B$140,CT52+CS53-DB52)))</f>
        <v>88.230769230769255</v>
      </c>
      <c r="CU53" s="17">
        <f>CT53*VLOOKUP('Données projet'!$B$13,Paramètres!$A$1:$I$89,3,0)*VLOOKUP('Données projet'!$B$13,Paramètres!$A$1:$I$89,5,0)</f>
        <v>101.64184615384617</v>
      </c>
      <c r="CV53" s="13">
        <f t="shared" si="41"/>
        <v>27.35277325554047</v>
      </c>
      <c r="CW53" s="20">
        <f t="shared" si="13"/>
        <v>224.66562880468175</v>
      </c>
      <c r="CX53" s="59">
        <f t="shared" si="14"/>
        <v>517.99896213801503</v>
      </c>
      <c r="CY53" s="59">
        <f ca="1">AVERAGE(OFFSET($CX$3,0,0,'Données projet'!$E$13+1,1))-AVERAGE(OFFSET($H$3,0,0,'Données projet'!$E$13+1,1))</f>
        <v>150.78964413039063</v>
      </c>
      <c r="CZ53" s="59">
        <f t="shared" si="42"/>
        <v>131.90332435966184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11.615384615384615</v>
      </c>
      <c r="DC53" s="16">
        <f>IF(ISNA(VLOOKUP(A53,'Données projet'!$A$139:$I$159,5,0)),0%,VLOOKUP(A53,'Données projet'!$A$139:$I$159,5,0)*VLOOKUP('Données projet'!$B$13,Paramètres!$A$1:$I$89,7,0))</f>
        <v>0.18000000000000002</v>
      </c>
      <c r="DD53" s="16">
        <f>IF(ISNA(VLOOKUP(A53,'Données projet'!$A$139:$I$159,6,0)),0%,VLOOKUP(A53,'Données projet'!$A$139:$I$159,6,0)*VLOOKUP('Données projet'!$B$13,Paramètres!$A$1:$I$89,7,0))</f>
        <v>9.0000000000000011E-2</v>
      </c>
      <c r="DE53" s="16">
        <f>IF(ISNA(VLOOKUP(A53,'Données projet'!$A$139:$I$159,7,0)),0%,VLOOKUP(A53,'Données projet'!$A$139:$I$159,7,0))</f>
        <v>0.2</v>
      </c>
      <c r="DF53" s="21">
        <f>EXP(-LN(2)/35)*DF52+(1-EXP(-LN(2)/35))/(LN(2)/35)*DB53*DC53*VLOOKUP('Données projet'!$B$13,Paramètres!$A$1:$I$89,3,0)*0.475*44/12</f>
        <v>3.6397209741920782</v>
      </c>
      <c r="DG53" s="21">
        <f>EXP(-LN(2)/25)*DG52+(1-EXP(-LN(2)/25))/(LN(2)/25)*Calculateur!DB53*Calculateur!DD53*VLOOKUP('Données projet'!$B$13,Paramètres!$A$1:$I$89,3,0)*0.475*44/12</f>
        <v>3.2951675980058894</v>
      </c>
      <c r="DH53" s="21">
        <f>EXP(-LN(2)/2)*DH52+(1-EXP(-LN(2)/2))/(LN(2)/2)*DB53*DE53*VLOOKUP('Données projet'!$B$13,Paramètres!$A$1:$I$89,3,0)*0.475*44/12</f>
        <v>1.737339944471747</v>
      </c>
      <c r="DI53" s="22">
        <f t="shared" si="15"/>
        <v>8.6722285166697155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79.487179487179475</v>
      </c>
      <c r="DM53" s="12">
        <f>VLOOKUP(A53,'Données projet'!$A$165:$I$185,9,0)</f>
        <v>2.6923076923076907</v>
      </c>
      <c r="DN53" s="12">
        <f t="array" ref="DN53">INDEX(DM:DM,MIN(IF(ISNUMBER(DM53:DM249),ROW(DM53:DM249),"")))</f>
        <v>2.6923076923076907</v>
      </c>
      <c r="DO53" s="12">
        <f>IF('Données projet'!$A$166&gt;35,DO52+DN53-DW52,IF(A53&lt;'Données projet'!$A$166,$DL$205^A53,IF(A53='Données projet'!$A$166,'Données projet'!$B$166,DO52+DN53-DW52)))</f>
        <v>79.487179487179517</v>
      </c>
      <c r="DP53" s="17">
        <f>DO53*VLOOKUP('Données projet'!$B$14,Paramètres!$A$1:$I$89,3,0)*VLOOKUP('Données projet'!$B$14,Paramètres!$A$1:$I$89,5,0)</f>
        <v>83.080000000000041</v>
      </c>
      <c r="DQ53" s="13">
        <f t="shared" si="43"/>
        <v>22.888596418138153</v>
      </c>
      <c r="DR53" s="20">
        <f t="shared" si="16"/>
        <v>184.56197209492402</v>
      </c>
      <c r="DS53" s="59">
        <f t="shared" si="17"/>
        <v>477.8953054282573</v>
      </c>
      <c r="DT53" s="59">
        <f ca="1">AVERAGE(OFFSET($DS$3,0,0,'Données projet'!$E$14+1,1))-AVERAGE(OFFSET($H$3,0,0,'Données projet'!$E$14+1,1))</f>
        <v>110.10595934547638</v>
      </c>
      <c r="DU53" s="59">
        <f t="shared" si="44"/>
        <v>131.10971921141493</v>
      </c>
      <c r="DV53" s="15">
        <f>IF(ISNA(VLOOKUP(A53,'Données projet'!$A$165:$I$185,3,0)),0,VLOOKUP(A53,'Données projet'!$A$165:$I$185,3,0))</f>
        <v>5</v>
      </c>
      <c r="DW53" s="15">
        <f>IF(ISNA(VLOOKUP(A53,'Données projet'!$A$165:$I$185,4,0)),0,VLOOKUP(A53,'Données projet'!$A$165:$I$185,4,0))</f>
        <v>7.0512820512820511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0.215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9.6529850412896323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9.6529850412896323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3.3603333333333336</v>
      </c>
      <c r="EJ53" s="12">
        <f>IF('Données projet'!$A$192&gt;35,EJ52+EI53-ER52,IF(A53&lt;'Données projet'!$A$192,$EG$205^A53,IF(A53='Données projet'!$A$192,'Données projet'!$B$192,EJ52+EI53-ER52)))</f>
        <v>168.01666666666659</v>
      </c>
      <c r="EK53" s="17">
        <f>EJ53*VLOOKUP('Données projet'!$B$15,Paramètres!$A$1:$I$89,3,0)*VLOOKUP('Données projet'!$B$15,Paramètres!$A$1:$I$89,5,0)</f>
        <v>170.36889999999994</v>
      </c>
      <c r="EL53" s="13">
        <f t="shared" si="45"/>
        <v>43.172634487453415</v>
      </c>
      <c r="EM53" s="20">
        <f t="shared" si="19"/>
        <v>371.91817256564792</v>
      </c>
      <c r="EN53" s="59">
        <f t="shared" si="20"/>
        <v>665.25150589898124</v>
      </c>
      <c r="EO53" s="59">
        <f ca="1">AVERAGE(OFFSET($EN$3,0,0,'Données projet'!$E$15+1,1))-AVERAGE(OFFSET($H$3,0,0,'Données projet'!$E$15+1,1))</f>
        <v>420.38735944595965</v>
      </c>
      <c r="EP53" s="59">
        <f t="shared" si="46"/>
        <v>200.0823542414671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10.001428571428571</v>
      </c>
      <c r="FE53" s="12">
        <f>IF('Données projet'!$A$218&gt;35,FE52+FD53-FM52,IF(A53&lt;'Données projet'!$A$218,$FB$205^A53,IF(A53='Données projet'!$A$218,'Données projet'!$B$218,FE52+FD53-FM52)))</f>
        <v>158.06714285714284</v>
      </c>
      <c r="FF53" s="17">
        <f>FE53*VLOOKUP('Données projet'!$B$16,Paramètres!$A$1:$I$89,3,0)*VLOOKUP('Données projet'!$B$16,Paramètres!$A$1:$I$89,5,0)</f>
        <v>170.14347257142856</v>
      </c>
      <c r="FG53" s="13">
        <f t="shared" si="47"/>
        <v>43.122155090778605</v>
      </c>
      <c r="FH53" s="20">
        <f t="shared" si="22"/>
        <v>371.43763484501079</v>
      </c>
      <c r="FI53" s="59">
        <f t="shared" si="23"/>
        <v>664.77096817834411</v>
      </c>
      <c r="FJ53" s="59">
        <f ca="1">AVERAGE(OFFSET($FI$3,0,0,'Données projet'!$E$16+1,1))-AVERAGE(OFFSET($H$3,0,0,'Données projet'!$E$16+1,1))</f>
        <v>415.8741608506952</v>
      </c>
      <c r="FK53" s="59">
        <f t="shared" si="48"/>
        <v>259.15848913719356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35.719583452098391</v>
      </c>
      <c r="FS53" s="21">
        <f>EXP(-LN(2)/2)*FS52+(1-EXP(-LN(2)/2))/(LN(2)/2)*FM53*FP53*VLOOKUP('Données projet'!$B$16,Paramètres!$A$1:$I$89,3,0)*0.475*44/12</f>
        <v>1.7241242136748989</v>
      </c>
      <c r="FT53" s="22">
        <f t="shared" si="24"/>
        <v>37.443707665773289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10.001428571428571</v>
      </c>
      <c r="FZ53" s="12">
        <f>IF('Données projet'!$A$244&gt;35,FZ52+FY53-GH52,IF(A53&lt;'Données projet'!$A$244,$FW$205^A53,IF(A53='Données projet'!$A$244,'Données projet'!$B$244,FZ52+FY53-GH52)))</f>
        <v>158.06714285714284</v>
      </c>
      <c r="GA53" s="17">
        <f>FZ53*VLOOKUP('Données projet'!$B$17,Paramètres!$A$1:$I$89,3,0)*VLOOKUP('Données projet'!$B$17,Paramètres!$A$1:$I$89,5,0)</f>
        <v>135.62160857142857</v>
      </c>
      <c r="GB53" s="13">
        <f t="shared" si="49"/>
        <v>35.292130224734997</v>
      </c>
      <c r="GC53" s="20">
        <f t="shared" si="25"/>
        <v>297.67476173665153</v>
      </c>
      <c r="GD53" s="59">
        <f t="shared" si="26"/>
        <v>591.00809506998485</v>
      </c>
      <c r="GE53" s="59">
        <f ca="1">AVERAGE(OFFSET($GD$3,0,0,'Données projet'!$E$17+1,1))-AVERAGE(OFFSET($H$3,0,0,'Données projet'!$E$17+1,1))</f>
        <v>322.39807389980882</v>
      </c>
      <c r="GF53" s="59">
        <f t="shared" si="50"/>
        <v>202.59410055732792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35.093557722570537</v>
      </c>
      <c r="GN53" s="21">
        <f>EXP(-LN(2)/2)*GN52+(1-EXP(-LN(2)/2))/(LN(2)/2)*GH53*GK53*VLOOKUP('Données projet'!$B$17,Paramètres!$A$1:$I$89,3,0)*0.475*44/12</f>
        <v>1.3743019094510065</v>
      </c>
      <c r="GO53" s="21">
        <f t="shared" si="27"/>
        <v>36.467859632021543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18.696599999999986</v>
      </c>
      <c r="D54" s="11">
        <f t="shared" si="32"/>
        <v>6.1274747554312921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191.6244367085923</v>
      </c>
      <c r="H54" s="67">
        <f t="shared" si="1"/>
        <v>336.56859686570942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328.59</v>
      </c>
      <c r="L54" s="12">
        <f>VLOOKUP(A54,'Données projet'!$A$35:$I$55,9,0)</f>
        <v>6.4429411764705877</v>
      </c>
      <c r="M54" s="12">
        <f t="array" ref="M54">INDEX(L:L,MIN(IF(ISNUMBER(L54:L250),ROW(L54:L250),"")))</f>
        <v>6.4429411764705877</v>
      </c>
      <c r="N54" s="13">
        <f>IF('Données projet'!$A$36&gt;35,N53+M54-V53,IF(A54&lt;'Données projet'!$A$36,$K$205^A54,IF(A54='Données projet'!$A$36,'Données projet'!$B$36,N53+M54-V53)))</f>
        <v>328.5899999999998</v>
      </c>
      <c r="O54" s="13">
        <f>N54*VLOOKUP('Données projet'!$B$9,Paramètres!$A$1:$I$89,3,0)*VLOOKUP('Données projet'!$B$9,Paramètres!$A$1:$I$89,5,0)</f>
        <v>153.78011999999993</v>
      </c>
      <c r="P54" s="13">
        <f t="shared" si="33"/>
        <v>39.436383165095613</v>
      </c>
      <c r="Q54" s="20">
        <f t="shared" si="53"/>
        <v>336.51874301254134</v>
      </c>
      <c r="R54" s="59">
        <f t="shared" si="0"/>
        <v>629.85207634587459</v>
      </c>
      <c r="S54" s="59">
        <f ca="1">AVERAGE(OFFSET($R$3,0,0,'Données projet'!$E$9+1,1))-AVERAGE(OFFSET($H$3,0,0,'Données projet'!$E$9+1,1))</f>
        <v>215.77907571824977</v>
      </c>
      <c r="T54" s="59">
        <f t="shared" si="34"/>
        <v>174.69390149594869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101.57999999999998</v>
      </c>
      <c r="W54" s="16">
        <f>IF(ISNA(VLOOKUP(A54,'Données projet'!$A$35:$I$55,5,0)),0%,VLOOKUP(A54,'Données projet'!$A$35:$I$55,5,0)*VLOOKUP('Données projet'!$B$9,Paramètres!$A$1:$I$89,7,0))</f>
        <v>0.13750000000000001</v>
      </c>
      <c r="X54" s="16">
        <f>IF(ISNA(VLOOKUP(A54,'Données projet'!$A$35:$I$55,6,0)),0%,VLOOKUP(A54,'Données projet'!$A$35:$I$55,6,0)*VLOOKUP('Données projet'!$B$9,Paramètres!$A$1:$I$89,7,0))</f>
        <v>0.20350000000000001</v>
      </c>
      <c r="Y54" s="16">
        <f>IF(ISNA(VLOOKUP(A54,'Données projet'!$A$35:$I$55,7,0)),0%,VLOOKUP(A54,'Données projet'!$A$35:$I$55,7,0))</f>
        <v>0.38</v>
      </c>
      <c r="Z54" s="21">
        <f>EXP(-LN(2)/35)*Z53+(1-EXP(-LN(2)/35))/(LN(2)/35)*V54*W54*VLOOKUP('Données projet'!$B$9,Paramètres!$A$1:$I$89,3,0)*0.475*44/12</f>
        <v>8.6713180586313445</v>
      </c>
      <c r="AA54" s="21">
        <f>EXP(-LN(2)/25)*AA53+(1-EXP(-LN(2)/25))/(LN(2)/25)*Calculateur!V54*Calculateur!X54*VLOOKUP('Données projet'!$B$9,Paramètres!$A$1:$I$89,3,0)*0.475*44/12</f>
        <v>12.783020147596885</v>
      </c>
      <c r="AB54" s="21">
        <f>EXP(-LN(2)/2)*AB53+(1-EXP(-LN(2)/2))/(LN(2)/2)*V54*Y54*VLOOKUP('Données projet'!$B$9,Paramètres!$A$1:$I$89,3,0)*0.475*44/12</f>
        <v>20.453761962242197</v>
      </c>
      <c r="AC54" s="22">
        <f t="shared" si="3"/>
        <v>41.908100168470426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12.103750000000002</v>
      </c>
      <c r="AI54" s="13">
        <f>IF('Données projet'!$A$62&gt;35,AI53+AH54-AQ53,IF(A54&lt;'Données projet'!$A$62,$AF$205^A54,IF(A54='Données projet'!$A$62,'Données projet'!$B$62,AI53+AH54-AQ53)))</f>
        <v>280.79874999999987</v>
      </c>
      <c r="AJ54" s="13">
        <f>AI54*VLOOKUP('Données projet'!$B$10,Paramètres!$A$1:$I$89,3,0)*VLOOKUP('Données projet'!$B$10,Paramètres!$A$1:$I$89,5,0)</f>
        <v>167.91765249999995</v>
      </c>
      <c r="AK54" s="13">
        <f t="shared" si="35"/>
        <v>42.623313011687245</v>
      </c>
      <c r="AL54" s="20">
        <f t="shared" si="4"/>
        <v>366.6921815995218</v>
      </c>
      <c r="AM54" s="59">
        <f t="shared" si="5"/>
        <v>660.02551493285512</v>
      </c>
      <c r="AN54" s="59">
        <f ca="1">AVERAGE(OFFSET($AM$3,0,0,'Données projet'!$E$10+1,1))-AVERAGE(OFFSET($H$3,0,0,'Données projet'!$E$10+1,1))</f>
        <v>171.701352621833</v>
      </c>
      <c r="AO54" s="59">
        <f t="shared" si="36"/>
        <v>195.58435749168586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23.975977000352028</v>
      </c>
      <c r="AV54" s="21">
        <f>EXP(-LN(2)/25)*AV53+(1-EXP(-LN(2)/25))/(LN(2)/25)*Calculateur!AQ54*Calculateur!AS54*VLOOKUP('Données projet'!$B$10,Paramètres!$A$1:$I$89,3,0)*0.475*44/12</f>
        <v>13.717361208640476</v>
      </c>
      <c r="AW54" s="21">
        <f>EXP(-LN(2)/2)*AW53+(1-EXP(-LN(2)/2))/(LN(2)/2)*AQ54*AT54*VLOOKUP('Données projet'!$B$10,Paramètres!$A$1:$I$89,3,0)*0.475*44/12</f>
        <v>1.6618228537318005</v>
      </c>
      <c r="AX54" s="21">
        <f t="shared" si="6"/>
        <v>39.355161062724299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19.8</v>
      </c>
      <c r="BD54" s="12">
        <f>IF('Données projet'!$A$88&gt;35,BD53+BC54-BL53,IF(A54&lt;'Données projet'!$A$88,$BA$205^A54,IF(A54='Données projet'!$A$88,'Données projet'!$B$88,BD53+BC54-BL53)))</f>
        <v>462.79999999999961</v>
      </c>
      <c r="BE54" s="13">
        <f>BD54*VLOOKUP('Données projet'!$B$11,Paramètres!$A$1:$I$89,3,0)*VLOOKUP('Données projet'!$B$11,Paramètres!$A$1:$I$89,5,0)</f>
        <v>240.65599999999984</v>
      </c>
      <c r="BF54" s="13">
        <f t="shared" si="37"/>
        <v>58.580649647847856</v>
      </c>
      <c r="BG54" s="20">
        <f t="shared" si="7"/>
        <v>521.17049813666802</v>
      </c>
      <c r="BH54" s="59">
        <f t="shared" si="8"/>
        <v>814.50383147000139</v>
      </c>
      <c r="BI54" s="59">
        <f ca="1">AVERAGE(OFFSET($BH$3,0,0,'Données projet'!$E$11+1,1))-AVERAGE(OFFSET($H$3,0,0,'Données projet'!$E$11+1,1))</f>
        <v>348.29124901999882</v>
      </c>
      <c r="BJ54" s="59">
        <f t="shared" si="38"/>
        <v>284.30034973939053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31.239948072696858</v>
      </c>
      <c r="BQ54" s="21">
        <f>EXP(-LN(2)/25)*BQ53+(1-EXP(-LN(2)/25))/(LN(2)/25)*Calculateur!BL54*Calculateur!BN54*VLOOKUP('Données projet'!$B$11,Paramètres!$A$1:$I$89,3,0)*0.475*44/12</f>
        <v>28.773823385826137</v>
      </c>
      <c r="BR54" s="21">
        <f>EXP(-LN(2)/2)*BR53+(1-EXP(-LN(2)/2))/(LN(2)/2)*BL54*BO54*VLOOKUP('Données projet'!$B$11,Paramètres!$A$1:$I$89,3,0)*0.475*44/12</f>
        <v>6.5644413300451925</v>
      </c>
      <c r="BS54" s="22">
        <f t="shared" si="9"/>
        <v>66.578212788568194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7.5706666666666669</v>
      </c>
      <c r="BY54" s="12">
        <f>IF('Données projet'!$A$114&gt;35,BY53+BX54-CG53,IF(A54&lt;'Données projet'!$A$114,$BV$205^A54,IF(A54='Données projet'!$A$114,'Données projet'!$B$114,BY53+BX54-CG53)))</f>
        <v>175.79400000000007</v>
      </c>
      <c r="BZ54" s="13">
        <f>BY54*VLOOKUP('Données projet'!$B$12,Paramètres!$A$1:$I$89,3,0)*VLOOKUP('Données projet'!$B$12,Paramètres!$A$1:$I$89,5,0)</f>
        <v>105.12481200000003</v>
      </c>
      <c r="CA54" s="13">
        <f t="shared" si="39"/>
        <v>28.179339408470344</v>
      </c>
      <c r="CB54" s="20">
        <f t="shared" si="10"/>
        <v>232.17139703641922</v>
      </c>
      <c r="CC54" s="59">
        <f t="shared" si="11"/>
        <v>525.50473036975256</v>
      </c>
      <c r="CD54" s="59">
        <f ca="1">AVERAGE(OFFSET($CC$3,0,0,'Données projet'!$E$12+1,1))-AVERAGE(OFFSET($H$3,0,0,'Données projet'!$E$12+1,1))</f>
        <v>185.82627135915504</v>
      </c>
      <c r="CE54" s="59">
        <f t="shared" si="40"/>
        <v>155.46126452522037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5.8832172237548317</v>
      </c>
      <c r="CL54" s="21">
        <f>EXP(-LN(2)/25)*CL53+(1-EXP(-LN(2)/25))/(LN(2)/25)*Calculateur!CG54*Calculateur!CI54*VLOOKUP('Données projet'!$B$12,Paramètres!$A$1:$I$89,3,0)*0.475*44/12</f>
        <v>8.2702984913096493</v>
      </c>
      <c r="CM54" s="21">
        <f>EXP(-LN(2)/2)*CM53+(1-EXP(-LN(2)/2))/(LN(2)/2)*CG54*CJ54*VLOOKUP('Données projet'!$B$12,Paramètres!$A$1:$I$89,3,0)*0.475*44/12</f>
        <v>2.3876369764504033</v>
      </c>
      <c r="CN54" s="22">
        <f t="shared" si="12"/>
        <v>16.541152691514885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1.9846153846153853</v>
      </c>
      <c r="CT54" s="12">
        <f>IF('Données projet'!$A$140&gt;35,CT53+CS54-DB53,IF(A54&lt;'Données projet'!$A$140,$CQ$205^A54,IF(A54='Données projet'!$A$140,'Données projet'!$B$140,CT53+CS54-DB53)))</f>
        <v>78.600000000000023</v>
      </c>
      <c r="CU54" s="17">
        <f>CT54*VLOOKUP('Données projet'!$B$13,Paramètres!$A$1:$I$89,3,0)*VLOOKUP('Données projet'!$B$13,Paramètres!$A$1:$I$89,5,0)</f>
        <v>90.547200000000018</v>
      </c>
      <c r="CV54" s="13">
        <f t="shared" si="41"/>
        <v>24.697149863788287</v>
      </c>
      <c r="CW54" s="20">
        <f t="shared" si="13"/>
        <v>200.71724267943128</v>
      </c>
      <c r="CX54" s="59">
        <f t="shared" si="14"/>
        <v>494.05057601276462</v>
      </c>
      <c r="CY54" s="59">
        <f ca="1">AVERAGE(OFFSET($CX$3,0,0,'Données projet'!$E$13+1,1))-AVERAGE(OFFSET($H$3,0,0,'Données projet'!$E$13+1,1))</f>
        <v>150.78964413039063</v>
      </c>
      <c r="CZ54" s="59">
        <f t="shared" si="42"/>
        <v>131.90332435966184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3.568348265898758</v>
      </c>
      <c r="DG54" s="21">
        <f>EXP(-LN(2)/25)*DG53+(1-EXP(-LN(2)/25))/(LN(2)/25)*Calculateur!DB54*Calculateur!DD54*VLOOKUP('Données projet'!$B$13,Paramètres!$A$1:$I$89,3,0)*0.475*44/12</f>
        <v>3.2050610667530854</v>
      </c>
      <c r="DH54" s="21">
        <f>EXP(-LN(2)/2)*DH53+(1-EXP(-LN(2)/2))/(LN(2)/2)*DB54*DE54*VLOOKUP('Données projet'!$B$13,Paramètres!$A$1:$I$89,3,0)*0.475*44/12</f>
        <v>1.2284848559622323</v>
      </c>
      <c r="DI54" s="22">
        <f t="shared" si="15"/>
        <v>8.0018941886140755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2.5641025641025634</v>
      </c>
      <c r="DO54" s="12">
        <f>IF('Données projet'!$A$166&gt;35,DO53+DN54-DW53,IF(A54&lt;'Données projet'!$A$166,$DL$205^A54,IF(A54='Données projet'!$A$166,'Données projet'!$B$166,DO53+DN54-DW53)))</f>
        <v>75.000000000000028</v>
      </c>
      <c r="DP54" s="17">
        <f>DO54*VLOOKUP('Données projet'!$B$14,Paramètres!$A$1:$I$89,3,0)*VLOOKUP('Données projet'!$B$14,Paramètres!$A$1:$I$89,5,0)</f>
        <v>78.390000000000029</v>
      </c>
      <c r="DQ54" s="13">
        <f t="shared" si="43"/>
        <v>21.743066192079873</v>
      </c>
      <c r="DR54" s="20">
        <f t="shared" si="16"/>
        <v>174.39842361787248</v>
      </c>
      <c r="DS54" s="59">
        <f t="shared" si="17"/>
        <v>467.7317569512058</v>
      </c>
      <c r="DT54" s="59">
        <f ca="1">AVERAGE(OFFSET($DS$3,0,0,'Données projet'!$E$14+1,1))-AVERAGE(OFFSET($H$3,0,0,'Données projet'!$E$14+1,1))</f>
        <v>110.10595934547638</v>
      </c>
      <c r="DU54" s="59">
        <f t="shared" si="44"/>
        <v>131.10971921141493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9.3890236577071455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9.3890236577071455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3.3603333333333336</v>
      </c>
      <c r="EJ54" s="12">
        <f>IF('Données projet'!$A$192&gt;35,EJ53+EI54-ER53,IF(A54&lt;'Données projet'!$A$192,$EG$205^A54,IF(A54='Données projet'!$A$192,'Données projet'!$B$192,EJ53+EI54-ER53)))</f>
        <v>171.37699999999992</v>
      </c>
      <c r="EK54" s="17">
        <f>EJ54*VLOOKUP('Données projet'!$B$15,Paramètres!$A$1:$I$89,3,0)*VLOOKUP('Données projet'!$B$15,Paramètres!$A$1:$I$89,5,0)</f>
        <v>173.77627799999993</v>
      </c>
      <c r="EL54" s="13">
        <f t="shared" si="45"/>
        <v>43.934699754571064</v>
      </c>
      <c r="EM54" s="20">
        <f t="shared" si="19"/>
        <v>379.17995292254449</v>
      </c>
      <c r="EN54" s="59">
        <f t="shared" si="20"/>
        <v>672.5132862558778</v>
      </c>
      <c r="EO54" s="59">
        <f ca="1">AVERAGE(OFFSET($EN$3,0,0,'Données projet'!$E$15+1,1))-AVERAGE(OFFSET($H$3,0,0,'Données projet'!$E$15+1,1))</f>
        <v>420.38735944595965</v>
      </c>
      <c r="EP54" s="59">
        <f t="shared" si="46"/>
        <v>200.0823542414671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10.001428571428571</v>
      </c>
      <c r="FE54" s="12">
        <f>IF('Données projet'!$A$218&gt;35,FE53+FD54-FM53,IF(A54&lt;'Données projet'!$A$218,$FB$205^A54,IF(A54='Données projet'!$A$218,'Données projet'!$B$218,FE53+FD54-FM53)))</f>
        <v>168.0685714285714</v>
      </c>
      <c r="FF54" s="17">
        <f>FE54*VLOOKUP('Données projet'!$B$16,Paramètres!$A$1:$I$89,3,0)*VLOOKUP('Données projet'!$B$16,Paramètres!$A$1:$I$89,5,0)</f>
        <v>180.90901028571423</v>
      </c>
      <c r="FG54" s="13">
        <f t="shared" si="47"/>
        <v>45.524364878568001</v>
      </c>
      <c r="FH54" s="20">
        <f t="shared" si="22"/>
        <v>394.3714617444582</v>
      </c>
      <c r="FI54" s="59">
        <f t="shared" si="23"/>
        <v>687.70479507779146</v>
      </c>
      <c r="FJ54" s="59">
        <f ca="1">AVERAGE(OFFSET($FI$3,0,0,'Données projet'!$E$16+1,1))-AVERAGE(OFFSET($H$3,0,0,'Données projet'!$E$16+1,1))</f>
        <v>415.8741608506952</v>
      </c>
      <c r="FK54" s="59">
        <f t="shared" si="48"/>
        <v>259.15848913719356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34.742829564189506</v>
      </c>
      <c r="FS54" s="21">
        <f>EXP(-LN(2)/2)*FS53+(1-EXP(-LN(2)/2))/(LN(2)/2)*FM54*FP54*VLOOKUP('Données projet'!$B$16,Paramètres!$A$1:$I$89,3,0)*0.475*44/12</f>
        <v>1.2191399230974451</v>
      </c>
      <c r="FT54" s="22">
        <f t="shared" si="24"/>
        <v>35.96196948728695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10.001428571428571</v>
      </c>
      <c r="FZ54" s="12">
        <f>IF('Données projet'!$A$244&gt;35,FZ53+FY54-GH53,IF(A54&lt;'Données projet'!$A$244,$FW$205^A54,IF(A54='Données projet'!$A$244,'Données projet'!$B$244,FZ53+FY54-GH53)))</f>
        <v>168.0685714285714</v>
      </c>
      <c r="GA54" s="17">
        <f>FZ54*VLOOKUP('Données projet'!$B$17,Paramètres!$A$1:$I$89,3,0)*VLOOKUP('Données projet'!$B$17,Paramètres!$A$1:$I$89,5,0)</f>
        <v>144.20283428571429</v>
      </c>
      <c r="GB54" s="13">
        <f t="shared" si="49"/>
        <v>37.258152110221097</v>
      </c>
      <c r="GC54" s="20">
        <f t="shared" si="25"/>
        <v>316.04455130625411</v>
      </c>
      <c r="GD54" s="59">
        <f t="shared" si="26"/>
        <v>609.37788463958736</v>
      </c>
      <c r="GE54" s="59">
        <f ca="1">AVERAGE(OFFSET($GD$3,0,0,'Données projet'!$E$17+1,1))-AVERAGE(OFFSET($H$3,0,0,'Données projet'!$E$17+1,1))</f>
        <v>322.39807389980882</v>
      </c>
      <c r="GF54" s="59">
        <f t="shared" si="50"/>
        <v>202.59410055732792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34.133922541156849</v>
      </c>
      <c r="GN54" s="21">
        <f>EXP(-LN(2)/2)*GN53+(1-EXP(-LN(2)/2))/(LN(2)/2)*GH54*GK54*VLOOKUP('Données projet'!$B$17,Paramètres!$A$1:$I$89,3,0)*0.475*44/12</f>
        <v>0.97177819957042733</v>
      </c>
      <c r="GO54" s="21">
        <f t="shared" si="27"/>
        <v>35.105700740727279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19.063199999999984</v>
      </c>
      <c r="D55" s="11">
        <f t="shared" si="32"/>
        <v>6.2335159851544866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195.27289532399945</v>
      </c>
      <c r="H55" s="67">
        <f t="shared" si="1"/>
        <v>337.39178034081067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12.346666666666669</v>
      </c>
      <c r="N55" s="13">
        <f>IF('Données projet'!$A$36&gt;35,N54+M55-V54,IF(A55&lt;'Données projet'!$A$36,$K$205^A55,IF(A55='Données projet'!$A$36,'Données projet'!$B$36,N54+M55-V54)))</f>
        <v>239.35666666666651</v>
      </c>
      <c r="O55" s="13">
        <f>N55*VLOOKUP('Données projet'!$B$9,Paramètres!$A$1:$I$89,3,0)*VLOOKUP('Données projet'!$B$9,Paramètres!$A$1:$I$89,5,0)</f>
        <v>112.01891999999992</v>
      </c>
      <c r="P55" s="13">
        <f t="shared" si="33"/>
        <v>29.806153198145591</v>
      </c>
      <c r="Q55" s="20">
        <f t="shared" si="53"/>
        <v>247.01200248677006</v>
      </c>
      <c r="R55" s="59">
        <f t="shared" si="0"/>
        <v>540.3453358201034</v>
      </c>
      <c r="S55" s="59">
        <f ca="1">AVERAGE(OFFSET($R$3,0,0,'Données projet'!$E$9+1,1))-AVERAGE(OFFSET($H$3,0,0,'Données projet'!$E$9+1,1))</f>
        <v>215.77907571824977</v>
      </c>
      <c r="T55" s="59">
        <f t="shared" si="34"/>
        <v>174.69390149594869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8.5012788004833553</v>
      </c>
      <c r="AA55" s="21">
        <f>EXP(-LN(2)/25)*AA54+(1-EXP(-LN(2)/25))/(LN(2)/25)*Calculateur!V55*Calculateur!X55*VLOOKUP('Données projet'!$B$9,Paramètres!$A$1:$I$89,3,0)*0.475*44/12</f>
        <v>12.433467789431035</v>
      </c>
      <c r="AB55" s="21">
        <f>EXP(-LN(2)/2)*AB54+(1-EXP(-LN(2)/2))/(LN(2)/2)*V55*Y55*VLOOKUP('Données projet'!$B$9,Paramètres!$A$1:$I$89,3,0)*0.475*44/12</f>
        <v>14.462993784276923</v>
      </c>
      <c r="AC55" s="22">
        <f t="shared" si="3"/>
        <v>35.397740374191315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12.103750000000002</v>
      </c>
      <c r="AI55" s="13">
        <f>IF('Données projet'!$A$62&gt;35,AI54+AH55-AQ54,IF(A55&lt;'Données projet'!$A$62,$AF$205^A55,IF(A55='Données projet'!$A$62,'Données projet'!$B$62,AI54+AH55-AQ54)))</f>
        <v>292.90249999999986</v>
      </c>
      <c r="AJ55" s="13">
        <f>AI55*VLOOKUP('Données projet'!$B$10,Paramètres!$A$1:$I$89,3,0)*VLOOKUP('Données projet'!$B$10,Paramètres!$A$1:$I$89,5,0)</f>
        <v>175.15569499999995</v>
      </c>
      <c r="AK55" s="13">
        <f t="shared" si="35"/>
        <v>44.242712267059225</v>
      </c>
      <c r="AL55" s="20">
        <f t="shared" si="4"/>
        <v>382.11889265679474</v>
      </c>
      <c r="AM55" s="59">
        <f t="shared" si="5"/>
        <v>675.452225990128</v>
      </c>
      <c r="AN55" s="59">
        <f ca="1">AVERAGE(OFFSET($AM$3,0,0,'Données projet'!$E$10+1,1))-AVERAGE(OFFSET($H$3,0,0,'Données projet'!$E$10+1,1))</f>
        <v>171.701352621833</v>
      </c>
      <c r="AO55" s="59">
        <f t="shared" si="36"/>
        <v>195.58435749168586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23.505822715277105</v>
      </c>
      <c r="AV55" s="21">
        <f>EXP(-LN(2)/25)*AV54+(1-EXP(-LN(2)/25))/(LN(2)/25)*Calculateur!AQ55*Calculateur!AS55*VLOOKUP('Données projet'!$B$10,Paramètres!$A$1:$I$89,3,0)*0.475*44/12</f>
        <v>13.342259245025527</v>
      </c>
      <c r="AW55" s="21">
        <f>EXP(-LN(2)/2)*AW54+(1-EXP(-LN(2)/2))/(LN(2)/2)*AQ55*AT55*VLOOKUP('Données projet'!$B$10,Paramètres!$A$1:$I$89,3,0)*0.475*44/12</f>
        <v>1.1750862090045362</v>
      </c>
      <c r="AX55" s="21">
        <f t="shared" si="6"/>
        <v>38.023168169307169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19.8</v>
      </c>
      <c r="BD55" s="12">
        <f>IF('Données projet'!$A$88&gt;35,BD54+BC55-BL54,IF(A55&lt;'Données projet'!$A$88,$BA$205^A55,IF(A55='Données projet'!$A$88,'Données projet'!$B$88,BD54+BC55-BL54)))</f>
        <v>482.59999999999962</v>
      </c>
      <c r="BE55" s="13">
        <f>BD55*VLOOKUP('Données projet'!$B$11,Paramètres!$A$1:$I$89,3,0)*VLOOKUP('Données projet'!$B$11,Paramètres!$A$1:$I$89,5,0)</f>
        <v>250.95199999999983</v>
      </c>
      <c r="BF55" s="13">
        <f t="shared" si="37"/>
        <v>60.789752208206544</v>
      </c>
      <c r="BG55" s="20">
        <f t="shared" si="7"/>
        <v>542.9502184292927</v>
      </c>
      <c r="BH55" s="59">
        <f t="shared" si="8"/>
        <v>836.28355176262608</v>
      </c>
      <c r="BI55" s="59">
        <f ca="1">AVERAGE(OFFSET($BH$3,0,0,'Données projet'!$E$11+1,1))-AVERAGE(OFFSET($H$3,0,0,'Données projet'!$E$11+1,1))</f>
        <v>348.29124901999882</v>
      </c>
      <c r="BJ55" s="59">
        <f t="shared" si="38"/>
        <v>284.30034973939053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30.627351745478123</v>
      </c>
      <c r="BQ55" s="21">
        <f>EXP(-LN(2)/25)*BQ54+(1-EXP(-LN(2)/25))/(LN(2)/25)*Calculateur!BL55*Calculateur!BN55*VLOOKUP('Données projet'!$B$11,Paramètres!$A$1:$I$89,3,0)*0.475*44/12</f>
        <v>27.987001672191113</v>
      </c>
      <c r="BR55" s="21">
        <f>EXP(-LN(2)/2)*BR54+(1-EXP(-LN(2)/2))/(LN(2)/2)*BL55*BO55*VLOOKUP('Données projet'!$B$11,Paramètres!$A$1:$I$89,3,0)*0.475*44/12</f>
        <v>4.6417609791761949</v>
      </c>
      <c r="BS55" s="22">
        <f t="shared" si="9"/>
        <v>63.256114396845433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7.5706666666666669</v>
      </c>
      <c r="BY55" s="12">
        <f>IF('Données projet'!$A$114&gt;35,BY54+BX55-CG54,IF(A55&lt;'Données projet'!$A$114,$BV$205^A55,IF(A55='Données projet'!$A$114,'Données projet'!$B$114,BY54+BX55-CG54)))</f>
        <v>183.36466666666672</v>
      </c>
      <c r="BZ55" s="13">
        <f>BY55*VLOOKUP('Données projet'!$B$12,Paramètres!$A$1:$I$89,3,0)*VLOOKUP('Données projet'!$B$12,Paramètres!$A$1:$I$89,5,0)</f>
        <v>109.6520706666667</v>
      </c>
      <c r="CA55" s="13">
        <f t="shared" si="39"/>
        <v>29.24899459963985</v>
      </c>
      <c r="CB55" s="20">
        <f t="shared" si="10"/>
        <v>241.91935533881721</v>
      </c>
      <c r="CC55" s="59">
        <f t="shared" si="11"/>
        <v>535.2526886721505</v>
      </c>
      <c r="CD55" s="59">
        <f ca="1">AVERAGE(OFFSET($CC$3,0,0,'Données projet'!$E$12+1,1))-AVERAGE(OFFSET($H$3,0,0,'Données projet'!$E$12+1,1))</f>
        <v>185.82627135915504</v>
      </c>
      <c r="CE55" s="59">
        <f t="shared" si="40"/>
        <v>155.46126452522037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5.7678509224051799</v>
      </c>
      <c r="CL55" s="21">
        <f>EXP(-LN(2)/25)*CL54+(1-EXP(-LN(2)/25))/(LN(2)/25)*Calculateur!CG55*Calculateur!CI55*VLOOKUP('Données projet'!$B$12,Paramètres!$A$1:$I$89,3,0)*0.475*44/12</f>
        <v>8.0441467441486907</v>
      </c>
      <c r="CM55" s="21">
        <f>EXP(-LN(2)/2)*CM54+(1-EXP(-LN(2)/2))/(LN(2)/2)*CG55*CJ55*VLOOKUP('Données projet'!$B$12,Paramètres!$A$1:$I$89,3,0)*0.475*44/12</f>
        <v>1.6883142970598253</v>
      </c>
      <c r="CN55" s="22">
        <f t="shared" si="12"/>
        <v>15.500311963613697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1.9846153846153853</v>
      </c>
      <c r="CT55" s="12">
        <f>IF('Données projet'!$A$140&gt;35,CT54+CS55-DB54,IF(A55&lt;'Données projet'!$A$140,$CQ$205^A55,IF(A55='Données projet'!$A$140,'Données projet'!$B$140,CT54+CS55-DB54)))</f>
        <v>80.584615384615404</v>
      </c>
      <c r="CU55" s="17">
        <f>CT55*VLOOKUP('Données projet'!$B$13,Paramètres!$A$1:$I$89,3,0)*VLOOKUP('Données projet'!$B$13,Paramètres!$A$1:$I$89,5,0)</f>
        <v>92.833476923076944</v>
      </c>
      <c r="CV55" s="13">
        <f t="shared" si="41"/>
        <v>25.247353685517716</v>
      </c>
      <c r="CW55" s="20">
        <f t="shared" si="13"/>
        <v>205.65744664330236</v>
      </c>
      <c r="CX55" s="59">
        <f t="shared" si="14"/>
        <v>498.99077997663568</v>
      </c>
      <c r="CY55" s="59">
        <f ca="1">AVERAGE(OFFSET($CX$3,0,0,'Données projet'!$E$13+1,1))-AVERAGE(OFFSET($H$3,0,0,'Données projet'!$E$13+1,1))</f>
        <v>150.78964413039063</v>
      </c>
      <c r="CZ55" s="59">
        <f t="shared" si="42"/>
        <v>131.90332435966184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3.4983751328820163</v>
      </c>
      <c r="DG55" s="21">
        <f>EXP(-LN(2)/25)*DG54+(1-EXP(-LN(2)/25))/(LN(2)/25)*Calculateur!DB55*Calculateur!DD55*VLOOKUP('Données projet'!$B$13,Paramètres!$A$1:$I$89,3,0)*0.475*44/12</f>
        <v>3.1174185033358861</v>
      </c>
      <c r="DH55" s="21">
        <f>EXP(-LN(2)/2)*DH54+(1-EXP(-LN(2)/2))/(LN(2)/2)*DB55*DE55*VLOOKUP('Données projet'!$B$13,Paramètres!$A$1:$I$89,3,0)*0.475*44/12</f>
        <v>0.86866997223587361</v>
      </c>
      <c r="DI55" s="22">
        <f t="shared" si="15"/>
        <v>7.4844636084537761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2.5641025641025634</v>
      </c>
      <c r="DO55" s="12">
        <f>IF('Données projet'!$A$166&gt;35,DO54+DN55-DW54,IF(A55&lt;'Données projet'!$A$166,$DL$205^A55,IF(A55='Données projet'!$A$166,'Données projet'!$B$166,DO54+DN55-DW54)))</f>
        <v>77.564102564102598</v>
      </c>
      <c r="DP55" s="17">
        <f>DO55*VLOOKUP('Données projet'!$B$14,Paramètres!$A$1:$I$89,3,0)*VLOOKUP('Données projet'!$B$14,Paramètres!$A$1:$I$89,5,0)</f>
        <v>81.07000000000005</v>
      </c>
      <c r="DQ55" s="13">
        <f t="shared" si="43"/>
        <v>22.398602045804743</v>
      </c>
      <c r="DR55" s="20">
        <f t="shared" si="16"/>
        <v>180.20781522977668</v>
      </c>
      <c r="DS55" s="59">
        <f t="shared" si="17"/>
        <v>473.54114856311003</v>
      </c>
      <c r="DT55" s="59">
        <f ca="1">AVERAGE(OFFSET($DS$3,0,0,'Données projet'!$E$14+1,1))-AVERAGE(OFFSET($H$3,0,0,'Données projet'!$E$14+1,1))</f>
        <v>110.10595934547638</v>
      </c>
      <c r="DU55" s="59">
        <f t="shared" si="44"/>
        <v>131.10971921141493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9.1322803120398479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9.1322803120398479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3.3603333333333336</v>
      </c>
      <c r="EJ55" s="12">
        <f>IF('Données projet'!$A$192&gt;35,EJ54+EI55-ER54,IF(A55&lt;'Données projet'!$A$192,$EG$205^A55,IF(A55='Données projet'!$A$192,'Données projet'!$B$192,EJ54+EI55-ER54)))</f>
        <v>174.73733333333325</v>
      </c>
      <c r="EK55" s="17">
        <f>EJ55*VLOOKUP('Données projet'!$B$15,Paramètres!$A$1:$I$89,3,0)*VLOOKUP('Données projet'!$B$15,Paramètres!$A$1:$I$89,5,0)</f>
        <v>177.18365599999993</v>
      </c>
      <c r="EL55" s="13">
        <f t="shared" si="45"/>
        <v>44.695027585438865</v>
      </c>
      <c r="EM55" s="20">
        <f t="shared" si="19"/>
        <v>386.43870724463926</v>
      </c>
      <c r="EN55" s="59">
        <f t="shared" si="20"/>
        <v>679.77204057797258</v>
      </c>
      <c r="EO55" s="59">
        <f ca="1">AVERAGE(OFFSET($EN$3,0,0,'Données projet'!$E$15+1,1))-AVERAGE(OFFSET($H$3,0,0,'Données projet'!$E$15+1,1))</f>
        <v>420.38735944595965</v>
      </c>
      <c r="EP55" s="59">
        <f t="shared" si="46"/>
        <v>200.0823542414671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>
        <f>VLOOKUP(A55,'Données projet'!$A$217:$I$237,2,0)</f>
        <v>178.07</v>
      </c>
      <c r="FC55" s="12">
        <f>VLOOKUP(A55,'Données projet'!$A$217:$I$237,9,0)</f>
        <v>10.001428571428571</v>
      </c>
      <c r="FD55" s="12">
        <f t="array" ref="FD55">INDEX(FC:FC,MIN(IF(ISNUMBER(FC55:FC251),ROW(FC55:FC251),"")))</f>
        <v>10.001428571428571</v>
      </c>
      <c r="FE55" s="12">
        <f>IF('Données projet'!$A$218&gt;35,FE54+FD55-FM54,IF(A55&lt;'Données projet'!$A$218,$FB$205^A55,IF(A55='Données projet'!$A$218,'Données projet'!$B$218,FE54+FD55-FM54)))</f>
        <v>178.06999999999996</v>
      </c>
      <c r="FF55" s="17">
        <f>FE55*VLOOKUP('Données projet'!$B$16,Paramètres!$A$1:$I$89,3,0)*VLOOKUP('Données projet'!$B$16,Paramètres!$A$1:$I$89,5,0)</f>
        <v>191.67454799999996</v>
      </c>
      <c r="FG55" s="13">
        <f t="shared" si="47"/>
        <v>47.909982358169465</v>
      </c>
      <c r="FH55" s="20">
        <f t="shared" si="22"/>
        <v>417.27639037381169</v>
      </c>
      <c r="FI55" s="59">
        <f t="shared" si="23"/>
        <v>710.60972370714501</v>
      </c>
      <c r="FJ55" s="59">
        <f ca="1">AVERAGE(OFFSET($FI$3,0,0,'Données projet'!$E$16+1,1))-AVERAGE(OFFSET($H$3,0,0,'Données projet'!$E$16+1,1))</f>
        <v>415.8741608506952</v>
      </c>
      <c r="FK55" s="59">
        <f t="shared" si="48"/>
        <v>259.15848913719356</v>
      </c>
      <c r="FL55" s="15">
        <f>IF(ISNA(VLOOKUP(A55,'Données projet'!$A$217:$I$237,3,0)),0,VLOOKUP(A55,'Données projet'!$A$217:$I$237,3,0))</f>
        <v>3</v>
      </c>
      <c r="FM55" s="15">
        <f>IF(ISNA(VLOOKUP(A55,'Données projet'!$A$217:$I$237,4,0)),0,VLOOKUP(A55,'Données projet'!$A$217:$I$237,4,0))</f>
        <v>44.400000000000006</v>
      </c>
      <c r="FN55" s="16">
        <f>IF(ISNA(VLOOKUP(A55,'Données projet'!$A$217:$I$237,5,0)),0%,VLOOKUP(A55,'Données projet'!$A$217:$I$237,5,0)*VLOOKUP('Données projet'!$B$16,Paramètres!$A$1:$I$89,7,0))</f>
        <v>0.15049999999999999</v>
      </c>
      <c r="FO55" s="16">
        <f>IF(ISNA(VLOOKUP(A55,'Données projet'!$A$217:$I$237,6,0)),0%,VLOOKUP(A55,'Données projet'!$A$217:$I$237,6,0)*VLOOKUP('Données projet'!$B$16,Paramètres!$A$1:$I$89,7,0))</f>
        <v>8.6000000000000007E-2</v>
      </c>
      <c r="FP55" s="16">
        <f>IF(ISNA(VLOOKUP(A55,'Données projet'!$A$217:$I$237,7,0)),0%,VLOOKUP(A55,'Données projet'!$A$217:$I$237,7,0))</f>
        <v>0.1</v>
      </c>
      <c r="FQ55" s="21">
        <f>EXP(-LN(2)/35)*FQ54+(1-EXP(-LN(2)/35))/(LN(2)/35)*FM55*FN55*VLOOKUP('Données projet'!$B$16,Paramètres!$A$1:$I$89,3,0)*0.475*44/12</f>
        <v>7.9513389967118711</v>
      </c>
      <c r="FR55" s="21">
        <f>EXP(-LN(2)/25)*FR54+(1-EXP(-LN(2)/25))/(LN(2)/25)*Calculateur!FM55*Calculateur!FO55*VLOOKUP('Données projet'!$B$16,Paramètres!$A$1:$I$89,3,0)*0.475*44/12</f>
        <v>38.318517374358819</v>
      </c>
      <c r="FS55" s="21">
        <f>EXP(-LN(2)/2)*FS54+(1-EXP(-LN(2)/2))/(LN(2)/2)*FM55*FP55*VLOOKUP('Données projet'!$B$16,Paramètres!$A$1:$I$89,3,0)*0.475*44/12</f>
        <v>5.3713810335501559</v>
      </c>
      <c r="FT55" s="22">
        <f t="shared" si="24"/>
        <v>51.641237404620846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>
        <f>VLOOKUP(A55,'Données projet'!$A$243:$I$263,2,0)</f>
        <v>178.07</v>
      </c>
      <c r="FX55" s="12">
        <f>VLOOKUP(A55,'Données projet'!$A$243:$I$263,9,0)</f>
        <v>10.001428571428571</v>
      </c>
      <c r="FY55" s="12">
        <f t="array" ref="FY55">INDEX(FX:FX,MIN(IF(ISNUMBER(FX55:FX251),ROW(FX55:FX251),"")))</f>
        <v>10.001428571428571</v>
      </c>
      <c r="FZ55" s="12">
        <f>IF('Données projet'!$A$244&gt;35,FZ54+FY55-GH54,IF(A55&lt;'Données projet'!$A$244,$FW$205^A55,IF(A55='Données projet'!$A$244,'Données projet'!$B$244,FZ54+FY55-GH54)))</f>
        <v>178.06999999999996</v>
      </c>
      <c r="GA55" s="17">
        <f>FZ55*VLOOKUP('Données projet'!$B$17,Paramètres!$A$1:$I$89,3,0)*VLOOKUP('Données projet'!$B$17,Paramètres!$A$1:$I$89,5,0)</f>
        <v>152.78405999999998</v>
      </c>
      <c r="GB55" s="13">
        <f t="shared" si="49"/>
        <v>39.210594481880371</v>
      </c>
      <c r="GC55" s="20">
        <f t="shared" si="25"/>
        <v>334.39068988927494</v>
      </c>
      <c r="GD55" s="59">
        <f t="shared" si="26"/>
        <v>627.72402322260825</v>
      </c>
      <c r="GE55" s="59">
        <f ca="1">AVERAGE(OFFSET($GD$3,0,0,'Données projet'!$E$17+1,1))-AVERAGE(OFFSET($H$3,0,0,'Données projet'!$E$17+1,1))</f>
        <v>322.39807389980882</v>
      </c>
      <c r="GF55" s="59">
        <f t="shared" si="50"/>
        <v>202.59410055732792</v>
      </c>
      <c r="GG55" s="15">
        <f>IF(ISNA(VLOOKUP(A55,'Données projet'!$A$243:$I$263,3,0)),0,VLOOKUP(A55,'Données projet'!$A$243:$I$263,3,0))</f>
        <v>3</v>
      </c>
      <c r="GH55" s="15">
        <f>IF(ISNA(VLOOKUP(A55,'Données projet'!$A$243:$I$263,4,0)),0,VLOOKUP(A55,'Données projet'!$A$243:$I$263,4,0))</f>
        <v>44.400000000000006</v>
      </c>
      <c r="GI55" s="16">
        <f>IF(ISNA(VLOOKUP(A55,'Données projet'!$A$243:$I$263,5,0)),0%,VLOOKUP(A55,'Données projet'!$A$243:$I$263,5,0)*VLOOKUP('Données projet'!$B$17,Paramètres!$A$1:$I$89,7,0))</f>
        <v>0.1855</v>
      </c>
      <c r="GJ55" s="16">
        <f>IF(ISNA(VLOOKUP(A55,'Données projet'!$A$243:$I$263,6,0)),0%,VLOOKUP(A55,'Données projet'!$A$243:$I$263,6,0)*VLOOKUP('Données projet'!$B$17,Paramètres!$A$1:$I$89,7,0))</f>
        <v>0.10600000000000001</v>
      </c>
      <c r="GK55" s="16">
        <f>IF(ISNA(VLOOKUP(A55,'Données projet'!$A$243:$I$263,7,0)),0%,VLOOKUP(A55,'Données projet'!$A$243:$I$263,7,0))</f>
        <v>0.1</v>
      </c>
      <c r="GL55" s="21">
        <f>EXP(-LN(2)/35)*GL54+(1-EXP(-LN(2)/35))/(LN(2)/35)*GH55*GI55*VLOOKUP('Données projet'!$B$17,Paramètres!$A$1:$I$89,3,0)*0.475*44/12</f>
        <v>7.8119828700421676</v>
      </c>
      <c r="GM55" s="21">
        <f>EXP(-LN(2)/25)*GM54+(1-EXP(-LN(2)/25))/(LN(2)/25)*Calculateur!GH55*Calculateur!GJ55*VLOOKUP('Données projet'!$B$17,Paramètres!$A$1:$I$89,3,0)*0.475*44/12</f>
        <v>37.646942415320503</v>
      </c>
      <c r="GN55" s="21">
        <f>EXP(-LN(2)/2)*GN54+(1-EXP(-LN(2)/2))/(LN(2)/2)*GH55*GK55*VLOOKUP('Données projet'!$B$17,Paramètres!$A$1:$I$89,3,0)*0.475*44/12</f>
        <v>4.2815356064530228</v>
      </c>
      <c r="GO55" s="21">
        <f t="shared" si="27"/>
        <v>49.740460891815687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19.429799999999982</v>
      </c>
      <c r="D56" s="11">
        <f t="shared" si="32"/>
        <v>6.3393200956862357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198.91952354564799</v>
      </c>
      <c r="H56" s="67">
        <f t="shared" si="1"/>
        <v>338.21455083332012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12.346666666666669</v>
      </c>
      <c r="N56" s="13">
        <f>IF('Données projet'!$A$36&gt;35,N55+M56-V55,IF(A56&lt;'Données projet'!$A$36,$K$205^A56,IF(A56='Données projet'!$A$36,'Données projet'!$B$36,N55+M56-V55)))</f>
        <v>251.70333333333318</v>
      </c>
      <c r="O56" s="13">
        <f>N56*VLOOKUP('Données projet'!$B$9,Paramètres!$A$1:$I$89,3,0)*VLOOKUP('Données projet'!$B$9,Paramètres!$A$1:$I$89,5,0)</f>
        <v>117.79715999999992</v>
      </c>
      <c r="P56" s="13">
        <f t="shared" si="33"/>
        <v>31.16067034535946</v>
      </c>
      <c r="Q56" s="20">
        <f t="shared" si="53"/>
        <v>259.43488785150095</v>
      </c>
      <c r="R56" s="59">
        <f t="shared" si="0"/>
        <v>552.76822118483426</v>
      </c>
      <c r="S56" s="59">
        <f ca="1">AVERAGE(OFFSET($R$3,0,0,'Données projet'!$E$9+1,1))-AVERAGE(OFFSET($H$3,0,0,'Données projet'!$E$9+1,1))</f>
        <v>215.77907571824977</v>
      </c>
      <c r="T56" s="59">
        <f t="shared" si="34"/>
        <v>174.69390149594869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8.3345739084739421</v>
      </c>
      <c r="AA56" s="21">
        <f>EXP(-LN(2)/25)*AA55+(1-EXP(-LN(2)/25))/(LN(2)/25)*Calculateur!V56*Calculateur!X56*VLOOKUP('Données projet'!$B$9,Paramètres!$A$1:$I$89,3,0)*0.475*44/12</f>
        <v>12.09347395888139</v>
      </c>
      <c r="AB56" s="21">
        <f>EXP(-LN(2)/2)*AB55+(1-EXP(-LN(2)/2))/(LN(2)/2)*V56*Y56*VLOOKUP('Données projet'!$B$9,Paramètres!$A$1:$I$89,3,0)*0.475*44/12</f>
        <v>10.2268809811211</v>
      </c>
      <c r="AC56" s="22">
        <f t="shared" si="3"/>
        <v>30.65492884847643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12.103750000000002</v>
      </c>
      <c r="AI56" s="13">
        <f>IF('Données projet'!$A$62&gt;35,AI55+AH56-AQ55,IF(A56&lt;'Données projet'!$A$62,$AF$205^A56,IF(A56='Données projet'!$A$62,'Données projet'!$B$62,AI55+AH56-AQ55)))</f>
        <v>305.00624999999985</v>
      </c>
      <c r="AJ56" s="13">
        <f>AI56*VLOOKUP('Données projet'!$B$10,Paramètres!$A$1:$I$89,3,0)*VLOOKUP('Données projet'!$B$10,Paramètres!$A$1:$I$89,5,0)</f>
        <v>182.39373749999993</v>
      </c>
      <c r="AK56" s="13">
        <f t="shared" si="35"/>
        <v>45.854338493820315</v>
      </c>
      <c r="AL56" s="20">
        <f t="shared" si="4"/>
        <v>397.53206568923684</v>
      </c>
      <c r="AM56" s="59">
        <f t="shared" si="5"/>
        <v>690.86539902257016</v>
      </c>
      <c r="AN56" s="59">
        <f ca="1">AVERAGE(OFFSET($AM$3,0,0,'Données projet'!$E$10+1,1))-AVERAGE(OFFSET($H$3,0,0,'Données projet'!$E$10+1,1))</f>
        <v>171.701352621833</v>
      </c>
      <c r="AO56" s="59">
        <f t="shared" si="36"/>
        <v>195.58435749168586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23.044887868966704</v>
      </c>
      <c r="AV56" s="21">
        <f>EXP(-LN(2)/25)*AV55+(1-EXP(-LN(2)/25))/(LN(2)/25)*Calculateur!AQ56*Calculateur!AS56*VLOOKUP('Données projet'!$B$10,Paramètres!$A$1:$I$89,3,0)*0.475*44/12</f>
        <v>12.977414464331385</v>
      </c>
      <c r="AW56" s="21">
        <f>EXP(-LN(2)/2)*AW55+(1-EXP(-LN(2)/2))/(LN(2)/2)*AQ56*AT56*VLOOKUP('Données projet'!$B$10,Paramètres!$A$1:$I$89,3,0)*0.475*44/12</f>
        <v>0.83091142686590025</v>
      </c>
      <c r="AX56" s="21">
        <f t="shared" si="6"/>
        <v>36.853213760163989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19.8</v>
      </c>
      <c r="BD56" s="12">
        <f>IF('Données projet'!$A$88&gt;35,BD55+BC56-BL55,IF(A56&lt;'Données projet'!$A$88,$BA$205^A56,IF(A56='Données projet'!$A$88,'Données projet'!$B$88,BD55+BC56-BL55)))</f>
        <v>502.39999999999964</v>
      </c>
      <c r="BE56" s="13">
        <f>BD56*VLOOKUP('Données projet'!$B$11,Paramètres!$A$1:$I$89,3,0)*VLOOKUP('Données projet'!$B$11,Paramètres!$A$1:$I$89,5,0)</f>
        <v>261.24799999999982</v>
      </c>
      <c r="BF56" s="13">
        <f t="shared" si="37"/>
        <v>62.988326939519062</v>
      </c>
      <c r="BG56" s="20">
        <f t="shared" si="7"/>
        <v>564.71160275299542</v>
      </c>
      <c r="BH56" s="59">
        <f t="shared" si="8"/>
        <v>858.04493608632879</v>
      </c>
      <c r="BI56" s="59">
        <f ca="1">AVERAGE(OFFSET($BH$3,0,0,'Données projet'!$E$11+1,1))-AVERAGE(OFFSET($H$3,0,0,'Données projet'!$E$11+1,1))</f>
        <v>348.29124901999882</v>
      </c>
      <c r="BJ56" s="59">
        <f t="shared" si="38"/>
        <v>284.30034973939053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30.026768058589283</v>
      </c>
      <c r="BQ56" s="21">
        <f>EXP(-LN(2)/25)*BQ55+(1-EXP(-LN(2)/25))/(LN(2)/25)*Calculateur!BL56*Calculateur!BN56*VLOOKUP('Données projet'!$B$11,Paramètres!$A$1:$I$89,3,0)*0.475*44/12</f>
        <v>27.221695639692594</v>
      </c>
      <c r="BR56" s="21">
        <f>EXP(-LN(2)/2)*BR55+(1-EXP(-LN(2)/2))/(LN(2)/2)*BL56*BO56*VLOOKUP('Données projet'!$B$11,Paramètres!$A$1:$I$89,3,0)*0.475*44/12</f>
        <v>3.2822206650225962</v>
      </c>
      <c r="BS56" s="22">
        <f t="shared" si="9"/>
        <v>60.530684363304481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7.5706666666666669</v>
      </c>
      <c r="BY56" s="12">
        <f>IF('Données projet'!$A$114&gt;35,BY55+BX56-CG55,IF(A56&lt;'Données projet'!$A$114,$BV$205^A56,IF(A56='Données projet'!$A$114,'Données projet'!$B$114,BY55+BX56-CG55)))</f>
        <v>190.93533333333338</v>
      </c>
      <c r="BZ56" s="13">
        <f>BY56*VLOOKUP('Données projet'!$B$12,Paramètres!$A$1:$I$89,3,0)*VLOOKUP('Données projet'!$B$12,Paramètres!$A$1:$I$89,5,0)</f>
        <v>114.17932933333337</v>
      </c>
      <c r="CA56" s="13">
        <f t="shared" si="39"/>
        <v>30.313519967328741</v>
      </c>
      <c r="CB56" s="20">
        <f t="shared" si="10"/>
        <v>251.65837919865317</v>
      </c>
      <c r="CC56" s="59">
        <f t="shared" si="11"/>
        <v>544.99171253198642</v>
      </c>
      <c r="CD56" s="59">
        <f ca="1">AVERAGE(OFFSET($CC$3,0,0,'Données projet'!$E$12+1,1))-AVERAGE(OFFSET($H$3,0,0,'Données projet'!$E$12+1,1))</f>
        <v>185.82627135915504</v>
      </c>
      <c r="CE56" s="59">
        <f t="shared" si="40"/>
        <v>155.46126452522037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5.6547468838584996</v>
      </c>
      <c r="CL56" s="21">
        <f>EXP(-LN(2)/25)*CL55+(1-EXP(-LN(2)/25))/(LN(2)/25)*Calculateur!CG56*Calculateur!CI56*VLOOKUP('Données projet'!$B$12,Paramètres!$A$1:$I$89,3,0)*0.475*44/12</f>
        <v>7.8241791284066524</v>
      </c>
      <c r="CM56" s="21">
        <f>EXP(-LN(2)/2)*CM55+(1-EXP(-LN(2)/2))/(LN(2)/2)*CG56*CJ56*VLOOKUP('Données projet'!$B$12,Paramètres!$A$1:$I$89,3,0)*0.475*44/12</f>
        <v>1.1938184882252016</v>
      </c>
      <c r="CN56" s="22">
        <f t="shared" si="12"/>
        <v>14.672744500490353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1.9846153846153853</v>
      </c>
      <c r="CT56" s="12">
        <f>IF('Données projet'!$A$140&gt;35,CT55+CS56-DB55,IF(A56&lt;'Données projet'!$A$140,$CQ$205^A56,IF(A56='Données projet'!$A$140,'Données projet'!$B$140,CT55+CS56-DB55)))</f>
        <v>82.569230769230785</v>
      </c>
      <c r="CU56" s="17">
        <f>CT56*VLOOKUP('Données projet'!$B$13,Paramètres!$A$1:$I$89,3,0)*VLOOKUP('Données projet'!$B$13,Paramètres!$A$1:$I$89,5,0)</f>
        <v>95.11975384615387</v>
      </c>
      <c r="CV56" s="13">
        <f t="shared" si="41"/>
        <v>25.795982346579752</v>
      </c>
      <c r="CW56" s="20">
        <f t="shared" si="13"/>
        <v>210.59490720234439</v>
      </c>
      <c r="CX56" s="59">
        <f t="shared" si="14"/>
        <v>503.92824053567767</v>
      </c>
      <c r="CY56" s="59">
        <f ca="1">AVERAGE(OFFSET($CX$3,0,0,'Données projet'!$E$13+1,1))-AVERAGE(OFFSET($H$3,0,0,'Données projet'!$E$13+1,1))</f>
        <v>150.78964413039063</v>
      </c>
      <c r="CZ56" s="59">
        <f t="shared" si="42"/>
        <v>131.90332435966184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3.4297741303243359</v>
      </c>
      <c r="DG56" s="21">
        <f>EXP(-LN(2)/25)*DG55+(1-EXP(-LN(2)/25))/(LN(2)/25)*Calculateur!DB56*Calculateur!DD56*VLOOKUP('Données projet'!$B$13,Paramètres!$A$1:$I$89,3,0)*0.475*44/12</f>
        <v>3.0321725304242522</v>
      </c>
      <c r="DH56" s="21">
        <f>EXP(-LN(2)/2)*DH55+(1-EXP(-LN(2)/2))/(LN(2)/2)*DB56*DE56*VLOOKUP('Données projet'!$B$13,Paramètres!$A$1:$I$89,3,0)*0.475*44/12</f>
        <v>0.61424242798111628</v>
      </c>
      <c r="DI56" s="22">
        <f t="shared" si="15"/>
        <v>7.0761890887297039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2.5641025641025634</v>
      </c>
      <c r="DO56" s="12">
        <f>IF('Données projet'!$A$166&gt;35,DO55+DN56-DW55,IF(A56&lt;'Données projet'!$A$166,$DL$205^A56,IF(A56='Données projet'!$A$166,'Données projet'!$B$166,DO55+DN56-DW55)))</f>
        <v>80.128205128205167</v>
      </c>
      <c r="DP56" s="17">
        <f>DO56*VLOOKUP('Données projet'!$B$14,Paramètres!$A$1:$I$89,3,0)*VLOOKUP('Données projet'!$B$14,Paramètres!$A$1:$I$89,5,0)</f>
        <v>83.750000000000057</v>
      </c>
      <c r="DQ56" s="13">
        <f t="shared" si="43"/>
        <v>23.051619803287583</v>
      </c>
      <c r="DR56" s="20">
        <f t="shared" si="16"/>
        <v>186.01282115739264</v>
      </c>
      <c r="DS56" s="59">
        <f t="shared" si="17"/>
        <v>479.34615449072595</v>
      </c>
      <c r="DT56" s="59">
        <f ca="1">AVERAGE(OFFSET($DS$3,0,0,'Données projet'!$E$14+1,1))-AVERAGE(OFFSET($H$3,0,0,'Données projet'!$E$14+1,1))</f>
        <v>110.10595934547638</v>
      </c>
      <c r="DU56" s="59">
        <f t="shared" si="44"/>
        <v>131.10971921141493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8.8825576266613684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8.8825576266613684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3.3603333333333336</v>
      </c>
      <c r="EJ56" s="12">
        <f>IF('Données projet'!$A$192&gt;35,EJ55+EI56-ER55,IF(A56&lt;'Données projet'!$A$192,$EG$205^A56,IF(A56='Données projet'!$A$192,'Données projet'!$B$192,EJ55+EI56-ER55)))</f>
        <v>178.09766666666658</v>
      </c>
      <c r="EK56" s="17">
        <f>EJ56*VLOOKUP('Données projet'!$B$15,Paramètres!$A$1:$I$89,3,0)*VLOOKUP('Données projet'!$B$15,Paramètres!$A$1:$I$89,5,0)</f>
        <v>180.59103399999992</v>
      </c>
      <c r="EL56" s="13">
        <f t="shared" si="45"/>
        <v>45.453655244392749</v>
      </c>
      <c r="EM56" s="20">
        <f t="shared" si="19"/>
        <v>393.69450043398388</v>
      </c>
      <c r="EN56" s="59">
        <f t="shared" si="20"/>
        <v>687.02783376731713</v>
      </c>
      <c r="EO56" s="59">
        <f ca="1">AVERAGE(OFFSET($EN$3,0,0,'Données projet'!$E$15+1,1))-AVERAGE(OFFSET($H$3,0,0,'Données projet'!$E$15+1,1))</f>
        <v>420.38735944595965</v>
      </c>
      <c r="EP56" s="59">
        <f t="shared" si="46"/>
        <v>200.0823542414671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9.8828571428571443</v>
      </c>
      <c r="FE56" s="12">
        <f>IF('Données projet'!$A$218&gt;35,FE55+FD56-FM55,IF(A56&lt;'Données projet'!$A$218,$FB$205^A56,IF(A56='Données projet'!$A$218,'Données projet'!$B$218,FE55+FD56-FM55)))</f>
        <v>143.55285714285711</v>
      </c>
      <c r="FF56" s="17">
        <f>FE56*VLOOKUP('Données projet'!$B$16,Paramètres!$A$1:$I$89,3,0)*VLOOKUP('Données projet'!$B$16,Paramètres!$A$1:$I$89,5,0)</f>
        <v>154.52029542857136</v>
      </c>
      <c r="FG56" s="13">
        <f t="shared" si="47"/>
        <v>39.604057192238628</v>
      </c>
      <c r="FH56" s="20">
        <f t="shared" si="22"/>
        <v>338.09991414791068</v>
      </c>
      <c r="FI56" s="59">
        <f t="shared" si="23"/>
        <v>631.43324748124405</v>
      </c>
      <c r="FJ56" s="59">
        <f ca="1">AVERAGE(OFFSET($FI$3,0,0,'Données projet'!$E$16+1,1))-AVERAGE(OFFSET($H$3,0,0,'Données projet'!$E$16+1,1))</f>
        <v>415.8741608506952</v>
      </c>
      <c r="FK56" s="59">
        <f t="shared" si="48"/>
        <v>259.15848913719356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7.7954180888242579</v>
      </c>
      <c r="FR56" s="21">
        <f>EXP(-LN(2)/25)*FR55+(1-EXP(-LN(2)/25))/(LN(2)/25)*Calculateur!FM56*Calculateur!FO56*VLOOKUP('Données projet'!$B$16,Paramètres!$A$1:$I$89,3,0)*0.475*44/12</f>
        <v>37.270695501673728</v>
      </c>
      <c r="FS56" s="21">
        <f>EXP(-LN(2)/2)*FS55+(1-EXP(-LN(2)/2))/(LN(2)/2)*FM56*FP56*VLOOKUP('Données projet'!$B$16,Paramètres!$A$1:$I$89,3,0)*0.475*44/12</f>
        <v>3.7981399531601219</v>
      </c>
      <c r="FT56" s="22">
        <f t="shared" si="24"/>
        <v>48.864253543658108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9.8828571428571443</v>
      </c>
      <c r="FZ56" s="12">
        <f>IF('Données projet'!$A$244&gt;35,FZ55+FY56-GH55,IF(A56&lt;'Données projet'!$A$244,$FW$205^A56,IF(A56='Données projet'!$A$244,'Données projet'!$B$244,FZ55+FY56-GH55)))</f>
        <v>143.55285714285711</v>
      </c>
      <c r="GA56" s="17">
        <f>FZ56*VLOOKUP('Données projet'!$B$17,Paramètres!$A$1:$I$89,3,0)*VLOOKUP('Données projet'!$B$17,Paramètres!$A$1:$I$89,5,0)</f>
        <v>123.1683514285714</v>
      </c>
      <c r="GB56" s="13">
        <f t="shared" si="49"/>
        <v>32.412840705988543</v>
      </c>
      <c r="GC56" s="20">
        <f t="shared" si="25"/>
        <v>270.97057630102523</v>
      </c>
      <c r="GD56" s="59">
        <f t="shared" si="26"/>
        <v>564.30390963435855</v>
      </c>
      <c r="GE56" s="59">
        <f ca="1">AVERAGE(OFFSET($GD$3,0,0,'Données projet'!$E$17+1,1))-AVERAGE(OFFSET($H$3,0,0,'Données projet'!$E$17+1,1))</f>
        <v>322.39807389980882</v>
      </c>
      <c r="GF56" s="59">
        <f t="shared" si="50"/>
        <v>202.59410055732792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7.6587946507997025</v>
      </c>
      <c r="GM56" s="21">
        <f>EXP(-LN(2)/25)*GM55+(1-EXP(-LN(2)/25))/(LN(2)/25)*Calculateur!GH56*Calculateur!GJ56*VLOOKUP('Données projet'!$B$17,Paramètres!$A$1:$I$89,3,0)*0.475*44/12</f>
        <v>36.617484795206906</v>
      </c>
      <c r="GN56" s="21">
        <f>EXP(-LN(2)/2)*GN55+(1-EXP(-LN(2)/2))/(LN(2)/2)*GH56*GK56*VLOOKUP('Données projet'!$B$17,Paramètres!$A$1:$I$89,3,0)*0.475*44/12</f>
        <v>3.02750286121459</v>
      </c>
      <c r="GO56" s="21">
        <f t="shared" si="27"/>
        <v>47.303782307221205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19.796399999999981</v>
      </c>
      <c r="D57" s="11">
        <f t="shared" si="32"/>
        <v>6.4448920768574398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202.56435989153098</v>
      </c>
      <c r="H57" s="67">
        <f t="shared" si="1"/>
        <v>339.03691703385999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12.346666666666669</v>
      </c>
      <c r="N57" s="13">
        <f>IF('Données projet'!$A$36&gt;35,N56+M57-V56,IF(A57&lt;'Données projet'!$A$36,$K$205^A57,IF(A57='Données projet'!$A$36,'Données projet'!$B$36,N56+M57-V56)))</f>
        <v>264.04999999999984</v>
      </c>
      <c r="O57" s="13">
        <f>N57*VLOOKUP('Données projet'!$B$9,Paramètres!$A$1:$I$89,3,0)*VLOOKUP('Données projet'!$B$9,Paramètres!$A$1:$I$89,5,0)</f>
        <v>123.57539999999992</v>
      </c>
      <c r="P57" s="13">
        <f t="shared" si="33"/>
        <v>32.507472368650312</v>
      </c>
      <c r="Q57" s="20">
        <f t="shared" si="53"/>
        <v>271.84433604206578</v>
      </c>
      <c r="R57" s="59">
        <f t="shared" si="0"/>
        <v>565.17766937539909</v>
      </c>
      <c r="S57" s="59">
        <f ca="1">AVERAGE(OFFSET($R$3,0,0,'Données projet'!$E$9+1,1))-AVERAGE(OFFSET($H$3,0,0,'Données projet'!$E$9+1,1))</f>
        <v>215.77907571824977</v>
      </c>
      <c r="T57" s="59">
        <f t="shared" si="34"/>
        <v>174.69390149594869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8.1711379977168903</v>
      </c>
      <c r="AA57" s="21">
        <f>EXP(-LN(2)/25)*AA56+(1-EXP(-LN(2)/25))/(LN(2)/25)*Calculateur!V57*Calculateur!X57*VLOOKUP('Données projet'!$B$9,Paramètres!$A$1:$I$89,3,0)*0.475*44/12</f>
        <v>11.762777277507622</v>
      </c>
      <c r="AB57" s="21">
        <f>EXP(-LN(2)/2)*AB56+(1-EXP(-LN(2)/2))/(LN(2)/2)*V57*Y57*VLOOKUP('Données projet'!$B$9,Paramètres!$A$1:$I$89,3,0)*0.475*44/12</f>
        <v>7.2314968921384626</v>
      </c>
      <c r="AC57" s="22">
        <f t="shared" si="3"/>
        <v>27.165412167362977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317.11</v>
      </c>
      <c r="AG57" s="12">
        <f>VLOOKUP(A57,'Données projet'!$A$61:$I$81,9,0)</f>
        <v>12.103750000000002</v>
      </c>
      <c r="AH57" s="12">
        <f t="array" ref="AH57">INDEX(AG:AG,MIN(IF(ISNUMBER(AG57:AG253),ROW(AG57:AG253),"")))</f>
        <v>12.103750000000002</v>
      </c>
      <c r="AI57" s="13">
        <f>IF('Données projet'!$A$62&gt;35,AI56+AH57-AQ56,IF(A57&lt;'Données projet'!$A$62,$AF$205^A57,IF(A57='Données projet'!$A$62,'Données projet'!$B$62,AI56+AH57-AQ56)))</f>
        <v>317.10999999999984</v>
      </c>
      <c r="AJ57" s="13">
        <f>AI57*VLOOKUP('Données projet'!$B$10,Paramètres!$A$1:$I$89,3,0)*VLOOKUP('Données projet'!$B$10,Paramètres!$A$1:$I$89,5,0)</f>
        <v>189.63177999999994</v>
      </c>
      <c r="AK57" s="13">
        <f t="shared" si="35"/>
        <v>47.458535448502758</v>
      </c>
      <c r="AL57" s="20">
        <f t="shared" si="4"/>
        <v>412.93229940614214</v>
      </c>
      <c r="AM57" s="59">
        <f t="shared" si="5"/>
        <v>706.26563273947545</v>
      </c>
      <c r="AN57" s="59">
        <f ca="1">AVERAGE(OFFSET($AM$3,0,0,'Données projet'!$E$10+1,1))-AVERAGE(OFFSET($H$3,0,0,'Données projet'!$E$10+1,1))</f>
        <v>171.701352621833</v>
      </c>
      <c r="AO57" s="59">
        <f t="shared" si="36"/>
        <v>195.58435749168586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72.400000000000006</v>
      </c>
      <c r="AR57" s="16">
        <f>IF(ISNA(VLOOKUP(A57,'Données projet'!$A$61:$I$81,5,0)),0%,VLOOKUP(A57,'Données projet'!$A$61:$I$81,5,0)*VLOOKUP('Données projet'!$B$10,Paramètres!$A$1:$I$89,7,0))</f>
        <v>0.27</v>
      </c>
      <c r="AS57" s="16">
        <f>IF(ISNA(VLOOKUP(A57,'Données projet'!$A$61:$I$81,6,0)),0%,VLOOKUP(A57,'Données projet'!$A$61:$I$81,6,0)*VLOOKUP('Données projet'!$B$10,Paramètres!$A$1:$I$89,7,0))</f>
        <v>9.0000000000000011E-2</v>
      </c>
      <c r="AT57" s="16">
        <f>IF(ISNA(VLOOKUP(A57,'Données projet'!$A$61:$I$81,7,0)),0%,VLOOKUP(A57,'Données projet'!$A$61:$I$81,7,0))</f>
        <v>0.2</v>
      </c>
      <c r="AU57" s="21">
        <f>EXP(-LN(2)/35)*AU56+(1-EXP(-LN(2)/35))/(LN(2)/35)*AQ57*AR57*VLOOKUP('Données projet'!$B$10,Paramètres!$A$1:$I$89,3,0)*0.475*44/12</f>
        <v>38.100137494859368</v>
      </c>
      <c r="AV57" s="21">
        <f>EXP(-LN(2)/25)*AV56+(1-EXP(-LN(2)/25))/(LN(2)/25)*Calculateur!AQ57*Calculateur!AS57*VLOOKUP('Données projet'!$B$10,Paramètres!$A$1:$I$89,3,0)*0.475*44/12</f>
        <v>17.771242476427116</v>
      </c>
      <c r="AW57" s="21">
        <f>EXP(-LN(2)/2)*AW56+(1-EXP(-LN(2)/2))/(LN(2)/2)*AQ57*AT57*VLOOKUP('Données projet'!$B$10,Paramètres!$A$1:$I$89,3,0)*0.475*44/12</f>
        <v>10.391587858075839</v>
      </c>
      <c r="AX57" s="21">
        <f t="shared" si="6"/>
        <v>66.262967829362324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19.8</v>
      </c>
      <c r="BD57" s="12">
        <f>IF('Données projet'!$A$88&gt;35,BD56+BC57-BL56,IF(A57&lt;'Données projet'!$A$88,$BA$205^A57,IF(A57='Données projet'!$A$88,'Données projet'!$B$88,BD56+BC57-BL56)))</f>
        <v>522.19999999999959</v>
      </c>
      <c r="BE57" s="13">
        <f>BD57*VLOOKUP('Données projet'!$B$11,Paramètres!$A$1:$I$89,3,0)*VLOOKUP('Données projet'!$B$11,Paramètres!$A$1:$I$89,5,0)</f>
        <v>271.54399999999981</v>
      </c>
      <c r="BF57" s="13">
        <f t="shared" si="37"/>
        <v>65.176836230840621</v>
      </c>
      <c r="BG57" s="20">
        <f t="shared" si="7"/>
        <v>586.45545643538037</v>
      </c>
      <c r="BH57" s="59">
        <f t="shared" si="8"/>
        <v>879.78878976871374</v>
      </c>
      <c r="BI57" s="59">
        <f ca="1">AVERAGE(OFFSET($BH$3,0,0,'Données projet'!$E$11+1,1))-AVERAGE(OFFSET($H$3,0,0,'Données projet'!$E$11+1,1))</f>
        <v>348.29124901999882</v>
      </c>
      <c r="BJ57" s="59">
        <f t="shared" si="38"/>
        <v>284.30034973939053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29.437961451480454</v>
      </c>
      <c r="BQ57" s="21">
        <f>EXP(-LN(2)/25)*BQ56+(1-EXP(-LN(2)/25))/(LN(2)/25)*Calculateur!BL57*Calculateur!BN57*VLOOKUP('Données projet'!$B$11,Paramètres!$A$1:$I$89,3,0)*0.475*44/12</f>
        <v>26.477316940898444</v>
      </c>
      <c r="BR57" s="21">
        <f>EXP(-LN(2)/2)*BR56+(1-EXP(-LN(2)/2))/(LN(2)/2)*BL57*BO57*VLOOKUP('Données projet'!$B$11,Paramètres!$A$1:$I$89,3,0)*0.475*44/12</f>
        <v>2.3208804895880975</v>
      </c>
      <c r="BS57" s="22">
        <f t="shared" si="9"/>
        <v>58.236158881966993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7.5706666666666669</v>
      </c>
      <c r="BY57" s="12">
        <f>IF('Données projet'!$A$114&gt;35,BY56+BX57-CG56,IF(A57&lt;'Données projet'!$A$114,$BV$205^A57,IF(A57='Données projet'!$A$114,'Données projet'!$B$114,BY56+BX57-CG56)))</f>
        <v>198.50600000000003</v>
      </c>
      <c r="BZ57" s="13">
        <f>BY57*VLOOKUP('Données projet'!$B$12,Paramètres!$A$1:$I$89,3,0)*VLOOKUP('Données projet'!$B$12,Paramètres!$A$1:$I$89,5,0)</f>
        <v>118.70658800000002</v>
      </c>
      <c r="CA57" s="13">
        <f t="shared" si="39"/>
        <v>31.373142184736793</v>
      </c>
      <c r="CB57" s="20">
        <f t="shared" si="10"/>
        <v>261.38886340508333</v>
      </c>
      <c r="CC57" s="59">
        <f t="shared" si="11"/>
        <v>554.72219673841664</v>
      </c>
      <c r="CD57" s="59">
        <f ca="1">AVERAGE(OFFSET($CC$3,0,0,'Données projet'!$E$12+1,1))-AVERAGE(OFFSET($H$3,0,0,'Données projet'!$E$12+1,1))</f>
        <v>185.82627135915504</v>
      </c>
      <c r="CE57" s="59">
        <f t="shared" si="40"/>
        <v>155.46126452522037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5.5438607465210676</v>
      </c>
      <c r="CL57" s="21">
        <f>EXP(-LN(2)/25)*CL56+(1-EXP(-LN(2)/25))/(LN(2)/25)*Calculateur!CG57*Calculateur!CI57*VLOOKUP('Données projet'!$B$12,Paramètres!$A$1:$I$89,3,0)*0.475*44/12</f>
        <v>7.6102265386846746</v>
      </c>
      <c r="CM57" s="21">
        <f>EXP(-LN(2)/2)*CM56+(1-EXP(-LN(2)/2))/(LN(2)/2)*CG57*CJ57*VLOOKUP('Données projet'!$B$12,Paramètres!$A$1:$I$89,3,0)*0.475*44/12</f>
        <v>0.84415714852991264</v>
      </c>
      <c r="CN57" s="22">
        <f t="shared" si="12"/>
        <v>13.998244433735655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1.9846153846153853</v>
      </c>
      <c r="CT57" s="12">
        <f>IF('Données projet'!$A$140&gt;35,CT56+CS57-DB56,IF(A57&lt;'Données projet'!$A$140,$CQ$205^A57,IF(A57='Données projet'!$A$140,'Données projet'!$B$140,CT56+CS57-DB56)))</f>
        <v>84.553846153846166</v>
      </c>
      <c r="CU57" s="17">
        <f>CT57*VLOOKUP('Données projet'!$B$13,Paramètres!$A$1:$I$89,3,0)*VLOOKUP('Données projet'!$B$13,Paramètres!$A$1:$I$89,5,0)</f>
        <v>97.406030769230767</v>
      </c>
      <c r="CV57" s="13">
        <f t="shared" si="41"/>
        <v>26.343078063256382</v>
      </c>
      <c r="CW57" s="20">
        <f t="shared" si="13"/>
        <v>215.52969788324845</v>
      </c>
      <c r="CX57" s="59">
        <f t="shared" si="14"/>
        <v>508.86303121658176</v>
      </c>
      <c r="CY57" s="59">
        <f ca="1">AVERAGE(OFFSET($CX$3,0,0,'Données projet'!$E$13+1,1))-AVERAGE(OFFSET($H$3,0,0,'Données projet'!$E$13+1,1))</f>
        <v>150.78964413039063</v>
      </c>
      <c r="CZ57" s="59">
        <f t="shared" si="42"/>
        <v>131.90332435966184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3.3625183515843315</v>
      </c>
      <c r="DG57" s="21">
        <f>EXP(-LN(2)/25)*DG56+(1-EXP(-LN(2)/25))/(LN(2)/25)*Calculateur!DB57*Calculateur!DD57*VLOOKUP('Données projet'!$B$13,Paramètres!$A$1:$I$89,3,0)*0.475*44/12</f>
        <v>2.9492576131247779</v>
      </c>
      <c r="DH57" s="21">
        <f>EXP(-LN(2)/2)*DH56+(1-EXP(-LN(2)/2))/(LN(2)/2)*DB57*DE57*VLOOKUP('Données projet'!$B$13,Paramètres!$A$1:$I$89,3,0)*0.475*44/12</f>
        <v>0.43433498611793692</v>
      </c>
      <c r="DI57" s="22">
        <f t="shared" si="15"/>
        <v>6.7461109508270471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2.5641025641025634</v>
      </c>
      <c r="DO57" s="12">
        <f>IF('Données projet'!$A$166&gt;35,DO56+DN57-DW56,IF(A57&lt;'Données projet'!$A$166,$DL$205^A57,IF(A57='Données projet'!$A$166,'Données projet'!$B$166,DO56+DN57-DW56)))</f>
        <v>82.692307692307736</v>
      </c>
      <c r="DP57" s="17">
        <f>DO57*VLOOKUP('Données projet'!$B$14,Paramètres!$A$1:$I$89,3,0)*VLOOKUP('Données projet'!$B$14,Paramètres!$A$1:$I$89,5,0)</f>
        <v>86.430000000000064</v>
      </c>
      <c r="DQ57" s="13">
        <f t="shared" si="43"/>
        <v>23.70220928679894</v>
      </c>
      <c r="DR57" s="20">
        <f t="shared" si="16"/>
        <v>191.8135978411749</v>
      </c>
      <c r="DS57" s="59">
        <f t="shared" si="17"/>
        <v>485.14693117450821</v>
      </c>
      <c r="DT57" s="59">
        <f ca="1">AVERAGE(OFFSET($DS$3,0,0,'Données projet'!$E$14+1,1))-AVERAGE(OFFSET($H$3,0,0,'Données projet'!$E$14+1,1))</f>
        <v>110.10595934547638</v>
      </c>
      <c r="DU57" s="59">
        <f t="shared" si="44"/>
        <v>131.10971921141493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8.6396636212469087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8.6396636212469087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3.3603333333333336</v>
      </c>
      <c r="EJ57" s="12">
        <f>IF('Données projet'!$A$192&gt;35,EJ56+EI57-ER56,IF(A57&lt;'Données projet'!$A$192,$EG$205^A57,IF(A57='Données projet'!$A$192,'Données projet'!$B$192,EJ56+EI57-ER56)))</f>
        <v>181.45799999999991</v>
      </c>
      <c r="EK57" s="17">
        <f>EJ57*VLOOKUP('Données projet'!$B$15,Paramètres!$A$1:$I$89,3,0)*VLOOKUP('Données projet'!$B$15,Paramètres!$A$1:$I$89,5,0)</f>
        <v>183.99841199999992</v>
      </c>
      <c r="EL57" s="13">
        <f t="shared" si="45"/>
        <v>46.210618509095013</v>
      </c>
      <c r="EM57" s="20">
        <f t="shared" si="19"/>
        <v>400.94739480334033</v>
      </c>
      <c r="EN57" s="59">
        <f t="shared" si="20"/>
        <v>694.28072813667359</v>
      </c>
      <c r="EO57" s="59">
        <f ca="1">AVERAGE(OFFSET($EN$3,0,0,'Données projet'!$E$15+1,1))-AVERAGE(OFFSET($H$3,0,0,'Données projet'!$E$15+1,1))</f>
        <v>420.38735944595965</v>
      </c>
      <c r="EP57" s="59">
        <f t="shared" si="46"/>
        <v>200.0823542414671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9.8828571428571443</v>
      </c>
      <c r="FE57" s="12">
        <f>IF('Données projet'!$A$218&gt;35,FE56+FD57-FM56,IF(A57&lt;'Données projet'!$A$218,$FB$205^A57,IF(A57='Données projet'!$A$218,'Données projet'!$B$218,FE56+FD57-FM56)))</f>
        <v>153.43571428571425</v>
      </c>
      <c r="FF57" s="17">
        <f>FE57*VLOOKUP('Données projet'!$B$16,Paramètres!$A$1:$I$89,3,0)*VLOOKUP('Données projet'!$B$16,Paramètres!$A$1:$I$89,5,0)</f>
        <v>165.15820285714281</v>
      </c>
      <c r="FG57" s="13">
        <f t="shared" si="47"/>
        <v>42.003805239427415</v>
      </c>
      <c r="FH57" s="20">
        <f t="shared" si="22"/>
        <v>360.80716410152644</v>
      </c>
      <c r="FI57" s="59">
        <f t="shared" si="23"/>
        <v>654.14049743485975</v>
      </c>
      <c r="FJ57" s="59">
        <f ca="1">AVERAGE(OFFSET($FI$3,0,0,'Données projet'!$E$16+1,1))-AVERAGE(OFFSET($H$3,0,0,'Données projet'!$E$16+1,1))</f>
        <v>415.8741608506952</v>
      </c>
      <c r="FK57" s="59">
        <f t="shared" si="48"/>
        <v>259.15848913719356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7.6425546948379575</v>
      </c>
      <c r="FR57" s="21">
        <f>EXP(-LN(2)/25)*FR56+(1-EXP(-LN(2)/25))/(LN(2)/25)*Calculateur!FM57*Calculateur!FO57*VLOOKUP('Données projet'!$B$16,Paramètres!$A$1:$I$89,3,0)*0.475*44/12</f>
        <v>36.251526373199766</v>
      </c>
      <c r="FS57" s="21">
        <f>EXP(-LN(2)/2)*FS56+(1-EXP(-LN(2)/2))/(LN(2)/2)*FM57*FP57*VLOOKUP('Données projet'!$B$16,Paramètres!$A$1:$I$89,3,0)*0.475*44/12</f>
        <v>2.6856905167750784</v>
      </c>
      <c r="FT57" s="22">
        <f t="shared" si="24"/>
        <v>46.579771584812796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9.8828571428571443</v>
      </c>
      <c r="FZ57" s="12">
        <f>IF('Données projet'!$A$244&gt;35,FZ56+FY57-GH56,IF(A57&lt;'Données projet'!$A$244,$FW$205^A57,IF(A57='Données projet'!$A$244,'Données projet'!$B$244,FZ56+FY57-GH56)))</f>
        <v>153.43571428571425</v>
      </c>
      <c r="GA57" s="17">
        <f>FZ57*VLOOKUP('Données projet'!$B$17,Paramètres!$A$1:$I$89,3,0)*VLOOKUP('Données projet'!$B$17,Paramètres!$A$1:$I$89,5,0)</f>
        <v>131.64784285714285</v>
      </c>
      <c r="GB57" s="13">
        <f t="shared" si="49"/>
        <v>34.376847848248687</v>
      </c>
      <c r="GC57" s="20">
        <f t="shared" si="25"/>
        <v>289.15966964522363</v>
      </c>
      <c r="GD57" s="59">
        <f t="shared" si="26"/>
        <v>582.49300297855689</v>
      </c>
      <c r="GE57" s="59">
        <f ca="1">AVERAGE(OFFSET($GD$3,0,0,'Données projet'!$E$17+1,1))-AVERAGE(OFFSET($H$3,0,0,'Données projet'!$E$17+1,1))</f>
        <v>322.39807389980882</v>
      </c>
      <c r="GF57" s="59">
        <f t="shared" si="50"/>
        <v>202.59410055732792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7.5086103591009943</v>
      </c>
      <c r="GM57" s="21">
        <f>EXP(-LN(2)/25)*GM56+(1-EXP(-LN(2)/25))/(LN(2)/25)*Calculateur!GH57*Calculateur!GJ57*VLOOKUP('Données projet'!$B$17,Paramètres!$A$1:$I$89,3,0)*0.475*44/12</f>
        <v>35.616177747852142</v>
      </c>
      <c r="GN57" s="21">
        <f>EXP(-LN(2)/2)*GN56+(1-EXP(-LN(2)/2))/(LN(2)/2)*GH57*GK57*VLOOKUP('Données projet'!$B$17,Paramètres!$A$1:$I$89,3,0)*0.475*44/12</f>
        <v>2.1407678032265118</v>
      </c>
      <c r="GO57" s="21">
        <f t="shared" si="27"/>
        <v>45.265555910179643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20.162999999999979</v>
      </c>
      <c r="D58" s="11">
        <f t="shared" si="32"/>
        <v>6.5502367231117642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206.20744137138888</v>
      </c>
      <c r="H58" s="67">
        <f t="shared" si="1"/>
        <v>339.85888729275291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12.346666666666669</v>
      </c>
      <c r="N58" s="13">
        <f>IF('Données projet'!$A$36&gt;35,N57+M58-V57,IF(A58&lt;'Données projet'!$A$36,$K$205^A58,IF(A58='Données projet'!$A$36,'Données projet'!$B$36,N57+M58-V57)))</f>
        <v>276.39666666666653</v>
      </c>
      <c r="O58" s="13">
        <f>N58*VLOOKUP('Données projet'!$B$9,Paramètres!$A$1:$I$89,3,0)*VLOOKUP('Données projet'!$B$9,Paramètres!$A$1:$I$89,5,0)</f>
        <v>129.35363999999993</v>
      </c>
      <c r="P58" s="13">
        <f t="shared" si="33"/>
        <v>33.846961214906273</v>
      </c>
      <c r="Q58" s="20">
        <f t="shared" si="53"/>
        <v>284.24104711596163</v>
      </c>
      <c r="R58" s="59">
        <f t="shared" si="0"/>
        <v>577.57438044929495</v>
      </c>
      <c r="S58" s="59">
        <f ca="1">AVERAGE(OFFSET($R$3,0,0,'Données projet'!$E$9+1,1))-AVERAGE(OFFSET($H$3,0,0,'Données projet'!$E$9+1,1))</f>
        <v>215.77907571824977</v>
      </c>
      <c r="T58" s="59">
        <f t="shared" si="34"/>
        <v>174.69390149594869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8.0109069654837217</v>
      </c>
      <c r="AA58" s="21">
        <f>EXP(-LN(2)/25)*AA57+(1-EXP(-LN(2)/25))/(LN(2)/25)*Calculateur!V58*Calculateur!X58*VLOOKUP('Données projet'!$B$9,Paramètres!$A$1:$I$89,3,0)*0.475*44/12</f>
        <v>11.441123514276603</v>
      </c>
      <c r="AB58" s="21">
        <f>EXP(-LN(2)/2)*AB57+(1-EXP(-LN(2)/2))/(LN(2)/2)*V58*Y58*VLOOKUP('Données projet'!$B$9,Paramètres!$A$1:$I$89,3,0)*0.475*44/12</f>
        <v>5.1134404905605511</v>
      </c>
      <c r="AC58" s="22">
        <f t="shared" si="3"/>
        <v>24.565470970320874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10.091249999999999</v>
      </c>
      <c r="AI58" s="13">
        <f>IF('Données projet'!$A$62&gt;35,AI57+AH58-AQ57,IF(A58&lt;'Données projet'!$A$62,$AF$205^A58,IF(A58='Données projet'!$A$62,'Données projet'!$B$62,AI57+AH58-AQ57)))</f>
        <v>254.80124999999984</v>
      </c>
      <c r="AJ58" s="13">
        <f>AI58*VLOOKUP('Données projet'!$B$10,Paramètres!$A$1:$I$89,3,0)*VLOOKUP('Données projet'!$B$10,Paramètres!$A$1:$I$89,5,0)</f>
        <v>152.37114749999992</v>
      </c>
      <c r="AK58" s="13">
        <f t="shared" si="35"/>
        <v>39.116944544416633</v>
      </c>
      <c r="AL58" s="20">
        <f t="shared" si="4"/>
        <v>333.50842697735885</v>
      </c>
      <c r="AM58" s="59">
        <f t="shared" si="5"/>
        <v>626.84176031069217</v>
      </c>
      <c r="AN58" s="59">
        <f ca="1">AVERAGE(OFFSET($AM$3,0,0,'Données projet'!$E$10+1,1))-AVERAGE(OFFSET($H$3,0,0,'Données projet'!$E$10+1,1))</f>
        <v>171.701352621833</v>
      </c>
      <c r="AO58" s="59">
        <f t="shared" si="36"/>
        <v>195.58435749168586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37.353017037374407</v>
      </c>
      <c r="AV58" s="21">
        <f>EXP(-LN(2)/25)*AV57+(1-EXP(-LN(2)/25))/(LN(2)/25)*Calculateur!AQ58*Calculateur!AS58*VLOOKUP('Données projet'!$B$10,Paramètres!$A$1:$I$89,3,0)*0.475*44/12</f>
        <v>17.285286916360192</v>
      </c>
      <c r="AW58" s="21">
        <f>EXP(-LN(2)/2)*AW57+(1-EXP(-LN(2)/2))/(LN(2)/2)*AQ58*AT58*VLOOKUP('Données projet'!$B$10,Paramètres!$A$1:$I$89,3,0)*0.475*44/12</f>
        <v>7.3479622417412171</v>
      </c>
      <c r="AX58" s="21">
        <f t="shared" si="6"/>
        <v>61.986266195475814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542</v>
      </c>
      <c r="BB58" s="12">
        <f>VLOOKUP(A58,'Données projet'!$A$87:$I$107,9,0)</f>
        <v>19.8</v>
      </c>
      <c r="BC58" s="12">
        <f t="array" ref="BC58">INDEX(BB:BB,MIN(IF(ISNUMBER(BB58:BB254),ROW(BB58:BB254),"")))</f>
        <v>19.8</v>
      </c>
      <c r="BD58" s="12">
        <f>IF('Données projet'!$A$88&gt;35,BD57+BC58-BL57,IF(A58&lt;'Données projet'!$A$88,$BA$205^A58,IF(A58='Données projet'!$A$88,'Données projet'!$B$88,BD57+BC58-BL57)))</f>
        <v>541.99999999999955</v>
      </c>
      <c r="BE58" s="13">
        <f>BD58*VLOOKUP('Données projet'!$B$11,Paramètres!$A$1:$I$89,3,0)*VLOOKUP('Données projet'!$B$11,Paramètres!$A$1:$I$89,5,0)</f>
        <v>281.8399999999998</v>
      </c>
      <c r="BF58" s="13">
        <f t="shared" si="37"/>
        <v>67.355705420759691</v>
      </c>
      <c r="BG58" s="20">
        <f t="shared" si="7"/>
        <v>608.18252027448943</v>
      </c>
      <c r="BH58" s="59">
        <f t="shared" si="8"/>
        <v>901.51585360782269</v>
      </c>
      <c r="BI58" s="59">
        <f ca="1">AVERAGE(OFFSET($BH$3,0,0,'Données projet'!$E$11+1,1))-AVERAGE(OFFSET($H$3,0,0,'Données projet'!$E$11+1,1))</f>
        <v>348.29124901999882</v>
      </c>
      <c r="BJ58" s="59">
        <f t="shared" si="38"/>
        <v>284.30034973939053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56</v>
      </c>
      <c r="BM58" s="16">
        <f>IF(ISNA(VLOOKUP(A58,'Données projet'!$A$87:$I$107,5,0)),0%,VLOOKUP(A58,'Données projet'!$A$87:$I$107,5,0)*VLOOKUP('Données projet'!$B$11,Paramètres!$A$1:$I$89,7,0))</f>
        <v>0.33</v>
      </c>
      <c r="BN58" s="16">
        <f>IF(ISNA(VLOOKUP(A58,'Données projet'!$A$87:$I$107,6,0)),0%,VLOOKUP(A58,'Données projet'!$A$87:$I$107,6,0)*VLOOKUP('Données projet'!$B$11,Paramètres!$A$1:$I$89,7,0))</f>
        <v>0.11000000000000001</v>
      </c>
      <c r="BO58" s="16">
        <f>IF(ISNA(VLOOKUP(A58,'Données projet'!$A$87:$I$107,7,0)),0%,VLOOKUP(A58,'Données projet'!$A$87:$I$107,7,0))</f>
        <v>0.2</v>
      </c>
      <c r="BP58" s="21">
        <f>EXP(-LN(2)/35)*BP57+(1-EXP(-LN(2)/35))/(LN(2)/35)*BL58*BM58*VLOOKUP('Données projet'!$B$11,Paramètres!$A$1:$I$89,3,0)*0.475*44/12</f>
        <v>41.608454773792268</v>
      </c>
      <c r="BQ58" s="21">
        <f>EXP(-LN(2)/25)*BQ57+(1-EXP(-LN(2)/25))/(LN(2)/25)*Calculateur!BL58*Calculateur!BN58*VLOOKUP('Données projet'!$B$11,Paramètres!$A$1:$I$89,3,0)*0.475*44/12</f>
        <v>29.98581365911522</v>
      </c>
      <c r="BR58" s="21">
        <f>EXP(-LN(2)/2)*BR57+(1-EXP(-LN(2)/2))/(LN(2)/2)*BL58*BO58*VLOOKUP('Données projet'!$B$11,Paramètres!$A$1:$I$89,3,0)*0.475*44/12</f>
        <v>8.235231233305436</v>
      </c>
      <c r="BS58" s="22">
        <f t="shared" si="9"/>
        <v>79.829499666212925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7.5706666666666669</v>
      </c>
      <c r="BY58" s="12">
        <f>IF('Données projet'!$A$114&gt;35,BY57+BX58-CG57,IF(A58&lt;'Données projet'!$A$114,$BV$205^A58,IF(A58='Données projet'!$A$114,'Données projet'!$B$114,BY57+BX58-CG57)))</f>
        <v>206.07666666666668</v>
      </c>
      <c r="BZ58" s="13">
        <f>BY58*VLOOKUP('Données projet'!$B$12,Paramètres!$A$1:$I$89,3,0)*VLOOKUP('Données projet'!$B$12,Paramètres!$A$1:$I$89,5,0)</f>
        <v>123.23384666666668</v>
      </c>
      <c r="CA58" s="13">
        <f t="shared" si="39"/>
        <v>32.42806965598357</v>
      </c>
      <c r="CB58" s="20">
        <f t="shared" si="10"/>
        <v>271.11117092861588</v>
      </c>
      <c r="CC58" s="59">
        <f t="shared" si="11"/>
        <v>564.44450426194919</v>
      </c>
      <c r="CD58" s="59">
        <f ca="1">AVERAGE(OFFSET($CC$3,0,0,'Données projet'!$E$12+1,1))-AVERAGE(OFFSET($H$3,0,0,'Données projet'!$E$12+1,1))</f>
        <v>185.82627135915504</v>
      </c>
      <c r="CE58" s="59">
        <f t="shared" si="40"/>
        <v>155.46126452522037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5.4351490187029574</v>
      </c>
      <c r="CL58" s="21">
        <f>EXP(-LN(2)/25)*CL57+(1-EXP(-LN(2)/25))/(LN(2)/25)*Calculateur!CG58*Calculateur!CI58*VLOOKUP('Données projet'!$B$12,Paramètres!$A$1:$I$89,3,0)*0.475*44/12</f>
        <v>7.4021244937799215</v>
      </c>
      <c r="CM58" s="21">
        <f>EXP(-LN(2)/2)*CM57+(1-EXP(-LN(2)/2))/(LN(2)/2)*CG58*CJ58*VLOOKUP('Données projet'!$B$12,Paramètres!$A$1:$I$89,3,0)*0.475*44/12</f>
        <v>0.59690924411260082</v>
      </c>
      <c r="CN58" s="22">
        <f t="shared" si="12"/>
        <v>13.434182756595479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1.9846153846153853</v>
      </c>
      <c r="CT58" s="12">
        <f>IF('Données projet'!$A$140&gt;35,CT57+CS58-DB57,IF(A58&lt;'Données projet'!$A$140,$CQ$205^A58,IF(A58='Données projet'!$A$140,'Données projet'!$B$140,CT57+CS58-DB57)))</f>
        <v>86.538461538461547</v>
      </c>
      <c r="CU58" s="17">
        <f>CT58*VLOOKUP('Données projet'!$B$13,Paramètres!$A$1:$I$89,3,0)*VLOOKUP('Données projet'!$B$13,Paramètres!$A$1:$I$89,5,0)</f>
        <v>99.692307692307693</v>
      </c>
      <c r="CV58" s="13">
        <f t="shared" si="41"/>
        <v>26.888680957005086</v>
      </c>
      <c r="CW58" s="20">
        <f t="shared" si="13"/>
        <v>220.46188856421978</v>
      </c>
      <c r="CX58" s="59">
        <f t="shared" si="14"/>
        <v>513.79522189755312</v>
      </c>
      <c r="CY58" s="59">
        <f ca="1">AVERAGE(OFFSET($CX$3,0,0,'Données projet'!$E$13+1,1))-AVERAGE(OFFSET($H$3,0,0,'Données projet'!$E$13+1,1))</f>
        <v>150.78964413039063</v>
      </c>
      <c r="CZ58" s="59">
        <f t="shared" si="42"/>
        <v>131.90332435966184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3.2965814176434445</v>
      </c>
      <c r="DG58" s="21">
        <f>EXP(-LN(2)/25)*DG57+(1-EXP(-LN(2)/25))/(LN(2)/25)*Calculateur!DB58*Calculateur!DD58*VLOOKUP('Données projet'!$B$13,Paramètres!$A$1:$I$89,3,0)*0.475*44/12</f>
        <v>2.8686100085991635</v>
      </c>
      <c r="DH58" s="21">
        <f>EXP(-LN(2)/2)*DH57+(1-EXP(-LN(2)/2))/(LN(2)/2)*DB58*DE58*VLOOKUP('Données projet'!$B$13,Paramètres!$A$1:$I$89,3,0)*0.475*44/12</f>
        <v>0.3071212139905582</v>
      </c>
      <c r="DI58" s="22">
        <f t="shared" si="15"/>
        <v>6.4723126402331657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85.256410256410248</v>
      </c>
      <c r="DM58" s="12">
        <f>VLOOKUP(A58,'Données projet'!$A$165:$I$185,9,0)</f>
        <v>2.5641025641025634</v>
      </c>
      <c r="DN58" s="12">
        <f t="array" ref="DN58">INDEX(DM:DM,MIN(IF(ISNUMBER(DM58:DM254),ROW(DM58:DM254),"")))</f>
        <v>2.5641025641025634</v>
      </c>
      <c r="DO58" s="12">
        <f>IF('Données projet'!$A$166&gt;35,DO57+DN58-DW57,IF(A58&lt;'Données projet'!$A$166,$DL$205^A58,IF(A58='Données projet'!$A$166,'Données projet'!$B$166,DO57+DN58-DW57)))</f>
        <v>85.256410256410305</v>
      </c>
      <c r="DP58" s="17">
        <f>DO58*VLOOKUP('Données projet'!$B$14,Paramètres!$A$1:$I$89,3,0)*VLOOKUP('Données projet'!$B$14,Paramètres!$A$1:$I$89,5,0)</f>
        <v>89.11000000000007</v>
      </c>
      <c r="DQ58" s="13">
        <f t="shared" si="43"/>
        <v>24.350454431803559</v>
      </c>
      <c r="DR58" s="20">
        <f t="shared" si="16"/>
        <v>197.61029146872465</v>
      </c>
      <c r="DS58" s="59">
        <f t="shared" si="17"/>
        <v>490.94362480205797</v>
      </c>
      <c r="DT58" s="59">
        <f ca="1">AVERAGE(OFFSET($DS$3,0,0,'Données projet'!$E$14+1,1))-AVERAGE(OFFSET($H$3,0,0,'Données projet'!$E$14+1,1))</f>
        <v>110.10595934547638</v>
      </c>
      <c r="DU58" s="59">
        <f t="shared" si="44"/>
        <v>131.10971921141493</v>
      </c>
      <c r="DV58" s="15">
        <f>IF(ISNA(VLOOKUP(A58,'Données projet'!$A$165:$I$185,3,0)),0,VLOOKUP(A58,'Données projet'!$A$165:$I$185,3,0))</f>
        <v>6</v>
      </c>
      <c r="DW58" s="15">
        <f>IF(ISNA(VLOOKUP(A58,'Données projet'!$A$165:$I$185,4,0)),0,VLOOKUP(A58,'Données projet'!$A$165:$I$185,4,0))</f>
        <v>7.0512820512820511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0.215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10.148187650678018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10.148187650678018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3.3603333333333336</v>
      </c>
      <c r="EJ58" s="12">
        <f>IF('Données projet'!$A$192&gt;35,EJ57+EI58-ER57,IF(A58&lt;'Données projet'!$A$192,$EG$205^A58,IF(A58='Données projet'!$A$192,'Données projet'!$B$192,EJ57+EI58-ER57)))</f>
        <v>184.81833333333324</v>
      </c>
      <c r="EK58" s="17">
        <f>EJ58*VLOOKUP('Données projet'!$B$15,Paramètres!$A$1:$I$89,3,0)*VLOOKUP('Données projet'!$B$15,Paramètres!$A$1:$I$89,5,0)</f>
        <v>187.40578999999991</v>
      </c>
      <c r="EL58" s="13">
        <f t="shared" si="45"/>
        <v>46.96595175625901</v>
      </c>
      <c r="EM58" s="20">
        <f t="shared" si="19"/>
        <v>408.19745022548432</v>
      </c>
      <c r="EN58" s="59">
        <f t="shared" si="20"/>
        <v>701.53078355881757</v>
      </c>
      <c r="EO58" s="59">
        <f ca="1">AVERAGE(OFFSET($EN$3,0,0,'Données projet'!$E$15+1,1))-AVERAGE(OFFSET($H$3,0,0,'Données projet'!$E$15+1,1))</f>
        <v>420.38735944595965</v>
      </c>
      <c r="EP58" s="59">
        <f t="shared" si="46"/>
        <v>200.0823542414671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9.8828571428571443</v>
      </c>
      <c r="FE58" s="12">
        <f>IF('Données projet'!$A$218&gt;35,FE57+FD58-FM57,IF(A58&lt;'Données projet'!$A$218,$FB$205^A58,IF(A58='Données projet'!$A$218,'Données projet'!$B$218,FE57+FD58-FM57)))</f>
        <v>163.3185714285714</v>
      </c>
      <c r="FF58" s="17">
        <f>FE58*VLOOKUP('Données projet'!$B$16,Paramètres!$A$1:$I$89,3,0)*VLOOKUP('Données projet'!$B$16,Paramètres!$A$1:$I$89,5,0)</f>
        <v>175.79611028571426</v>
      </c>
      <c r="FG58" s="13">
        <f t="shared" si="47"/>
        <v>44.385615672209468</v>
      </c>
      <c r="FH58" s="20">
        <f t="shared" si="22"/>
        <v>383.48317271005044</v>
      </c>
      <c r="FI58" s="59">
        <f t="shared" si="23"/>
        <v>676.8165060433837</v>
      </c>
      <c r="FJ58" s="59">
        <f ca="1">AVERAGE(OFFSET($FI$3,0,0,'Données projet'!$E$16+1,1))-AVERAGE(OFFSET($H$3,0,0,'Données projet'!$E$16+1,1))</f>
        <v>415.8741608506952</v>
      </c>
      <c r="FK58" s="59">
        <f t="shared" si="48"/>
        <v>259.15848913719356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7.492688858770264</v>
      </c>
      <c r="FR58" s="21">
        <f>EXP(-LN(2)/25)*FR57+(1-EXP(-LN(2)/25))/(LN(2)/25)*Calculateur!FM58*Calculateur!FO58*VLOOKUP('Données projet'!$B$16,Paramètres!$A$1:$I$89,3,0)*0.475*44/12</f>
        <v>35.2602264781397</v>
      </c>
      <c r="FS58" s="21">
        <f>EXP(-LN(2)/2)*FS57+(1-EXP(-LN(2)/2))/(LN(2)/2)*FM58*FP58*VLOOKUP('Données projet'!$B$16,Paramètres!$A$1:$I$89,3,0)*0.475*44/12</f>
        <v>1.8990699765800612</v>
      </c>
      <c r="FT58" s="22">
        <f t="shared" si="24"/>
        <v>44.651985313490023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9.8828571428571443</v>
      </c>
      <c r="FZ58" s="12">
        <f>IF('Données projet'!$A$244&gt;35,FZ57+FY58-GH57,IF(A58&lt;'Données projet'!$A$244,$FW$205^A58,IF(A58='Données projet'!$A$244,'Données projet'!$B$244,FZ57+FY58-GH57)))</f>
        <v>163.3185714285714</v>
      </c>
      <c r="GA58" s="17">
        <f>FZ58*VLOOKUP('Données projet'!$B$17,Paramètres!$A$1:$I$89,3,0)*VLOOKUP('Données projet'!$B$17,Paramètres!$A$1:$I$89,5,0)</f>
        <v>140.12733428571428</v>
      </c>
      <c r="GB58" s="13">
        <f t="shared" si="49"/>
        <v>36.326174448169759</v>
      </c>
      <c r="GC58" s="20">
        <f t="shared" si="25"/>
        <v>307.32319437818137</v>
      </c>
      <c r="GD58" s="59">
        <f t="shared" si="26"/>
        <v>600.65652771151463</v>
      </c>
      <c r="GE58" s="59">
        <f ca="1">AVERAGE(OFFSET($GD$3,0,0,'Données projet'!$E$17+1,1))-AVERAGE(OFFSET($H$3,0,0,'Données projet'!$E$17+1,1))</f>
        <v>322.39807389980882</v>
      </c>
      <c r="GF58" s="59">
        <f t="shared" si="50"/>
        <v>202.59410055732792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7.3613710897591256</v>
      </c>
      <c r="GM58" s="21">
        <f>EXP(-LN(2)/25)*GM57+(1-EXP(-LN(2)/25))/(LN(2)/25)*Calculateur!GH58*Calculateur!GJ58*VLOOKUP('Données projet'!$B$17,Paramètres!$A$1:$I$89,3,0)*0.475*44/12</f>
        <v>34.642251494363741</v>
      </c>
      <c r="GN58" s="21">
        <f>EXP(-LN(2)/2)*GN57+(1-EXP(-LN(2)/2))/(LN(2)/2)*GH58*GK58*VLOOKUP('Données projet'!$B$17,Paramètres!$A$1:$I$89,3,0)*0.475*44/12</f>
        <v>1.5137514306072952</v>
      </c>
      <c r="GO58" s="21">
        <f t="shared" si="27"/>
        <v>43.517374014730159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20.529599999999977</v>
      </c>
      <c r="D59" s="11">
        <f t="shared" si="32"/>
        <v>6.6553586445673689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209.84880357209883</v>
      </c>
      <c r="H59" s="67">
        <f t="shared" si="1"/>
        <v>340.68046963928811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12.346666666666669</v>
      </c>
      <c r="N59" s="13">
        <f>IF('Données projet'!$A$36&gt;35,N58+M59-V58,IF(A59&lt;'Données projet'!$A$36,$K$205^A59,IF(A59='Données projet'!$A$36,'Données projet'!$B$36,N58+M59-V58)))</f>
        <v>288.74333333333323</v>
      </c>
      <c r="O59" s="13">
        <f>N59*VLOOKUP('Données projet'!$B$9,Paramètres!$A$1:$I$89,3,0)*VLOOKUP('Données projet'!$B$9,Paramètres!$A$1:$I$89,5,0)</f>
        <v>135.13187999999994</v>
      </c>
      <c r="P59" s="13">
        <f t="shared" si="33"/>
        <v>35.179500890822183</v>
      </c>
      <c r="Q59" s="20">
        <f t="shared" si="53"/>
        <v>296.6256550515152</v>
      </c>
      <c r="R59" s="59">
        <f t="shared" si="0"/>
        <v>589.95898838484845</v>
      </c>
      <c r="S59" s="59">
        <f ca="1">AVERAGE(OFFSET($R$3,0,0,'Données projet'!$E$9+1,1))-AVERAGE(OFFSET($H$3,0,0,'Données projet'!$E$9+1,1))</f>
        <v>215.77907571824977</v>
      </c>
      <c r="T59" s="59">
        <f t="shared" si="34"/>
        <v>174.69390149594869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7.8538179660613654</v>
      </c>
      <c r="AA59" s="21">
        <f>EXP(-LN(2)/25)*AA58+(1-EXP(-LN(2)/25))/(LN(2)/25)*Calculateur!V59*Calculateur!X59*VLOOKUP('Données projet'!$B$9,Paramètres!$A$1:$I$89,3,0)*0.475*44/12</f>
        <v>11.128265390116173</v>
      </c>
      <c r="AB59" s="21">
        <f>EXP(-LN(2)/2)*AB58+(1-EXP(-LN(2)/2))/(LN(2)/2)*V59*Y59*VLOOKUP('Données projet'!$B$9,Paramètres!$A$1:$I$89,3,0)*0.475*44/12</f>
        <v>3.6157484460692322</v>
      </c>
      <c r="AC59" s="22">
        <f t="shared" si="3"/>
        <v>22.597831802246773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10.091249999999999</v>
      </c>
      <c r="AI59" s="13">
        <f>IF('Données projet'!$A$62&gt;35,AI58+AH59-AQ58,IF(A59&lt;'Données projet'!$A$62,$AF$205^A59,IF(A59='Données projet'!$A$62,'Données projet'!$B$62,AI58+AH59-AQ58)))</f>
        <v>264.89249999999981</v>
      </c>
      <c r="AJ59" s="13">
        <f>AI59*VLOOKUP('Données projet'!$B$10,Paramètres!$A$1:$I$89,3,0)*VLOOKUP('Données projet'!$B$10,Paramètres!$A$1:$I$89,5,0)</f>
        <v>158.4057149999999</v>
      </c>
      <c r="AK59" s="13">
        <f t="shared" si="35"/>
        <v>40.482710660395519</v>
      </c>
      <c r="AL59" s="20">
        <f t="shared" si="4"/>
        <v>346.397341358522</v>
      </c>
      <c r="AM59" s="59">
        <f t="shared" si="5"/>
        <v>639.73067469185526</v>
      </c>
      <c r="AN59" s="59">
        <f ca="1">AVERAGE(OFFSET($AM$3,0,0,'Données projet'!$E$10+1,1))-AVERAGE(OFFSET($H$3,0,0,'Données projet'!$E$10+1,1))</f>
        <v>171.701352621833</v>
      </c>
      <c r="AO59" s="59">
        <f t="shared" si="36"/>
        <v>195.58435749168586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36.620547156362242</v>
      </c>
      <c r="AV59" s="21">
        <f>EXP(-LN(2)/25)*AV58+(1-EXP(-LN(2)/25))/(LN(2)/25)*Calculateur!AQ59*Calculateur!AS59*VLOOKUP('Données projet'!$B$10,Paramètres!$A$1:$I$89,3,0)*0.475*44/12</f>
        <v>16.812619836638589</v>
      </c>
      <c r="AW59" s="21">
        <f>EXP(-LN(2)/2)*AW58+(1-EXP(-LN(2)/2))/(LN(2)/2)*AQ59*AT59*VLOOKUP('Données projet'!$B$10,Paramètres!$A$1:$I$89,3,0)*0.475*44/12</f>
        <v>5.1957939290379205</v>
      </c>
      <c r="AX59" s="21">
        <f t="shared" si="6"/>
        <v>58.62896092203875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18.2</v>
      </c>
      <c r="BD59" s="12">
        <f>IF('Données projet'!$A$88&gt;35,BD58+BC59-BL58,IF(A59&lt;'Données projet'!$A$88,$BA$205^A59,IF(A59='Données projet'!$A$88,'Données projet'!$B$88,BD58+BC59-BL58)))</f>
        <v>504.19999999999959</v>
      </c>
      <c r="BE59" s="13">
        <f>BD59*VLOOKUP('Données projet'!$B$11,Paramètres!$A$1:$I$89,3,0)*VLOOKUP('Données projet'!$B$11,Paramètres!$A$1:$I$89,5,0)</f>
        <v>262.1839999999998</v>
      </c>
      <c r="BF59" s="13">
        <f t="shared" si="37"/>
        <v>63.187691613556993</v>
      </c>
      <c r="BG59" s="20">
        <f t="shared" si="7"/>
        <v>566.68902956027807</v>
      </c>
      <c r="BH59" s="59">
        <f t="shared" si="8"/>
        <v>860.02236289361144</v>
      </c>
      <c r="BI59" s="59">
        <f ca="1">AVERAGE(OFFSET($BH$3,0,0,'Données projet'!$E$11+1,1))-AVERAGE(OFFSET($H$3,0,0,'Données projet'!$E$11+1,1))</f>
        <v>348.29124901999882</v>
      </c>
      <c r="BJ59" s="59">
        <f t="shared" si="38"/>
        <v>284.30034973939053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40.792538354329679</v>
      </c>
      <c r="BQ59" s="21">
        <f>EXP(-LN(2)/25)*BQ58+(1-EXP(-LN(2)/25))/(LN(2)/25)*Calculateur!BL59*Calculateur!BN59*VLOOKUP('Données projet'!$B$11,Paramètres!$A$1:$I$89,3,0)*0.475*44/12</f>
        <v>29.165850007721307</v>
      </c>
      <c r="BR59" s="21">
        <f>EXP(-LN(2)/2)*BR58+(1-EXP(-LN(2)/2))/(LN(2)/2)*BL59*BO59*VLOOKUP('Données projet'!$B$11,Paramètres!$A$1:$I$89,3,0)*0.475*44/12</f>
        <v>5.8231878497095293</v>
      </c>
      <c r="BS59" s="22">
        <f t="shared" si="9"/>
        <v>75.781576211760509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7.5706666666666669</v>
      </c>
      <c r="BY59" s="12">
        <f>IF('Données projet'!$A$114&gt;35,BY58+BX59-CG58,IF(A59&lt;'Données projet'!$A$114,$BV$205^A59,IF(A59='Données projet'!$A$114,'Données projet'!$B$114,BY58+BX59-CG58)))</f>
        <v>213.64733333333334</v>
      </c>
      <c r="BZ59" s="13">
        <f>BY59*VLOOKUP('Données projet'!$B$12,Paramètres!$A$1:$I$89,3,0)*VLOOKUP('Données projet'!$B$12,Paramètres!$A$1:$I$89,5,0)</f>
        <v>127.76110533333335</v>
      </c>
      <c r="CA59" s="13">
        <f t="shared" si="39"/>
        <v>33.478494605157721</v>
      </c>
      <c r="CB59" s="20">
        <f t="shared" si="10"/>
        <v>280.82563655953862</v>
      </c>
      <c r="CC59" s="59">
        <f t="shared" si="11"/>
        <v>574.15896989287194</v>
      </c>
      <c r="CD59" s="59">
        <f ca="1">AVERAGE(OFFSET($CC$3,0,0,'Données projet'!$E$12+1,1))-AVERAGE(OFFSET($H$3,0,0,'Données projet'!$E$12+1,1))</f>
        <v>185.82627135915504</v>
      </c>
      <c r="CE59" s="59">
        <f t="shared" si="40"/>
        <v>155.46126452522037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5.3285690615597536</v>
      </c>
      <c r="CL59" s="21">
        <f>EXP(-LN(2)/25)*CL58+(1-EXP(-LN(2)/25))/(LN(2)/25)*Calculateur!CG59*Calculateur!CI59*VLOOKUP('Données projet'!$B$12,Paramètres!$A$1:$I$89,3,0)*0.475*44/12</f>
        <v>7.1997130102367004</v>
      </c>
      <c r="CM59" s="21">
        <f>EXP(-LN(2)/2)*CM58+(1-EXP(-LN(2)/2))/(LN(2)/2)*CG59*CJ59*VLOOKUP('Données projet'!$B$12,Paramètres!$A$1:$I$89,3,0)*0.475*44/12</f>
        <v>0.42207857426495632</v>
      </c>
      <c r="CN59" s="22">
        <f t="shared" si="12"/>
        <v>12.95036064606141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1.9846153846153853</v>
      </c>
      <c r="CT59" s="12">
        <f>IF('Données projet'!$A$140&gt;35,CT58+CS59-DB58,IF(A59&lt;'Données projet'!$A$140,$CQ$205^A59,IF(A59='Données projet'!$A$140,'Données projet'!$B$140,CT58+CS59-DB58)))</f>
        <v>88.523076923076928</v>
      </c>
      <c r="CU59" s="17">
        <f>CT59*VLOOKUP('Données projet'!$B$13,Paramètres!$A$1:$I$89,3,0)*VLOOKUP('Données projet'!$B$13,Paramètres!$A$1:$I$89,5,0)</f>
        <v>101.97858461538462</v>
      </c>
      <c r="CV59" s="13">
        <f t="shared" si="41"/>
        <v>27.432829204027875</v>
      </c>
      <c r="CW59" s="20">
        <f t="shared" si="13"/>
        <v>225.39154573547674</v>
      </c>
      <c r="CX59" s="59">
        <f t="shared" si="14"/>
        <v>518.72487906881008</v>
      </c>
      <c r="CY59" s="59">
        <f ca="1">AVERAGE(OFFSET($CX$3,0,0,'Données projet'!$E$13+1,1))-AVERAGE(OFFSET($H$3,0,0,'Données projet'!$E$13+1,1))</f>
        <v>150.78964413039063</v>
      </c>
      <c r="CZ59" s="59">
        <f t="shared" si="42"/>
        <v>131.90332435966184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3.2319374667595797</v>
      </c>
      <c r="DG59" s="21">
        <f>EXP(-LN(2)/25)*DG58+(1-EXP(-LN(2)/25))/(LN(2)/25)*Calculateur!DB59*Calculateur!DD59*VLOOKUP('Données projet'!$B$13,Paramètres!$A$1:$I$89,3,0)*0.475*44/12</f>
        <v>2.7901677170603754</v>
      </c>
      <c r="DH59" s="21">
        <f>EXP(-LN(2)/2)*DH58+(1-EXP(-LN(2)/2))/(LN(2)/2)*DB59*DE59*VLOOKUP('Données projet'!$B$13,Paramètres!$A$1:$I$89,3,0)*0.475*44/12</f>
        <v>0.21716749305896849</v>
      </c>
      <c r="DI59" s="22">
        <f t="shared" si="15"/>
        <v>6.2392726768789233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2.3076923076923066</v>
      </c>
      <c r="DO59" s="12">
        <f>IF('Données projet'!$A$166&gt;35,DO58+DN59-DW58,IF(A59&lt;'Données projet'!$A$166,$DL$205^A59,IF(A59='Données projet'!$A$166,'Données projet'!$B$166,DO58+DN59-DW58)))</f>
        <v>80.512820512820554</v>
      </c>
      <c r="DP59" s="17">
        <f>DO59*VLOOKUP('Données projet'!$B$14,Paramètres!$A$1:$I$89,3,0)*VLOOKUP('Données projet'!$B$14,Paramètres!$A$1:$I$89,5,0)</f>
        <v>84.152000000000058</v>
      </c>
      <c r="DQ59" s="13">
        <f t="shared" si="43"/>
        <v>23.149360913417183</v>
      </c>
      <c r="DR59" s="20">
        <f t="shared" si="16"/>
        <v>186.88320359086833</v>
      </c>
      <c r="DS59" s="59">
        <f t="shared" si="17"/>
        <v>480.21653692420165</v>
      </c>
      <c r="DT59" s="59">
        <f ca="1">AVERAGE(OFFSET($DS$3,0,0,'Données projet'!$E$14+1,1))-AVERAGE(OFFSET($H$3,0,0,'Données projet'!$E$14+1,1))</f>
        <v>110.10595934547638</v>
      </c>
      <c r="DU59" s="59">
        <f t="shared" si="44"/>
        <v>131.10971921141493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9.8706849257002336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9.8706849257002336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3.3603333333333336</v>
      </c>
      <c r="EJ59" s="12">
        <f>IF('Données projet'!$A$192&gt;35,EJ58+EI59-ER58,IF(A59&lt;'Données projet'!$A$192,$EG$205^A59,IF(A59='Données projet'!$A$192,'Données projet'!$B$192,EJ58+EI59-ER58)))</f>
        <v>188.17866666666657</v>
      </c>
      <c r="EK59" s="17">
        <f>EJ59*VLOOKUP('Données projet'!$B$15,Paramètres!$A$1:$I$89,3,0)*VLOOKUP('Données projet'!$B$15,Paramètres!$A$1:$I$89,5,0)</f>
        <v>190.81316799999991</v>
      </c>
      <c r="EL59" s="13">
        <f t="shared" si="45"/>
        <v>47.719688040962872</v>
      </c>
      <c r="EM59" s="20">
        <f t="shared" si="19"/>
        <v>415.44472427134343</v>
      </c>
      <c r="EN59" s="59">
        <f t="shared" si="20"/>
        <v>708.77805760467675</v>
      </c>
      <c r="EO59" s="59">
        <f ca="1">AVERAGE(OFFSET($EN$3,0,0,'Données projet'!$E$15+1,1))-AVERAGE(OFFSET($H$3,0,0,'Données projet'!$E$15+1,1))</f>
        <v>420.38735944595965</v>
      </c>
      <c r="EP59" s="59">
        <f t="shared" si="46"/>
        <v>200.0823542414671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9.8828571428571443</v>
      </c>
      <c r="FE59" s="12">
        <f>IF('Données projet'!$A$218&gt;35,FE58+FD59-FM58,IF(A59&lt;'Données projet'!$A$218,$FB$205^A59,IF(A59='Données projet'!$A$218,'Données projet'!$B$218,FE58+FD59-FM58)))</f>
        <v>173.20142857142855</v>
      </c>
      <c r="FF59" s="17">
        <f>FE59*VLOOKUP('Données projet'!$B$16,Paramètres!$A$1:$I$89,3,0)*VLOOKUP('Données projet'!$B$16,Paramètres!$A$1:$I$89,5,0)</f>
        <v>186.43401771428569</v>
      </c>
      <c r="FG59" s="13">
        <f t="shared" si="47"/>
        <v>46.750697553897737</v>
      </c>
      <c r="FH59" s="20">
        <f t="shared" si="22"/>
        <v>406.13004575875283</v>
      </c>
      <c r="FI59" s="59">
        <f t="shared" si="23"/>
        <v>699.46337909208614</v>
      </c>
      <c r="FJ59" s="59">
        <f ca="1">AVERAGE(OFFSET($FI$3,0,0,'Données projet'!$E$16+1,1))-AVERAGE(OFFSET($H$3,0,0,'Données projet'!$E$16+1,1))</f>
        <v>415.8741608506952</v>
      </c>
      <c r="FK59" s="59">
        <f t="shared" si="48"/>
        <v>259.15848913719356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7.3457618003387246</v>
      </c>
      <c r="FR59" s="21">
        <f>EXP(-LN(2)/25)*FR58+(1-EXP(-LN(2)/25))/(LN(2)/25)*Calculateur!FM59*Calculateur!FO59*VLOOKUP('Données projet'!$B$16,Paramètres!$A$1:$I$89,3,0)*0.475*44/12</f>
        <v>34.29603373084025</v>
      </c>
      <c r="FS59" s="21">
        <f>EXP(-LN(2)/2)*FS58+(1-EXP(-LN(2)/2))/(LN(2)/2)*FM59*FP59*VLOOKUP('Données projet'!$B$16,Paramètres!$A$1:$I$89,3,0)*0.475*44/12</f>
        <v>1.3428452583875394</v>
      </c>
      <c r="FT59" s="22">
        <f t="shared" si="24"/>
        <v>42.984640789566512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9.8828571428571443</v>
      </c>
      <c r="FZ59" s="12">
        <f>IF('Données projet'!$A$244&gt;35,FZ58+FY59-GH58,IF(A59&lt;'Données projet'!$A$244,$FW$205^A59,IF(A59='Données projet'!$A$244,'Données projet'!$B$244,FZ58+FY59-GH58)))</f>
        <v>173.20142857142855</v>
      </c>
      <c r="GA59" s="17">
        <f>FZ59*VLOOKUP('Données projet'!$B$17,Paramètres!$A$1:$I$89,3,0)*VLOOKUP('Données projet'!$B$17,Paramètres!$A$1:$I$89,5,0)</f>
        <v>148.60682571428572</v>
      </c>
      <c r="GB59" s="13">
        <f t="shared" si="49"/>
        <v>38.261810030041559</v>
      </c>
      <c r="GC59" s="20">
        <f t="shared" si="25"/>
        <v>325.46287392136998</v>
      </c>
      <c r="GD59" s="59">
        <f t="shared" si="26"/>
        <v>618.79620725470329</v>
      </c>
      <c r="GE59" s="59">
        <f ca="1">AVERAGE(OFFSET($GD$3,0,0,'Données projet'!$E$17+1,1))-AVERAGE(OFFSET($H$3,0,0,'Données projet'!$E$17+1,1))</f>
        <v>322.39807389980882</v>
      </c>
      <c r="GF59" s="59">
        <f t="shared" si="50"/>
        <v>202.59410055732792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7.217019092681964</v>
      </c>
      <c r="GM59" s="21">
        <f>EXP(-LN(2)/25)*GM58+(1-EXP(-LN(2)/25))/(LN(2)/25)*Calculateur!GH59*Calculateur!GJ59*VLOOKUP('Données projet'!$B$17,Paramètres!$A$1:$I$89,3,0)*0.475*44/12</f>
        <v>33.694957305493531</v>
      </c>
      <c r="GN59" s="21">
        <f>EXP(-LN(2)/2)*GN58+(1-EXP(-LN(2)/2))/(LN(2)/2)*GH59*GK59*VLOOKUP('Données projet'!$B$17,Paramètres!$A$1:$I$89,3,0)*0.475*44/12</f>
        <v>1.0703839016132561</v>
      </c>
      <c r="GO59" s="21">
        <f t="shared" si="27"/>
        <v>41.982360299788752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20.896199999999975</v>
      </c>
      <c r="D60" s="11">
        <f t="shared" si="32"/>
        <v>6.7602622772661327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213.48848073679105</v>
      </c>
      <c r="H60" s="67">
        <f t="shared" si="1"/>
        <v>341.5016717995718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12.346666666666669</v>
      </c>
      <c r="N60" s="13">
        <f>IF('Données projet'!$A$36&gt;35,N59+M60-V59,IF(A60&lt;'Données projet'!$A$36,$K$205^A60,IF(A60='Données projet'!$A$36,'Données projet'!$B$36,N59+M60-V59)))</f>
        <v>301.08999999999992</v>
      </c>
      <c r="O60" s="13">
        <f>N60*VLOOKUP('Données projet'!$B$9,Paramètres!$A$1:$I$89,3,0)*VLOOKUP('Données projet'!$B$9,Paramètres!$A$1:$I$89,5,0)</f>
        <v>140.91011999999995</v>
      </c>
      <c r="P60" s="13">
        <f t="shared" si="33"/>
        <v>36.505422512536292</v>
      </c>
      <c r="Q60" s="20">
        <f t="shared" si="53"/>
        <v>308.99873654266725</v>
      </c>
      <c r="R60" s="59">
        <f t="shared" si="0"/>
        <v>602.33206987600056</v>
      </c>
      <c r="S60" s="59">
        <f ca="1">AVERAGE(OFFSET($R$3,0,0,'Données projet'!$E$9+1,1))-AVERAGE(OFFSET($H$3,0,0,'Données projet'!$E$9+1,1))</f>
        <v>215.77907571824977</v>
      </c>
      <c r="T60" s="59">
        <f t="shared" si="34"/>
        <v>174.69390149594869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7.6998093861028529</v>
      </c>
      <c r="AA60" s="21">
        <f>EXP(-LN(2)/25)*AA59+(1-EXP(-LN(2)/25))/(LN(2)/25)*Calculateur!V60*Calculateur!X60*VLOOKUP('Données projet'!$B$9,Paramètres!$A$1:$I$89,3,0)*0.475*44/12</f>
        <v>10.823962387813403</v>
      </c>
      <c r="AB60" s="21">
        <f>EXP(-LN(2)/2)*AB59+(1-EXP(-LN(2)/2))/(LN(2)/2)*V60*Y60*VLOOKUP('Données projet'!$B$9,Paramètres!$A$1:$I$89,3,0)*0.475*44/12</f>
        <v>2.556720245280276</v>
      </c>
      <c r="AC60" s="22">
        <f t="shared" si="3"/>
        <v>21.08049201919653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10.091249999999999</v>
      </c>
      <c r="AI60" s="13">
        <f>IF('Données projet'!$A$62&gt;35,AI59+AH60-AQ59,IF(A60&lt;'Données projet'!$A$62,$AF$205^A60,IF(A60='Données projet'!$A$62,'Données projet'!$B$62,AI59+AH60-AQ59)))</f>
        <v>274.98374999999982</v>
      </c>
      <c r="AJ60" s="13">
        <f>AI60*VLOOKUP('Données projet'!$B$10,Paramètres!$A$1:$I$89,3,0)*VLOOKUP('Données projet'!$B$10,Paramètres!$A$1:$I$89,5,0)</f>
        <v>164.44028249999988</v>
      </c>
      <c r="AK60" s="13">
        <f t="shared" si="35"/>
        <v>41.842432378587262</v>
      </c>
      <c r="AL60" s="20">
        <f t="shared" si="4"/>
        <v>359.2757284135393</v>
      </c>
      <c r="AM60" s="59">
        <f t="shared" si="5"/>
        <v>652.60906174687261</v>
      </c>
      <c r="AN60" s="59">
        <f ca="1">AVERAGE(OFFSET($AM$3,0,0,'Données projet'!$E$10+1,1))-AVERAGE(OFFSET($H$3,0,0,'Données projet'!$E$10+1,1))</f>
        <v>171.701352621833</v>
      </c>
      <c r="AO60" s="59">
        <f t="shared" si="36"/>
        <v>195.58435749168586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35.902440562954212</v>
      </c>
      <c r="AV60" s="21">
        <f>EXP(-LN(2)/25)*AV59+(1-EXP(-LN(2)/25))/(LN(2)/25)*Calculateur!AQ60*Calculateur!AS60*VLOOKUP('Données projet'!$B$10,Paramètres!$A$1:$I$89,3,0)*0.475*44/12</f>
        <v>16.352877863068457</v>
      </c>
      <c r="AW60" s="21">
        <f>EXP(-LN(2)/2)*AW59+(1-EXP(-LN(2)/2))/(LN(2)/2)*AQ60*AT60*VLOOKUP('Données projet'!$B$10,Paramètres!$A$1:$I$89,3,0)*0.475*44/12</f>
        <v>3.673981120870609</v>
      </c>
      <c r="AX60" s="21">
        <f t="shared" si="6"/>
        <v>55.929299546893276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18.2</v>
      </c>
      <c r="BD60" s="12">
        <f>IF('Données projet'!$A$88&gt;35,BD59+BC60-BL59,IF(A60&lt;'Données projet'!$A$88,$BA$205^A60,IF(A60='Données projet'!$A$88,'Données projet'!$B$88,BD59+BC60-BL59)))</f>
        <v>522.39999999999964</v>
      </c>
      <c r="BE60" s="13">
        <f>BD60*VLOOKUP('Données projet'!$B$11,Paramètres!$A$1:$I$89,3,0)*VLOOKUP('Données projet'!$B$11,Paramètres!$A$1:$I$89,5,0)</f>
        <v>271.64799999999985</v>
      </c>
      <c r="BF60" s="13">
        <f t="shared" si="37"/>
        <v>65.198892519225097</v>
      </c>
      <c r="BG60" s="20">
        <f t="shared" si="7"/>
        <v>586.67500447098348</v>
      </c>
      <c r="BH60" s="59">
        <f t="shared" si="8"/>
        <v>880.00833780431685</v>
      </c>
      <c r="BI60" s="59">
        <f ca="1">AVERAGE(OFFSET($BH$3,0,0,'Données projet'!$E$11+1,1))-AVERAGE(OFFSET($H$3,0,0,'Données projet'!$E$11+1,1))</f>
        <v>348.29124901999882</v>
      </c>
      <c r="BJ60" s="59">
        <f t="shared" si="38"/>
        <v>284.30034973939053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39.992621558192873</v>
      </c>
      <c r="BQ60" s="21">
        <f>EXP(-LN(2)/25)*BQ59+(1-EXP(-LN(2)/25))/(LN(2)/25)*Calculateur!BL60*Calculateur!BN60*VLOOKUP('Données projet'!$B$11,Paramètres!$A$1:$I$89,3,0)*0.475*44/12</f>
        <v>28.368308305494775</v>
      </c>
      <c r="BR60" s="21">
        <f>EXP(-LN(2)/2)*BR59+(1-EXP(-LN(2)/2))/(LN(2)/2)*BL60*BO60*VLOOKUP('Données projet'!$B$11,Paramètres!$A$1:$I$89,3,0)*0.475*44/12</f>
        <v>4.1176156166527189</v>
      </c>
      <c r="BS60" s="22">
        <f t="shared" si="9"/>
        <v>72.478545480340358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7.5706666666666669</v>
      </c>
      <c r="BY60" s="12">
        <f>IF('Données projet'!$A$114&gt;35,BY59+BX60-CG59,IF(A60&lt;'Données projet'!$A$114,$BV$205^A60,IF(A60='Données projet'!$A$114,'Données projet'!$B$114,BY59+BX60-CG59)))</f>
        <v>221.21799999999999</v>
      </c>
      <c r="BZ60" s="13">
        <f>BY60*VLOOKUP('Données projet'!$B$12,Paramètres!$A$1:$I$89,3,0)*VLOOKUP('Données projet'!$B$12,Paramètres!$A$1:$I$89,5,0)</f>
        <v>132.288364</v>
      </c>
      <c r="CA60" s="13">
        <f t="shared" si="39"/>
        <v>34.524594860941505</v>
      </c>
      <c r="CB60" s="20">
        <f t="shared" si="10"/>
        <v>290.5325700161398</v>
      </c>
      <c r="CC60" s="59">
        <f t="shared" si="11"/>
        <v>583.86590334947311</v>
      </c>
      <c r="CD60" s="59">
        <f ca="1">AVERAGE(OFFSET($CC$3,0,0,'Données projet'!$E$12+1,1))-AVERAGE(OFFSET($H$3,0,0,'Données projet'!$E$12+1,1))</f>
        <v>185.82627135915504</v>
      </c>
      <c r="CE60" s="59">
        <f t="shared" si="40"/>
        <v>155.46126452522037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5.2240790723687729</v>
      </c>
      <c r="CL60" s="21">
        <f>EXP(-LN(2)/25)*CL59+(1-EXP(-LN(2)/25))/(LN(2)/25)*Calculateur!CG60*Calculateur!CI60*VLOOKUP('Données projet'!$B$12,Paramètres!$A$1:$I$89,3,0)*0.475*44/12</f>
        <v>7.0028364793553255</v>
      </c>
      <c r="CM60" s="21">
        <f>EXP(-LN(2)/2)*CM59+(1-EXP(-LN(2)/2))/(LN(2)/2)*CG60*CJ60*VLOOKUP('Données projet'!$B$12,Paramètres!$A$1:$I$89,3,0)*0.475*44/12</f>
        <v>0.29845462205630041</v>
      </c>
      <c r="CN60" s="22">
        <f t="shared" si="12"/>
        <v>12.525370173780399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1.9846153846153853</v>
      </c>
      <c r="CT60" s="12">
        <f>IF('Données projet'!$A$140&gt;35,CT59+CS60-DB59,IF(A60&lt;'Données projet'!$A$140,$CQ$205^A60,IF(A60='Données projet'!$A$140,'Données projet'!$B$140,CT59+CS60-DB59)))</f>
        <v>90.507692307692309</v>
      </c>
      <c r="CU60" s="17">
        <f>CT60*VLOOKUP('Données projet'!$B$13,Paramètres!$A$1:$I$89,3,0)*VLOOKUP('Données projet'!$B$13,Paramètres!$A$1:$I$89,5,0)</f>
        <v>104.26486153846155</v>
      </c>
      <c r="CV60" s="13">
        <f t="shared" si="41"/>
        <v>27.975559171049323</v>
      </c>
      <c r="CW60" s="20">
        <f t="shared" si="13"/>
        <v>230.3187327357314</v>
      </c>
      <c r="CX60" s="59">
        <f t="shared" si="14"/>
        <v>523.65206606906474</v>
      </c>
      <c r="CY60" s="59">
        <f ca="1">AVERAGE(OFFSET($CX$3,0,0,'Données projet'!$E$13+1,1))-AVERAGE(OFFSET($H$3,0,0,'Données projet'!$E$13+1,1))</f>
        <v>150.78964413039063</v>
      </c>
      <c r="CZ60" s="59">
        <f t="shared" si="42"/>
        <v>131.90332435966184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3.1685611443236308</v>
      </c>
      <c r="DG60" s="21">
        <f>EXP(-LN(2)/25)*DG59+(1-EXP(-LN(2)/25))/(LN(2)/25)*Calculateur!DB60*Calculateur!DD60*VLOOKUP('Données projet'!$B$13,Paramètres!$A$1:$I$89,3,0)*0.475*44/12</f>
        <v>2.713870434108816</v>
      </c>
      <c r="DH60" s="21">
        <f>EXP(-LN(2)/2)*DH59+(1-EXP(-LN(2)/2))/(LN(2)/2)*DB60*DE60*VLOOKUP('Données projet'!$B$13,Paramètres!$A$1:$I$89,3,0)*0.475*44/12</f>
        <v>0.15356060699527913</v>
      </c>
      <c r="DI60" s="22">
        <f t="shared" si="15"/>
        <v>6.0359921854277268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2.3076923076923066</v>
      </c>
      <c r="DO60" s="12">
        <f>IF('Données projet'!$A$166&gt;35,DO59+DN60-DW59,IF(A60&lt;'Données projet'!$A$166,$DL$205^A60,IF(A60='Données projet'!$A$166,'Données projet'!$B$166,DO59+DN60-DW59)))</f>
        <v>82.82051282051286</v>
      </c>
      <c r="DP60" s="17">
        <f>DO60*VLOOKUP('Données projet'!$B$14,Paramètres!$A$1:$I$89,3,0)*VLOOKUP('Données projet'!$B$14,Paramètres!$A$1:$I$89,5,0)</f>
        <v>86.56400000000005</v>
      </c>
      <c r="DQ60" s="13">
        <f t="shared" si="43"/>
        <v>23.734676547962046</v>
      </c>
      <c r="DR60" s="20">
        <f t="shared" si="16"/>
        <v>192.10352832103396</v>
      </c>
      <c r="DS60" s="59">
        <f t="shared" si="17"/>
        <v>485.43686165436725</v>
      </c>
      <c r="DT60" s="59">
        <f ca="1">AVERAGE(OFFSET($DS$3,0,0,'Données projet'!$E$14+1,1))-AVERAGE(OFFSET($H$3,0,0,'Données projet'!$E$14+1,1))</f>
        <v>110.10595934547638</v>
      </c>
      <c r="DU60" s="59">
        <f t="shared" si="44"/>
        <v>131.10971921141493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9.6007705273301998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9.6007705273301998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3.3603333333333336</v>
      </c>
      <c r="EJ60" s="12">
        <f>IF('Données projet'!$A$192&gt;35,EJ59+EI60-ER59,IF(A60&lt;'Données projet'!$A$192,$EG$205^A60,IF(A60='Données projet'!$A$192,'Données projet'!$B$192,EJ59+EI60-ER59)))</f>
        <v>191.5389999999999</v>
      </c>
      <c r="EK60" s="17">
        <f>EJ60*VLOOKUP('Données projet'!$B$15,Paramètres!$A$1:$I$89,3,0)*VLOOKUP('Données projet'!$B$15,Paramètres!$A$1:$I$89,5,0)</f>
        <v>194.22054599999993</v>
      </c>
      <c r="EL60" s="13">
        <f t="shared" si="45"/>
        <v>48.471859170137883</v>
      </c>
      <c r="EM60" s="20">
        <f t="shared" si="19"/>
        <v>422.68927233798996</v>
      </c>
      <c r="EN60" s="59">
        <f t="shared" si="20"/>
        <v>716.02260567132328</v>
      </c>
      <c r="EO60" s="59">
        <f ca="1">AVERAGE(OFFSET($EN$3,0,0,'Données projet'!$E$15+1,1))-AVERAGE(OFFSET($H$3,0,0,'Données projet'!$E$15+1,1))</f>
        <v>420.38735944595965</v>
      </c>
      <c r="EP60" s="59">
        <f t="shared" si="46"/>
        <v>200.0823542414671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9.8828571428571443</v>
      </c>
      <c r="FE60" s="12">
        <f>IF('Données projet'!$A$218&gt;35,FE59+FD60-FM59,IF(A60&lt;'Données projet'!$A$218,$FB$205^A60,IF(A60='Données projet'!$A$218,'Données projet'!$B$218,FE59+FD60-FM59)))</f>
        <v>183.0842857142857</v>
      </c>
      <c r="FF60" s="17">
        <f>FE60*VLOOKUP('Données projet'!$B$16,Paramètres!$A$1:$I$89,3,0)*VLOOKUP('Données projet'!$B$16,Paramètres!$A$1:$I$89,5,0)</f>
        <v>197.07192514285711</v>
      </c>
      <c r="FG60" s="13">
        <f t="shared" si="47"/>
        <v>49.100114176354296</v>
      </c>
      <c r="FH60" s="20">
        <f t="shared" si="22"/>
        <v>428.74963514762658</v>
      </c>
      <c r="FI60" s="59">
        <f t="shared" si="23"/>
        <v>722.08296848095983</v>
      </c>
      <c r="FJ60" s="59">
        <f ca="1">AVERAGE(OFFSET($FI$3,0,0,'Données projet'!$E$16+1,1))-AVERAGE(OFFSET($H$3,0,0,'Données projet'!$E$16+1,1))</f>
        <v>415.8741608506952</v>
      </c>
      <c r="FK60" s="59">
        <f t="shared" si="48"/>
        <v>259.15848913719356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7.2017158919063702</v>
      </c>
      <c r="FR60" s="21">
        <f>EXP(-LN(2)/25)*FR59+(1-EXP(-LN(2)/25))/(LN(2)/25)*Calculateur!FM60*Calculateur!FO60*VLOOKUP('Données projet'!$B$16,Paramètres!$A$1:$I$89,3,0)*0.475*44/12</f>
        <v>33.358206884920392</v>
      </c>
      <c r="FS60" s="21">
        <f>EXP(-LN(2)/2)*FS59+(1-EXP(-LN(2)/2))/(LN(2)/2)*FM60*FP60*VLOOKUP('Données projet'!$B$16,Paramètres!$A$1:$I$89,3,0)*0.475*44/12</f>
        <v>0.9495349882900308</v>
      </c>
      <c r="FT60" s="22">
        <f t="shared" si="24"/>
        <v>41.509457765116792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9.8828571428571443</v>
      </c>
      <c r="FZ60" s="12">
        <f>IF('Données projet'!$A$244&gt;35,FZ59+FY60-GH59,IF(A60&lt;'Données projet'!$A$244,$FW$205^A60,IF(A60='Données projet'!$A$244,'Données projet'!$B$244,FZ59+FY60-GH59)))</f>
        <v>183.0842857142857</v>
      </c>
      <c r="GA60" s="17">
        <f>FZ60*VLOOKUP('Données projet'!$B$17,Paramètres!$A$1:$I$89,3,0)*VLOOKUP('Données projet'!$B$17,Paramètres!$A$1:$I$89,5,0)</f>
        <v>157.08631714285715</v>
      </c>
      <c r="GB60" s="13">
        <f t="shared" si="49"/>
        <v>40.184624815558237</v>
      </c>
      <c r="GC60" s="20">
        <f t="shared" si="25"/>
        <v>343.5802239109068</v>
      </c>
      <c r="GD60" s="59">
        <f t="shared" si="26"/>
        <v>636.91355724424011</v>
      </c>
      <c r="GE60" s="59">
        <f ca="1">AVERAGE(OFFSET($GD$3,0,0,'Données projet'!$E$17+1,1))-AVERAGE(OFFSET($H$3,0,0,'Données projet'!$E$17+1,1))</f>
        <v>322.39807389980882</v>
      </c>
      <c r="GF60" s="59">
        <f t="shared" si="50"/>
        <v>202.59410055732792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7.0754977502214613</v>
      </c>
      <c r="GM60" s="21">
        <f>EXP(-LN(2)/25)*GM59+(1-EXP(-LN(2)/25))/(LN(2)/25)*Calculateur!GH60*Calculateur!GJ60*VLOOKUP('Données projet'!$B$17,Paramètres!$A$1:$I$89,3,0)*0.475*44/12</f>
        <v>32.773566926034015</v>
      </c>
      <c r="GN60" s="21">
        <f>EXP(-LN(2)/2)*GN59+(1-EXP(-LN(2)/2))/(LN(2)/2)*GH60*GK60*VLOOKUP('Données projet'!$B$17,Paramètres!$A$1:$I$89,3,0)*0.475*44/12</f>
        <v>0.75687571530364772</v>
      </c>
      <c r="GO60" s="21">
        <f t="shared" si="27"/>
        <v>40.605940391559123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21.262799999999974</v>
      </c>
      <c r="D61" s="11">
        <f t="shared" si="32"/>
        <v>6.8649518926832798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217.12650583825669</v>
      </c>
      <c r="H61" s="67">
        <f t="shared" si="1"/>
        <v>342.32250121308999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12.346666666666669</v>
      </c>
      <c r="N61" s="13">
        <f>IF('Données projet'!$A$36&gt;35,N60+M61-V60,IF(A61&lt;'Données projet'!$A$36,$K$205^A61,IF(A61='Données projet'!$A$36,'Données projet'!$B$36,N60+M61-V60)))</f>
        <v>313.43666666666661</v>
      </c>
      <c r="O61" s="13">
        <f>N61*VLOOKUP('Données projet'!$B$9,Paramètres!$A$1:$I$89,3,0)*VLOOKUP('Données projet'!$B$9,Paramètres!$A$1:$I$89,5,0)</f>
        <v>146.68835999999999</v>
      </c>
      <c r="P61" s="13">
        <f t="shared" si="33"/>
        <v>37.82502850366479</v>
      </c>
      <c r="Q61" s="20">
        <f t="shared" si="53"/>
        <v>321.36081831054946</v>
      </c>
      <c r="R61" s="59">
        <f t="shared" si="0"/>
        <v>614.69415164388283</v>
      </c>
      <c r="S61" s="59">
        <f ca="1">AVERAGE(OFFSET($R$3,0,0,'Données projet'!$E$9+1,1))-AVERAGE(OFFSET($H$3,0,0,'Données projet'!$E$9+1,1))</f>
        <v>215.77907571824977</v>
      </c>
      <c r="T61" s="59">
        <f t="shared" si="34"/>
        <v>174.69390149594869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7.5488208204613683</v>
      </c>
      <c r="AA61" s="21">
        <f>EXP(-LN(2)/25)*AA60+(1-EXP(-LN(2)/25))/(LN(2)/25)*Calculateur!V61*Calculateur!X61*VLOOKUP('Données projet'!$B$9,Paramètres!$A$1:$I$89,3,0)*0.475*44/12</f>
        <v>10.527980567111202</v>
      </c>
      <c r="AB61" s="21">
        <f>EXP(-LN(2)/2)*AB60+(1-EXP(-LN(2)/2))/(LN(2)/2)*V61*Y61*VLOOKUP('Données projet'!$B$9,Paramètres!$A$1:$I$89,3,0)*0.475*44/12</f>
        <v>1.8078742230346163</v>
      </c>
      <c r="AC61" s="22">
        <f t="shared" si="3"/>
        <v>19.884675610607186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10.091249999999999</v>
      </c>
      <c r="AI61" s="13">
        <f>IF('Données projet'!$A$62&gt;35,AI60+AH61-AQ60,IF(A61&lt;'Données projet'!$A$62,$AF$205^A61,IF(A61='Données projet'!$A$62,'Données projet'!$B$62,AI60+AH61-AQ60)))</f>
        <v>285.07499999999982</v>
      </c>
      <c r="AJ61" s="13">
        <f>AI61*VLOOKUP('Données projet'!$B$10,Paramètres!$A$1:$I$89,3,0)*VLOOKUP('Données projet'!$B$10,Paramètres!$A$1:$I$89,5,0)</f>
        <v>170.47484999999989</v>
      </c>
      <c r="AK61" s="13">
        <f t="shared" si="35"/>
        <v>43.196356918040692</v>
      </c>
      <c r="AL61" s="20">
        <f t="shared" si="4"/>
        <v>372.14401871558738</v>
      </c>
      <c r="AM61" s="59">
        <f t="shared" si="5"/>
        <v>665.47735204892069</v>
      </c>
      <c r="AN61" s="59">
        <f ca="1">AVERAGE(OFFSET($AM$3,0,0,'Données projet'!$E$10+1,1))-AVERAGE(OFFSET($H$3,0,0,'Données projet'!$E$10+1,1))</f>
        <v>171.701352621833</v>
      </c>
      <c r="AO61" s="59">
        <f t="shared" si="36"/>
        <v>195.58435749168586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35.198415601841141</v>
      </c>
      <c r="AV61" s="21">
        <f>EXP(-LN(2)/25)*AV60+(1-EXP(-LN(2)/25))/(LN(2)/25)*Calculateur!AQ61*Calculateur!AS61*VLOOKUP('Données projet'!$B$10,Paramètres!$A$1:$I$89,3,0)*0.475*44/12</f>
        <v>15.905707557942378</v>
      </c>
      <c r="AW61" s="21">
        <f>EXP(-LN(2)/2)*AW60+(1-EXP(-LN(2)/2))/(LN(2)/2)*AQ61*AT61*VLOOKUP('Données projet'!$B$10,Paramètres!$A$1:$I$89,3,0)*0.475*44/12</f>
        <v>2.5978969645189607</v>
      </c>
      <c r="AX61" s="21">
        <f t="shared" si="6"/>
        <v>53.702020124302479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18.2</v>
      </c>
      <c r="BD61" s="12">
        <f>IF('Données projet'!$A$88&gt;35,BD60+BC61-BL60,IF(A61&lt;'Données projet'!$A$88,$BA$205^A61,IF(A61='Données projet'!$A$88,'Données projet'!$B$88,BD60+BC61-BL60)))</f>
        <v>540.59999999999968</v>
      </c>
      <c r="BE61" s="13">
        <f>BD61*VLOOKUP('Données projet'!$B$11,Paramètres!$A$1:$I$89,3,0)*VLOOKUP('Données projet'!$B$11,Paramètres!$A$1:$I$89,5,0)</f>
        <v>281.11199999999985</v>
      </c>
      <c r="BF61" s="13">
        <f t="shared" si="37"/>
        <v>67.201952210764944</v>
      </c>
      <c r="BG61" s="20">
        <f t="shared" si="7"/>
        <v>606.64680010041536</v>
      </c>
      <c r="BH61" s="59">
        <f t="shared" si="8"/>
        <v>899.98013343374873</v>
      </c>
      <c r="BI61" s="59">
        <f ca="1">AVERAGE(OFFSET($BH$3,0,0,'Données projet'!$E$11+1,1))-AVERAGE(OFFSET($H$3,0,0,'Données projet'!$E$11+1,1))</f>
        <v>348.29124901999882</v>
      </c>
      <c r="BJ61" s="59">
        <f t="shared" si="38"/>
        <v>284.30034973939053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39.208390642527242</v>
      </c>
      <c r="BQ61" s="21">
        <f>EXP(-LN(2)/25)*BQ60+(1-EXP(-LN(2)/25))/(LN(2)/25)*Calculateur!BL61*Calculateur!BN61*VLOOKUP('Données projet'!$B$11,Paramètres!$A$1:$I$89,3,0)*0.475*44/12</f>
        <v>27.592575423056523</v>
      </c>
      <c r="BR61" s="21">
        <f>EXP(-LN(2)/2)*BR60+(1-EXP(-LN(2)/2))/(LN(2)/2)*BL61*BO61*VLOOKUP('Données projet'!$B$11,Paramètres!$A$1:$I$89,3,0)*0.475*44/12</f>
        <v>2.9115939248547651</v>
      </c>
      <c r="BS61" s="22">
        <f t="shared" si="9"/>
        <v>69.712559990438535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7.5706666666666669</v>
      </c>
      <c r="BY61" s="12">
        <f>IF('Données projet'!$A$114&gt;35,BY60+BX61-CG60,IF(A61&lt;'Données projet'!$A$114,$BV$205^A61,IF(A61='Données projet'!$A$114,'Données projet'!$B$114,BY60+BX61-CG60)))</f>
        <v>228.78866666666664</v>
      </c>
      <c r="BZ61" s="13">
        <f>BY61*VLOOKUP('Données projet'!$B$12,Paramètres!$A$1:$I$89,3,0)*VLOOKUP('Données projet'!$B$12,Paramètres!$A$1:$I$89,5,0)</f>
        <v>136.81562266666666</v>
      </c>
      <c r="CA61" s="13">
        <f t="shared" si="39"/>
        <v>35.566535390073625</v>
      </c>
      <c r="CB61" s="20">
        <f t="shared" si="10"/>
        <v>300.23225861548934</v>
      </c>
      <c r="CC61" s="59">
        <f t="shared" si="11"/>
        <v>593.56559194882266</v>
      </c>
      <c r="CD61" s="59">
        <f ca="1">AVERAGE(OFFSET($CC$3,0,0,'Données projet'!$E$12+1,1))-AVERAGE(OFFSET($H$3,0,0,'Données projet'!$E$12+1,1))</f>
        <v>185.82627135915504</v>
      </c>
      <c r="CE61" s="59">
        <f t="shared" si="40"/>
        <v>155.46126452522037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5.121638068133227</v>
      </c>
      <c r="CL61" s="21">
        <f>EXP(-LN(2)/25)*CL60+(1-EXP(-LN(2)/25))/(LN(2)/25)*Calculateur!CG61*Calculateur!CI61*VLOOKUP('Données projet'!$B$12,Paramètres!$A$1:$I$89,3,0)*0.475*44/12</f>
        <v>6.8113435475641886</v>
      </c>
      <c r="CM61" s="21">
        <f>EXP(-LN(2)/2)*CM60+(1-EXP(-LN(2)/2))/(LN(2)/2)*CG61*CJ61*VLOOKUP('Données projet'!$B$12,Paramètres!$A$1:$I$89,3,0)*0.475*44/12</f>
        <v>0.21103928713247816</v>
      </c>
      <c r="CN61" s="22">
        <f t="shared" si="12"/>
        <v>12.144020902829892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1.9846153846153853</v>
      </c>
      <c r="CT61" s="12">
        <f>IF('Données projet'!$A$140&gt;35,CT60+CS61-DB60,IF(A61&lt;'Données projet'!$A$140,$CQ$205^A61,IF(A61='Données projet'!$A$140,'Données projet'!$B$140,CT60+CS61-DB60)))</f>
        <v>92.492307692307691</v>
      </c>
      <c r="CU61" s="17">
        <f>CT61*VLOOKUP('Données projet'!$B$13,Paramètres!$A$1:$I$89,3,0)*VLOOKUP('Données projet'!$B$13,Paramètres!$A$1:$I$89,5,0)</f>
        <v>106.55113846153844</v>
      </c>
      <c r="CV61" s="13">
        <f t="shared" si="41"/>
        <v>28.516905538849414</v>
      </c>
      <c r="CW61" s="20">
        <f t="shared" si="13"/>
        <v>235.24350996734219</v>
      </c>
      <c r="CX61" s="59">
        <f t="shared" si="14"/>
        <v>528.57684330067548</v>
      </c>
      <c r="CY61" s="59">
        <f ca="1">AVERAGE(OFFSET($CX$3,0,0,'Données projet'!$E$13+1,1))-AVERAGE(OFFSET($H$3,0,0,'Données projet'!$E$13+1,1))</f>
        <v>150.78964413039063</v>
      </c>
      <c r="CZ61" s="59">
        <f t="shared" si="42"/>
        <v>131.90332435966184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3.106427592914911</v>
      </c>
      <c r="DG61" s="21">
        <f>EXP(-LN(2)/25)*DG60+(1-EXP(-LN(2)/25))/(LN(2)/25)*Calculateur!DB61*Calculateur!DD61*VLOOKUP('Données projet'!$B$13,Paramètres!$A$1:$I$89,3,0)*0.475*44/12</f>
        <v>2.6396595043718669</v>
      </c>
      <c r="DH61" s="21">
        <f>EXP(-LN(2)/2)*DH60+(1-EXP(-LN(2)/2))/(LN(2)/2)*DB61*DE61*VLOOKUP('Données projet'!$B$13,Paramètres!$A$1:$I$89,3,0)*0.475*44/12</f>
        <v>0.10858374652948426</v>
      </c>
      <c r="DI61" s="22">
        <f t="shared" si="15"/>
        <v>5.8546708438162618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2.3076923076923066</v>
      </c>
      <c r="DO61" s="12">
        <f>IF('Données projet'!$A$166&gt;35,DO60+DN61-DW60,IF(A61&lt;'Données projet'!$A$166,$DL$205^A61,IF(A61='Données projet'!$A$166,'Données projet'!$B$166,DO60+DN61-DW60)))</f>
        <v>85.128205128205167</v>
      </c>
      <c r="DP61" s="17">
        <f>DO61*VLOOKUP('Données projet'!$B$14,Paramètres!$A$1:$I$89,3,0)*VLOOKUP('Données projet'!$B$14,Paramètres!$A$1:$I$89,5,0)</f>
        <v>88.976000000000056</v>
      </c>
      <c r="DQ61" s="13">
        <f t="shared" si="43"/>
        <v>24.318096618795487</v>
      </c>
      <c r="DR61" s="20">
        <f t="shared" si="16"/>
        <v>197.32055161106891</v>
      </c>
      <c r="DS61" s="59">
        <f t="shared" si="17"/>
        <v>490.65388494440219</v>
      </c>
      <c r="DT61" s="59">
        <f ca="1">AVERAGE(OFFSET($DS$3,0,0,'Données projet'!$E$14+1,1))-AVERAGE(OFFSET($H$3,0,0,'Données projet'!$E$14+1,1))</f>
        <v>110.10595934547638</v>
      </c>
      <c r="DU61" s="59">
        <f t="shared" si="44"/>
        <v>131.10971921141493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9.3382369523777768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9.3382369523777768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3.3603333333333336</v>
      </c>
      <c r="EJ61" s="12">
        <f>IF('Données projet'!$A$192&gt;35,EJ60+EI61-ER60,IF(A61&lt;'Données projet'!$A$192,$EG$205^A61,IF(A61='Données projet'!$A$192,'Données projet'!$B$192,EJ60+EI61-ER60)))</f>
        <v>194.89933333333323</v>
      </c>
      <c r="EK61" s="17">
        <f>EJ61*VLOOKUP('Données projet'!$B$15,Paramètres!$A$1:$I$89,3,0)*VLOOKUP('Données projet'!$B$15,Paramètres!$A$1:$I$89,5,0)</f>
        <v>197.62792399999992</v>
      </c>
      <c r="EL61" s="13">
        <f t="shared" si="45"/>
        <v>49.222495770753348</v>
      </c>
      <c r="EM61" s="20">
        <f t="shared" si="19"/>
        <v>429.93114776739526</v>
      </c>
      <c r="EN61" s="59">
        <f t="shared" si="20"/>
        <v>723.26448110072852</v>
      </c>
      <c r="EO61" s="59">
        <f ca="1">AVERAGE(OFFSET($EN$3,0,0,'Données projet'!$E$15+1,1))-AVERAGE(OFFSET($H$3,0,0,'Données projet'!$E$15+1,1))</f>
        <v>420.38735944595965</v>
      </c>
      <c r="EP61" s="59">
        <f t="shared" si="46"/>
        <v>200.0823542414671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9.8828571428571443</v>
      </c>
      <c r="FE61" s="12">
        <f>IF('Données projet'!$A$218&gt;35,FE60+FD61-FM60,IF(A61&lt;'Données projet'!$A$218,$FB$205^A61,IF(A61='Données projet'!$A$218,'Données projet'!$B$218,FE60+FD61-FM60)))</f>
        <v>192.96714285714285</v>
      </c>
      <c r="FF61" s="17">
        <f>FE61*VLOOKUP('Données projet'!$B$16,Paramètres!$A$1:$I$89,3,0)*VLOOKUP('Données projet'!$B$16,Paramètres!$A$1:$I$89,5,0)</f>
        <v>207.70983257142854</v>
      </c>
      <c r="FG61" s="13">
        <f t="shared" si="47"/>
        <v>51.43480755556741</v>
      </c>
      <c r="FH61" s="20">
        <f t="shared" si="22"/>
        <v>451.34358155451793</v>
      </c>
      <c r="FI61" s="59">
        <f t="shared" si="23"/>
        <v>744.67691488785124</v>
      </c>
      <c r="FJ61" s="59">
        <f ca="1">AVERAGE(OFFSET($FI$3,0,0,'Données projet'!$E$16+1,1))-AVERAGE(OFFSET($H$3,0,0,'Données projet'!$E$16+1,1))</f>
        <v>415.8741608506952</v>
      </c>
      <c r="FK61" s="59">
        <f t="shared" si="48"/>
        <v>259.15848913719356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7.0604946358790457</v>
      </c>
      <c r="FR61" s="21">
        <f>EXP(-LN(2)/25)*FR60+(1-EXP(-LN(2)/25))/(LN(2)/25)*Calculateur!FM61*Calculateur!FO61*VLOOKUP('Données projet'!$B$16,Paramètres!$A$1:$I$89,3,0)*0.475*44/12</f>
        <v>32.446024963420385</v>
      </c>
      <c r="FS61" s="21">
        <f>EXP(-LN(2)/2)*FS60+(1-EXP(-LN(2)/2))/(LN(2)/2)*FM61*FP61*VLOOKUP('Données projet'!$B$16,Paramètres!$A$1:$I$89,3,0)*0.475*44/12</f>
        <v>0.67142262919376983</v>
      </c>
      <c r="FT61" s="22">
        <f t="shared" si="24"/>
        <v>40.177942228493201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9.8828571428571443</v>
      </c>
      <c r="FZ61" s="12">
        <f>IF('Données projet'!$A$244&gt;35,FZ60+FY61-GH60,IF(A61&lt;'Données projet'!$A$244,$FW$205^A61,IF(A61='Données projet'!$A$244,'Données projet'!$B$244,FZ60+FY61-GH60)))</f>
        <v>192.96714285714285</v>
      </c>
      <c r="GA61" s="17">
        <f>FZ61*VLOOKUP('Données projet'!$B$17,Paramètres!$A$1:$I$89,3,0)*VLOOKUP('Données projet'!$B$17,Paramètres!$A$1:$I$89,5,0)</f>
        <v>165.56580857142859</v>
      </c>
      <c r="GB61" s="13">
        <f t="shared" si="49"/>
        <v>42.095389771543374</v>
      </c>
      <c r="GC61" s="20">
        <f t="shared" si="25"/>
        <v>361.67658711400946</v>
      </c>
      <c r="GD61" s="59">
        <f t="shared" si="26"/>
        <v>655.00992044734278</v>
      </c>
      <c r="GE61" s="59">
        <f ca="1">AVERAGE(OFFSET($GD$3,0,0,'Données projet'!$E$17+1,1))-AVERAGE(OFFSET($H$3,0,0,'Données projet'!$E$17+1,1))</f>
        <v>322.39807389980882</v>
      </c>
      <c r="GF61" s="59">
        <f t="shared" si="50"/>
        <v>202.59410055732792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6.9367515549671133</v>
      </c>
      <c r="GM61" s="21">
        <f>EXP(-LN(2)/25)*GM60+(1-EXP(-LN(2)/25))/(LN(2)/25)*Calculateur!GH61*Calculateur!GJ61*VLOOKUP('Données projet'!$B$17,Paramètres!$A$1:$I$89,3,0)*0.475*44/12</f>
        <v>31.877372014954634</v>
      </c>
      <c r="GN61" s="21">
        <f>EXP(-LN(2)/2)*GN60+(1-EXP(-LN(2)/2))/(LN(2)/2)*GH61*GK61*VLOOKUP('Données projet'!$B$17,Paramètres!$A$1:$I$89,3,0)*0.475*44/12</f>
        <v>0.53519195080662807</v>
      </c>
      <c r="GO61" s="21">
        <f t="shared" si="27"/>
        <v>39.349315520728375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21.629399999999972</v>
      </c>
      <c r="D62" s="11">
        <f t="shared" si="32"/>
        <v>6.9694316065625932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220.76291064714962</v>
      </c>
      <c r="H62" s="67">
        <f t="shared" si="1"/>
        <v>343.14296504809647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12.346666666666669</v>
      </c>
      <c r="N62" s="13">
        <f>IF('Données projet'!$A$36&gt;35,N61+M62-V61,IF(A62&lt;'Données projet'!$A$36,$K$205^A62,IF(A62='Données projet'!$A$36,'Données projet'!$B$36,N61+M62-V61)))</f>
        <v>325.7833333333333</v>
      </c>
      <c r="O62" s="13">
        <f>N62*VLOOKUP('Données projet'!$B$9,Paramètres!$A$1:$I$89,3,0)*VLOOKUP('Données projet'!$B$9,Paramètres!$A$1:$I$89,5,0)</f>
        <v>152.46659999999997</v>
      </c>
      <c r="P62" s="13">
        <f t="shared" si="33"/>
        <v>39.138596113258984</v>
      </c>
      <c r="Q62" s="20">
        <f t="shared" si="53"/>
        <v>333.71238323059265</v>
      </c>
      <c r="R62" s="59">
        <f t="shared" si="0"/>
        <v>627.04571656392591</v>
      </c>
      <c r="S62" s="59">
        <f ca="1">AVERAGE(OFFSET($R$3,0,0,'Données projet'!$E$9+1,1))-AVERAGE(OFFSET($H$3,0,0,'Données projet'!$E$9+1,1))</f>
        <v>215.77907571824977</v>
      </c>
      <c r="T62" s="59">
        <f t="shared" si="34"/>
        <v>174.69390149594869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7.4007930484981816</v>
      </c>
      <c r="AA62" s="21">
        <f>EXP(-LN(2)/25)*AA61+(1-EXP(-LN(2)/25))/(LN(2)/25)*Calculateur!V62*Calculateur!X62*VLOOKUP('Données projet'!$B$9,Paramètres!$A$1:$I$89,3,0)*0.475*44/12</f>
        <v>10.240092384861111</v>
      </c>
      <c r="AB62" s="21">
        <f>EXP(-LN(2)/2)*AB61+(1-EXP(-LN(2)/2))/(LN(2)/2)*V62*Y62*VLOOKUP('Données projet'!$B$9,Paramètres!$A$1:$I$89,3,0)*0.475*44/12</f>
        <v>1.2783601226401382</v>
      </c>
      <c r="AC62" s="22">
        <f t="shared" si="3"/>
        <v>18.919245555999431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10.091249999999999</v>
      </c>
      <c r="AI62" s="13">
        <f>IF('Données projet'!$A$62&gt;35,AI61+AH62-AQ61,IF(A62&lt;'Données projet'!$A$62,$AF$205^A62,IF(A62='Données projet'!$A$62,'Données projet'!$B$62,AI61+AH62-AQ61)))</f>
        <v>295.16624999999982</v>
      </c>
      <c r="AJ62" s="13">
        <f>AI62*VLOOKUP('Données projet'!$B$10,Paramètres!$A$1:$I$89,3,0)*VLOOKUP('Données projet'!$B$10,Paramètres!$A$1:$I$89,5,0)</f>
        <v>176.5094174999999</v>
      </c>
      <c r="AK62" s="13">
        <f t="shared" si="35"/>
        <v>44.544713003092248</v>
      </c>
      <c r="AL62" s="20">
        <f t="shared" si="4"/>
        <v>385.00261062621888</v>
      </c>
      <c r="AM62" s="59">
        <f t="shared" si="5"/>
        <v>678.3359439595522</v>
      </c>
      <c r="AN62" s="59">
        <f ca="1">AVERAGE(OFFSET($AM$3,0,0,'Données projet'!$E$10+1,1))-AVERAGE(OFFSET($H$3,0,0,'Données projet'!$E$10+1,1))</f>
        <v>171.701352621833</v>
      </c>
      <c r="AO62" s="59">
        <f t="shared" si="36"/>
        <v>195.58435749168586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34.508196140802674</v>
      </c>
      <c r="AV62" s="21">
        <f>EXP(-LN(2)/25)*AV61+(1-EXP(-LN(2)/25))/(LN(2)/25)*Calculateur!AQ62*Calculateur!AS62*VLOOKUP('Données projet'!$B$10,Paramètres!$A$1:$I$89,3,0)*0.475*44/12</f>
        <v>15.470765148325636</v>
      </c>
      <c r="AW62" s="21">
        <f>EXP(-LN(2)/2)*AW61+(1-EXP(-LN(2)/2))/(LN(2)/2)*AQ62*AT62*VLOOKUP('Données projet'!$B$10,Paramètres!$A$1:$I$89,3,0)*0.475*44/12</f>
        <v>1.836990560435305</v>
      </c>
      <c r="AX62" s="21">
        <f t="shared" si="6"/>
        <v>51.815951849563611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18.2</v>
      </c>
      <c r="BD62" s="12">
        <f>IF('Données projet'!$A$88&gt;35,BD61+BC62-BL61,IF(A62&lt;'Données projet'!$A$88,$BA$205^A62,IF(A62='Données projet'!$A$88,'Données projet'!$B$88,BD61+BC62-BL61)))</f>
        <v>558.79999999999973</v>
      </c>
      <c r="BE62" s="13">
        <f>BD62*VLOOKUP('Données projet'!$B$11,Paramètres!$A$1:$I$89,3,0)*VLOOKUP('Données projet'!$B$11,Paramètres!$A$1:$I$89,5,0)</f>
        <v>290.57599999999985</v>
      </c>
      <c r="BF62" s="13">
        <f t="shared" si="37"/>
        <v>69.197176194621946</v>
      </c>
      <c r="BG62" s="20">
        <f t="shared" si="7"/>
        <v>626.60494853896626</v>
      </c>
      <c r="BH62" s="59">
        <f t="shared" si="8"/>
        <v>919.93828187229951</v>
      </c>
      <c r="BI62" s="59">
        <f ca="1">AVERAGE(OFFSET($BH$3,0,0,'Données projet'!$E$11+1,1))-AVERAGE(OFFSET($H$3,0,0,'Données projet'!$E$11+1,1))</f>
        <v>348.29124901999882</v>
      </c>
      <c r="BJ62" s="59">
        <f t="shared" si="38"/>
        <v>284.30034973939053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38.439538016784191</v>
      </c>
      <c r="BQ62" s="21">
        <f>EXP(-LN(2)/25)*BQ61+(1-EXP(-LN(2)/25))/(LN(2)/25)*Calculateur!BL62*Calculateur!BN62*VLOOKUP('Données projet'!$B$11,Paramètres!$A$1:$I$89,3,0)*0.475*44/12</f>
        <v>26.838054997082565</v>
      </c>
      <c r="BR62" s="21">
        <f>EXP(-LN(2)/2)*BR61+(1-EXP(-LN(2)/2))/(LN(2)/2)*BL62*BO62*VLOOKUP('Données projet'!$B$11,Paramètres!$A$1:$I$89,3,0)*0.475*44/12</f>
        <v>2.0588078083263595</v>
      </c>
      <c r="BS62" s="22">
        <f t="shared" si="9"/>
        <v>67.336400822193113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7.5706666666666669</v>
      </c>
      <c r="BY62" s="12">
        <f>IF('Données projet'!$A$114&gt;35,BY61+BX62-CG61,IF(A62&lt;'Données projet'!$A$114,$BV$205^A62,IF(A62='Données projet'!$A$114,'Données projet'!$B$114,BY61+BX62-CG61)))</f>
        <v>236.3593333333333</v>
      </c>
      <c r="BZ62" s="13">
        <f>BY62*VLOOKUP('Données projet'!$B$12,Paramètres!$A$1:$I$89,3,0)*VLOOKUP('Données projet'!$B$12,Paramètres!$A$1:$I$89,5,0)</f>
        <v>141.34288133333334</v>
      </c>
      <c r="CA62" s="13">
        <f t="shared" si="39"/>
        <v>36.604469622139852</v>
      </c>
      <c r="CB62" s="20">
        <f t="shared" si="10"/>
        <v>309.92496958078249</v>
      </c>
      <c r="CC62" s="59">
        <f t="shared" si="11"/>
        <v>603.2583029141158</v>
      </c>
      <c r="CD62" s="59">
        <f ca="1">AVERAGE(OFFSET($CC$3,0,0,'Données projet'!$E$12+1,1))-AVERAGE(OFFSET($H$3,0,0,'Données projet'!$E$12+1,1))</f>
        <v>185.82627135915504</v>
      </c>
      <c r="CE62" s="59">
        <f t="shared" si="40"/>
        <v>155.46126452522037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5.0212058695078969</v>
      </c>
      <c r="CL62" s="21">
        <f>EXP(-LN(2)/25)*CL61+(1-EXP(-LN(2)/25))/(LN(2)/25)*Calculateur!CG62*Calculateur!CI62*VLOOKUP('Données projet'!$B$12,Paramètres!$A$1:$I$89,3,0)*0.475*44/12</f>
        <v>6.625087000063056</v>
      </c>
      <c r="CM62" s="21">
        <f>EXP(-LN(2)/2)*CM61+(1-EXP(-LN(2)/2))/(LN(2)/2)*CG62*CJ62*VLOOKUP('Données projet'!$B$12,Paramètres!$A$1:$I$89,3,0)*0.475*44/12</f>
        <v>0.14922731102815021</v>
      </c>
      <c r="CN62" s="22">
        <f t="shared" si="12"/>
        <v>11.795520180599103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1.9846153846153853</v>
      </c>
      <c r="CT62" s="12">
        <f>IF('Données projet'!$A$140&gt;35,CT61+CS62-DB61,IF(A62&lt;'Données projet'!$A$140,$CQ$205^A62,IF(A62='Données projet'!$A$140,'Données projet'!$B$140,CT61+CS62-DB61)))</f>
        <v>94.476923076923072</v>
      </c>
      <c r="CU62" s="17">
        <f>CT62*VLOOKUP('Données projet'!$B$13,Paramètres!$A$1:$I$89,3,0)*VLOOKUP('Données projet'!$B$13,Paramètres!$A$1:$I$89,5,0)</f>
        <v>108.83741538461537</v>
      </c>
      <c r="CV62" s="13">
        <f t="shared" si="41"/>
        <v>29.056901414894739</v>
      </c>
      <c r="CW62" s="20">
        <f t="shared" si="13"/>
        <v>240.16593509248011</v>
      </c>
      <c r="CX62" s="59">
        <f t="shared" si="14"/>
        <v>533.4992684258134</v>
      </c>
      <c r="CY62" s="59">
        <f ca="1">AVERAGE(OFFSET($CX$3,0,0,'Données projet'!$E$13+1,1))-AVERAGE(OFFSET($H$3,0,0,'Données projet'!$E$13+1,1))</f>
        <v>150.78964413039063</v>
      </c>
      <c r="CZ62" s="59">
        <f t="shared" si="42"/>
        <v>131.90332435966184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3.0455124425515918</v>
      </c>
      <c r="DG62" s="21">
        <f>EXP(-LN(2)/25)*DG61+(1-EXP(-LN(2)/25))/(LN(2)/25)*Calculateur!DB62*Calculateur!DD62*VLOOKUP('Données projet'!$B$13,Paramètres!$A$1:$I$89,3,0)*0.475*44/12</f>
        <v>2.5674778764111581</v>
      </c>
      <c r="DH62" s="21">
        <f>EXP(-LN(2)/2)*DH61+(1-EXP(-LN(2)/2))/(LN(2)/2)*DB62*DE62*VLOOKUP('Données projet'!$B$13,Paramètres!$A$1:$I$89,3,0)*0.475*44/12</f>
        <v>7.6780303497639563E-2</v>
      </c>
      <c r="DI62" s="22">
        <f t="shared" si="15"/>
        <v>5.6897706224603892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2.3076923076923066</v>
      </c>
      <c r="DO62" s="12">
        <f>IF('Données projet'!$A$166&gt;35,DO61+DN62-DW61,IF(A62&lt;'Données projet'!$A$166,$DL$205^A62,IF(A62='Données projet'!$A$166,'Données projet'!$B$166,DO61+DN62-DW61)))</f>
        <v>87.435897435897473</v>
      </c>
      <c r="DP62" s="17">
        <f>DO62*VLOOKUP('Données projet'!$B$14,Paramètres!$A$1:$I$89,3,0)*VLOOKUP('Données projet'!$B$14,Paramètres!$A$1:$I$89,5,0)</f>
        <v>91.388000000000048</v>
      </c>
      <c r="DQ62" s="13">
        <f t="shared" si="43"/>
        <v>24.899678416779619</v>
      </c>
      <c r="DR62" s="20">
        <f t="shared" si="16"/>
        <v>202.5343732425579</v>
      </c>
      <c r="DS62" s="59">
        <f t="shared" si="17"/>
        <v>495.86770657589125</v>
      </c>
      <c r="DT62" s="59">
        <f ca="1">AVERAGE(OFFSET($DS$3,0,0,'Données projet'!$E$14+1,1))-AVERAGE(OFFSET($H$3,0,0,'Données projet'!$E$14+1,1))</f>
        <v>110.10595934547638</v>
      </c>
      <c r="DU62" s="59">
        <f t="shared" si="44"/>
        <v>131.10971921141493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9.0828823718384673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9.0828823718384673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3.3603333333333336</v>
      </c>
      <c r="EJ62" s="12">
        <f>IF('Données projet'!$A$192&gt;35,EJ61+EI62-ER61,IF(A62&lt;'Données projet'!$A$192,$EG$205^A62,IF(A62='Données projet'!$A$192,'Données projet'!$B$192,EJ61+EI62-ER61)))</f>
        <v>198.25966666666656</v>
      </c>
      <c r="EK62" s="17">
        <f>EJ62*VLOOKUP('Données projet'!$B$15,Paramètres!$A$1:$I$89,3,0)*VLOOKUP('Données projet'!$B$15,Paramètres!$A$1:$I$89,5,0)</f>
        <v>201.03530199999992</v>
      </c>
      <c r="EL62" s="13">
        <f t="shared" si="45"/>
        <v>49.971627353166163</v>
      </c>
      <c r="EM62" s="20">
        <f t="shared" si="19"/>
        <v>437.17040195676424</v>
      </c>
      <c r="EN62" s="59">
        <f t="shared" si="20"/>
        <v>730.50373529009755</v>
      </c>
      <c r="EO62" s="59">
        <f ca="1">AVERAGE(OFFSET($EN$3,0,0,'Données projet'!$E$15+1,1))-AVERAGE(OFFSET($H$3,0,0,'Données projet'!$E$15+1,1))</f>
        <v>420.38735944595965</v>
      </c>
      <c r="EP62" s="59">
        <f t="shared" si="46"/>
        <v>200.0823542414671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>
        <f>VLOOKUP(A62,'Données projet'!$A$217:$I$237,2,0)</f>
        <v>202.85</v>
      </c>
      <c r="FC62" s="12">
        <f>VLOOKUP(A62,'Données projet'!$A$217:$I$237,9,0)</f>
        <v>9.8828571428571443</v>
      </c>
      <c r="FD62" s="12">
        <f t="array" ref="FD62">INDEX(FC:FC,MIN(IF(ISNUMBER(FC62:FC258),ROW(FC62:FC258),"")))</f>
        <v>9.8828571428571443</v>
      </c>
      <c r="FE62" s="12">
        <f>IF('Données projet'!$A$218&gt;35,FE61+FD62-FM61,IF(A62&lt;'Données projet'!$A$218,$FB$205^A62,IF(A62='Données projet'!$A$218,'Données projet'!$B$218,FE61+FD62-FM61)))</f>
        <v>202.85</v>
      </c>
      <c r="FF62" s="17">
        <f>FE62*VLOOKUP('Données projet'!$B$16,Paramètres!$A$1:$I$89,3,0)*VLOOKUP('Données projet'!$B$16,Paramètres!$A$1:$I$89,5,0)</f>
        <v>218.34774000000002</v>
      </c>
      <c r="FG62" s="13">
        <f t="shared" si="47"/>
        <v>53.755617766190589</v>
      </c>
      <c r="FH62" s="20">
        <f t="shared" si="22"/>
        <v>473.91334810944858</v>
      </c>
      <c r="FI62" s="59">
        <f t="shared" si="23"/>
        <v>767.24668144278189</v>
      </c>
      <c r="FJ62" s="59">
        <f ca="1">AVERAGE(OFFSET($FI$3,0,0,'Données projet'!$E$16+1,1))-AVERAGE(OFFSET($H$3,0,0,'Données projet'!$E$16+1,1))</f>
        <v>415.8741608506952</v>
      </c>
      <c r="FK62" s="59">
        <f t="shared" si="48"/>
        <v>259.15848913719356</v>
      </c>
      <c r="FL62" s="15">
        <f>IF(ISNA(VLOOKUP(A62,'Données projet'!$A$217:$I$237,3,0)),0,VLOOKUP(A62,'Données projet'!$A$217:$I$237,3,0))</f>
        <v>4</v>
      </c>
      <c r="FM62" s="15">
        <f>IF(ISNA(VLOOKUP(A62,'Données projet'!$A$217:$I$237,4,0)),0,VLOOKUP(A62,'Données projet'!$A$217:$I$237,4,0))</f>
        <v>41.81</v>
      </c>
      <c r="FN62" s="16">
        <f>IF(ISNA(VLOOKUP(A62,'Données projet'!$A$217:$I$237,5,0)),0%,VLOOKUP(A62,'Données projet'!$A$217:$I$237,5,0)*VLOOKUP('Données projet'!$B$16,Paramètres!$A$1:$I$89,7,0))</f>
        <v>0.15049999999999999</v>
      </c>
      <c r="FO62" s="16">
        <f>IF(ISNA(VLOOKUP(A62,'Données projet'!$A$217:$I$237,6,0)),0%,VLOOKUP(A62,'Données projet'!$A$217:$I$237,6,0)*VLOOKUP('Données projet'!$B$16,Paramètres!$A$1:$I$89,7,0))</f>
        <v>8.6000000000000007E-2</v>
      </c>
      <c r="FP62" s="16">
        <f>IF(ISNA(VLOOKUP(A62,'Données projet'!$A$217:$I$237,7,0)),0%,VLOOKUP(A62,'Données projet'!$A$217:$I$237,7,0))</f>
        <v>0.1</v>
      </c>
      <c r="FQ62" s="21">
        <f>EXP(-LN(2)/35)*FQ61+(1-EXP(-LN(2)/35))/(LN(2)/35)*FM62*FN62*VLOOKUP('Données projet'!$B$16,Paramètres!$A$1:$I$89,3,0)*0.475*44/12</f>
        <v>14.409553531116302</v>
      </c>
      <c r="FR62" s="21">
        <f>EXP(-LN(2)/25)*FR61+(1-EXP(-LN(2)/25))/(LN(2)/25)*Calculateur!FM62*Calculateur!FO62*VLOOKUP('Données projet'!$B$16,Paramètres!$A$1:$I$89,3,0)*0.475*44/12</f>
        <v>35.820517964668632</v>
      </c>
      <c r="FS62" s="21">
        <f>EXP(-LN(2)/2)*FS61+(1-EXP(-LN(2)/2))/(LN(2)/2)*FM62*FP62*VLOOKUP('Données projet'!$B$16,Paramètres!$A$1:$I$89,3,0)*0.475*44/12</f>
        <v>4.7210428167994785</v>
      </c>
      <c r="FT62" s="22">
        <f t="shared" si="24"/>
        <v>54.951114312584409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>
        <f>VLOOKUP(A62,'Données projet'!$A$243:$I$263,2,0)</f>
        <v>202.85</v>
      </c>
      <c r="FX62" s="12">
        <f>VLOOKUP(A62,'Données projet'!$A$243:$I$263,9,0)</f>
        <v>9.8828571428571443</v>
      </c>
      <c r="FY62" s="12">
        <f t="array" ref="FY62">INDEX(FX:FX,MIN(IF(ISNUMBER(FX62:FX258),ROW(FX62:FX258),"")))</f>
        <v>9.8828571428571443</v>
      </c>
      <c r="FZ62" s="12">
        <f>IF('Données projet'!$A$244&gt;35,FZ61+FY62-GH61,IF(A62&lt;'Données projet'!$A$244,$FW$205^A62,IF(A62='Données projet'!$A$244,'Données projet'!$B$244,FZ61+FY62-GH61)))</f>
        <v>202.85</v>
      </c>
      <c r="GA62" s="17">
        <f>FZ62*VLOOKUP('Données projet'!$B$17,Paramètres!$A$1:$I$89,3,0)*VLOOKUP('Données projet'!$B$17,Paramètres!$A$1:$I$89,5,0)</f>
        <v>174.04530000000003</v>
      </c>
      <c r="GB62" s="13">
        <f t="shared" si="49"/>
        <v>43.994792433766143</v>
      </c>
      <c r="GC62" s="20">
        <f t="shared" si="25"/>
        <v>379.75316098880938</v>
      </c>
      <c r="GD62" s="59">
        <f t="shared" si="26"/>
        <v>673.0864943221427</v>
      </c>
      <c r="GE62" s="59">
        <f ca="1">AVERAGE(OFFSET($GD$3,0,0,'Données projet'!$E$17+1,1))-AVERAGE(OFFSET($H$3,0,0,'Données projet'!$E$17+1,1))</f>
        <v>322.39807389980882</v>
      </c>
      <c r="GF62" s="59">
        <f t="shared" si="50"/>
        <v>202.59410055732792</v>
      </c>
      <c r="GG62" s="15">
        <f>IF(ISNA(VLOOKUP(A62,'Données projet'!$A$243:$I$263,3,0)),0,VLOOKUP(A62,'Données projet'!$A$243:$I$263,3,0))</f>
        <v>4</v>
      </c>
      <c r="GH62" s="15">
        <f>IF(ISNA(VLOOKUP(A62,'Données projet'!$A$243:$I$263,4,0)),0,VLOOKUP(A62,'Données projet'!$A$243:$I$263,4,0))</f>
        <v>41.81</v>
      </c>
      <c r="GI62" s="16">
        <f>IF(ISNA(VLOOKUP(A62,'Données projet'!$A$243:$I$263,5,0)),0%,VLOOKUP(A62,'Données projet'!$A$243:$I$263,5,0)*VLOOKUP('Données projet'!$B$17,Paramètres!$A$1:$I$89,7,0))</f>
        <v>0.1855</v>
      </c>
      <c r="GJ62" s="16">
        <f>IF(ISNA(VLOOKUP(A62,'Données projet'!$A$243:$I$263,6,0)),0%,VLOOKUP(A62,'Données projet'!$A$243:$I$263,6,0)*VLOOKUP('Données projet'!$B$17,Paramètres!$A$1:$I$89,7,0))</f>
        <v>0.10600000000000001</v>
      </c>
      <c r="GK62" s="16">
        <f>IF(ISNA(VLOOKUP(A62,'Données projet'!$A$243:$I$263,7,0)),0%,VLOOKUP(A62,'Données projet'!$A$243:$I$263,7,0))</f>
        <v>0.1</v>
      </c>
      <c r="GL62" s="21">
        <f>EXP(-LN(2)/35)*GL61+(1-EXP(-LN(2)/35))/(LN(2)/35)*GH62*GI62*VLOOKUP('Données projet'!$B$17,Paramètres!$A$1:$I$89,3,0)*0.475*44/12</f>
        <v>14.157009957264588</v>
      </c>
      <c r="GM62" s="21">
        <f>EXP(-LN(2)/25)*GM61+(1-EXP(-LN(2)/25))/(LN(2)/25)*Calculateur!GH62*Calculateur!GJ62*VLOOKUP('Données projet'!$B$17,Paramètres!$A$1:$I$89,3,0)*0.475*44/12</f>
        <v>35.192723244694655</v>
      </c>
      <c r="GN62" s="21">
        <f>EXP(-LN(2)/2)*GN61+(1-EXP(-LN(2)/2))/(LN(2)/2)*GH62*GK62*VLOOKUP('Données projet'!$B$17,Paramètres!$A$1:$I$89,3,0)*0.475*44/12</f>
        <v>3.7631500713619035</v>
      </c>
      <c r="GO62" s="21">
        <f t="shared" si="27"/>
        <v>53.112883273321145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21.99599999999997</v>
      </c>
      <c r="D63" s="11">
        <f t="shared" si="32"/>
        <v>7.073705387135667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224.39772579543299</v>
      </c>
      <c r="H63" s="67">
        <f t="shared" si="1"/>
        <v>343.96307021592787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12.346666666666669</v>
      </c>
      <c r="N63" s="13">
        <f>IF('Données projet'!$A$36&gt;35,N62+M63-V62,IF(A63&lt;'Données projet'!$A$36,$K$205^A63,IF(A63='Données projet'!$A$36,'Données projet'!$B$36,N62+M63-V62)))</f>
        <v>338.13</v>
      </c>
      <c r="O63" s="13">
        <f>N63*VLOOKUP('Données projet'!$B$9,Paramètres!$A$1:$I$89,3,0)*VLOOKUP('Données projet'!$B$9,Paramètres!$A$1:$I$89,5,0)</f>
        <v>158.24484000000001</v>
      </c>
      <c r="P63" s="13">
        <f t="shared" si="33"/>
        <v>40.446380385466902</v>
      </c>
      <c r="Q63" s="20">
        <f t="shared" si="53"/>
        <v>346.05387550468822</v>
      </c>
      <c r="R63" s="59">
        <f t="shared" si="0"/>
        <v>639.38720883802148</v>
      </c>
      <c r="S63" s="59">
        <f ca="1">AVERAGE(OFFSET($R$3,0,0,'Données projet'!$E$9+1,1))-AVERAGE(OFFSET($H$3,0,0,'Données projet'!$E$9+1,1))</f>
        <v>215.77907571824977</v>
      </c>
      <c r="T63" s="59">
        <f t="shared" si="34"/>
        <v>174.69390149594869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7.2556680108551674</v>
      </c>
      <c r="AA63" s="21">
        <f>EXP(-LN(2)/25)*AA62+(1-EXP(-LN(2)/25))/(LN(2)/25)*Calculateur!V63*Calculateur!X63*VLOOKUP('Données projet'!$B$9,Paramètres!$A$1:$I$89,3,0)*0.475*44/12</f>
        <v>9.9600765200940291</v>
      </c>
      <c r="AB63" s="21">
        <f>EXP(-LN(2)/2)*AB62+(1-EXP(-LN(2)/2))/(LN(2)/2)*V63*Y63*VLOOKUP('Données projet'!$B$9,Paramètres!$A$1:$I$89,3,0)*0.475*44/12</f>
        <v>0.90393711151730838</v>
      </c>
      <c r="AC63" s="22">
        <f t="shared" si="3"/>
        <v>18.119681642466503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10.091249999999999</v>
      </c>
      <c r="AI63" s="13">
        <f>IF('Données projet'!$A$62&gt;35,AI62+AH63-AQ62,IF(A63&lt;'Données projet'!$A$62,$AF$205^A63,IF(A63='Données projet'!$A$62,'Données projet'!$B$62,AI62+AH63-AQ62)))</f>
        <v>305.25749999999982</v>
      </c>
      <c r="AJ63" s="13">
        <f>AI63*VLOOKUP('Données projet'!$B$10,Paramètres!$A$1:$I$89,3,0)*VLOOKUP('Données projet'!$B$10,Paramètres!$A$1:$I$89,5,0)</f>
        <v>182.54398499999991</v>
      </c>
      <c r="AK63" s="13">
        <f t="shared" si="35"/>
        <v>45.887712831532099</v>
      </c>
      <c r="AL63" s="20">
        <f t="shared" si="4"/>
        <v>397.85187372325157</v>
      </c>
      <c r="AM63" s="59">
        <f t="shared" si="5"/>
        <v>691.18520705658489</v>
      </c>
      <c r="AN63" s="59">
        <f ca="1">AVERAGE(OFFSET($AM$3,0,0,'Données projet'!$E$10+1,1))-AVERAGE(OFFSET($H$3,0,0,'Données projet'!$E$10+1,1))</f>
        <v>171.701352621833</v>
      </c>
      <c r="AO63" s="59">
        <f t="shared" si="36"/>
        <v>195.58435749168586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33.831511462402872</v>
      </c>
      <c r="AV63" s="21">
        <f>EXP(-LN(2)/25)*AV62+(1-EXP(-LN(2)/25))/(LN(2)/25)*Calculateur!AQ63*Calculateur!AS63*VLOOKUP('Données projet'!$B$10,Paramètres!$A$1:$I$89,3,0)*0.475*44/12</f>
        <v>15.047716261772491</v>
      </c>
      <c r="AW63" s="21">
        <f>EXP(-LN(2)/2)*AW62+(1-EXP(-LN(2)/2))/(LN(2)/2)*AQ63*AT63*VLOOKUP('Données projet'!$B$10,Paramètres!$A$1:$I$89,3,0)*0.475*44/12</f>
        <v>1.2989484822594806</v>
      </c>
      <c r="AX63" s="21">
        <f t="shared" si="6"/>
        <v>50.178176206434848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577</v>
      </c>
      <c r="BB63" s="12">
        <f>VLOOKUP(A63,'Données projet'!$A$87:$I$107,9,0)</f>
        <v>18.2</v>
      </c>
      <c r="BC63" s="12">
        <f t="array" ref="BC63">INDEX(BB:BB,MIN(IF(ISNUMBER(BB63:BB259),ROW(BB63:BB259),"")))</f>
        <v>18.2</v>
      </c>
      <c r="BD63" s="12">
        <f>IF('Données projet'!$A$88&gt;35,BD62+BC63-BL62,IF(A63&lt;'Données projet'!$A$88,$BA$205^A63,IF(A63='Données projet'!$A$88,'Données projet'!$B$88,BD62+BC63-BL62)))</f>
        <v>576.99999999999977</v>
      </c>
      <c r="BE63" s="13">
        <f>BD63*VLOOKUP('Données projet'!$B$11,Paramètres!$A$1:$I$89,3,0)*VLOOKUP('Données projet'!$B$11,Paramètres!$A$1:$I$89,5,0)</f>
        <v>300.03999999999991</v>
      </c>
      <c r="BF63" s="13">
        <f t="shared" si="37"/>
        <v>71.184848947036656</v>
      </c>
      <c r="BG63" s="20">
        <f t="shared" si="7"/>
        <v>646.54994524942197</v>
      </c>
      <c r="BH63" s="59">
        <f t="shared" si="8"/>
        <v>939.88327858275534</v>
      </c>
      <c r="BI63" s="59">
        <f ca="1">AVERAGE(OFFSET($BH$3,0,0,'Données projet'!$E$11+1,1))-AVERAGE(OFFSET($H$3,0,0,'Données projet'!$E$11+1,1))</f>
        <v>348.29124901999882</v>
      </c>
      <c r="BJ63" s="59">
        <f t="shared" si="38"/>
        <v>284.30034973939053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50</v>
      </c>
      <c r="BM63" s="16">
        <f>IF(ISNA(VLOOKUP(A63,'Données projet'!$A$87:$I$107,5,0)),0%,VLOOKUP(A63,'Données projet'!$A$87:$I$107,5,0)*VLOOKUP('Données projet'!$B$11,Paramètres!$A$1:$I$89,7,0))</f>
        <v>0.33</v>
      </c>
      <c r="BN63" s="16">
        <f>IF(ISNA(VLOOKUP(A63,'Données projet'!$A$87:$I$107,6,0)),0%,VLOOKUP(A63,'Données projet'!$A$87:$I$107,6,0)*VLOOKUP('Données projet'!$B$11,Paramètres!$A$1:$I$89,7,0))</f>
        <v>0.11000000000000001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49.067685149749416</v>
      </c>
      <c r="BQ63" s="21">
        <f>EXP(-LN(2)/25)*BQ62+(1-EXP(-LN(2)/25))/(LN(2)/25)*Calculateur!BL63*Calculateur!BN63*VLOOKUP('Données projet'!$B$11,Paramètres!$A$1:$I$89,3,0)*0.475*44/12</f>
        <v>29.883202991788249</v>
      </c>
      <c r="BR63" s="21">
        <f>EXP(-LN(2)/2)*BR62+(1-EXP(-LN(2)/2))/(LN(2)/2)*BL63*BO63*VLOOKUP('Données projet'!$B$11,Paramètres!$A$1:$I$89,3,0)*0.475*44/12</f>
        <v>7.343404909565006</v>
      </c>
      <c r="BS63" s="22">
        <f t="shared" si="9"/>
        <v>86.29429305110267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243.93</v>
      </c>
      <c r="BW63" s="12">
        <f>VLOOKUP(A63,'Données projet'!$A$113:$I$133,9,0)</f>
        <v>7.5706666666666669</v>
      </c>
      <c r="BX63" s="12">
        <f t="array" ref="BX63">INDEX(BW:BW,MIN(IF(ISNUMBER(BW63:BW259),ROW(BW63:BW259),"")))</f>
        <v>7.5706666666666669</v>
      </c>
      <c r="BY63" s="12">
        <f>IF('Données projet'!$A$114&gt;35,BY62+BX63-CG62,IF(A63&lt;'Données projet'!$A$114,$BV$205^A63,IF(A63='Données projet'!$A$114,'Données projet'!$B$114,BY62+BX63-CG62)))</f>
        <v>243.92999999999995</v>
      </c>
      <c r="BZ63" s="13">
        <f>BY63*VLOOKUP('Données projet'!$B$12,Paramètres!$A$1:$I$89,3,0)*VLOOKUP('Données projet'!$B$12,Paramètres!$A$1:$I$89,5,0)</f>
        <v>145.87013999999996</v>
      </c>
      <c r="CA63" s="13">
        <f t="shared" si="39"/>
        <v>37.638540599861784</v>
      </c>
      <c r="CB63" s="20">
        <f t="shared" si="10"/>
        <v>319.61095204475924</v>
      </c>
      <c r="CC63" s="59">
        <f t="shared" si="11"/>
        <v>612.94428537809256</v>
      </c>
      <c r="CD63" s="59">
        <f ca="1">AVERAGE(OFFSET($CC$3,0,0,'Données projet'!$E$12+1,1))-AVERAGE(OFFSET($H$3,0,0,'Données projet'!$E$12+1,1))</f>
        <v>185.82627135915504</v>
      </c>
      <c r="CE63" s="59">
        <f t="shared" si="40"/>
        <v>155.46126452522037</v>
      </c>
      <c r="CF63" s="15">
        <f>IF(ISNA(VLOOKUP(A63,'Données projet'!$A$113:$I$133,3,0)),0,VLOOKUP(A63,'Données projet'!$A$113:$I$133,3,0))</f>
        <v>2</v>
      </c>
      <c r="CG63" s="15">
        <f>IF(ISNA(VLOOKUP(A63,'Données projet'!$A$113:$I$133,4,0)),0,VLOOKUP(A63,'Données projet'!$A$113:$I$133,4,0))</f>
        <v>71.980000000000018</v>
      </c>
      <c r="CH63" s="16">
        <f>IF(ISNA(VLOOKUP(A63,'Données projet'!$A$113:$I$133,5,0)),0%,VLOOKUP(A63,'Données projet'!$A$113:$I$133,5,0)*VLOOKUP('Données projet'!$B$12,Paramètres!$A$1:$I$89,7,0))</f>
        <v>0.27</v>
      </c>
      <c r="CI63" s="16">
        <f>IF(ISNA(VLOOKUP(A63,'Données projet'!$A$113:$I$133,6,0)),0%,VLOOKUP(A63,'Données projet'!$A$113:$I$133,6,0)*VLOOKUP('Données projet'!$B$12,Paramètres!$A$1:$I$89,7,0))</f>
        <v>9.0000000000000011E-2</v>
      </c>
      <c r="CJ63" s="16">
        <f>IF(ISNA(VLOOKUP(A63,'Données projet'!$A$113:$I$133,7,0)),0%,VLOOKUP(A63,'Données projet'!$A$113:$I$133,7,0))</f>
        <v>0.2</v>
      </c>
      <c r="CK63" s="21">
        <f>EXP(-LN(2)/35)*CK62+(1-EXP(-LN(2)/35))/(LN(2)/35)*CG63*CH63*VLOOKUP('Données projet'!$B$12,Paramètres!$A$1:$I$89,3,0)*0.475*44/12</f>
        <v>20.339930325319823</v>
      </c>
      <c r="CL63" s="21">
        <f>EXP(-LN(2)/25)*CL62+(1-EXP(-LN(2)/25))/(LN(2)/25)*Calculateur!CG63*Calculateur!CI63*VLOOKUP('Données projet'!$B$12,Paramètres!$A$1:$I$89,3,0)*0.475*44/12</f>
        <v>11.562751614216797</v>
      </c>
      <c r="CM63" s="21">
        <f>EXP(-LN(2)/2)*CM62+(1-EXP(-LN(2)/2))/(LN(2)/2)*CG63*CJ63*VLOOKUP('Données projet'!$B$12,Paramètres!$A$1:$I$89,3,0)*0.475*44/12</f>
        <v>9.8526901043704651</v>
      </c>
      <c r="CN63" s="22">
        <f t="shared" si="12"/>
        <v>41.755372043907087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96.461538461538467</v>
      </c>
      <c r="CR63" s="12">
        <f>VLOOKUP(A63,'Données projet'!$A$139:$I$159,9,0)</f>
        <v>1.9846153846153853</v>
      </c>
      <c r="CS63" s="12">
        <f t="array" ref="CS63">INDEX(CR:CR,MIN(IF(ISNUMBER(CR63:CR259),ROW(CR63:CR259),"")))</f>
        <v>1.9846153846153853</v>
      </c>
      <c r="CT63" s="12">
        <f>IF('Données projet'!$A$140&gt;35,CT62+CS63-DB62,IF(A63&lt;'Données projet'!$A$140,$CQ$205^A63,IF(A63='Données projet'!$A$140,'Données projet'!$B$140,CT62+CS63-DB62)))</f>
        <v>96.461538461538453</v>
      </c>
      <c r="CU63" s="17">
        <f>CT63*VLOOKUP('Données projet'!$B$13,Paramètres!$A$1:$I$89,3,0)*VLOOKUP('Données projet'!$B$13,Paramètres!$A$1:$I$89,5,0)</f>
        <v>111.12369230769229</v>
      </c>
      <c r="CV63" s="13">
        <f t="shared" si="41"/>
        <v>29.595578436238828</v>
      </c>
      <c r="CW63" s="20">
        <f t="shared" si="13"/>
        <v>245.08606321234674</v>
      </c>
      <c r="CX63" s="59">
        <f t="shared" si="14"/>
        <v>538.41939654568</v>
      </c>
      <c r="CY63" s="59">
        <f ca="1">AVERAGE(OFFSET($CX$3,0,0,'Données projet'!$E$13+1,1))-AVERAGE(OFFSET($H$3,0,0,'Données projet'!$E$13+1,1))</f>
        <v>150.78964413039063</v>
      </c>
      <c r="CZ63" s="59">
        <f t="shared" si="42"/>
        <v>131.90332435966184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12.384615384615385</v>
      </c>
      <c r="DC63" s="16">
        <f>IF(ISNA(VLOOKUP(A63,'Données projet'!$A$139:$I$159,5,0)),0%,VLOOKUP(A63,'Données projet'!$A$139:$I$159,5,0)*VLOOKUP('Données projet'!$B$13,Paramètres!$A$1:$I$89,7,0))</f>
        <v>0.18000000000000002</v>
      </c>
      <c r="DD63" s="16">
        <f>IF(ISNA(VLOOKUP(A63,'Données projet'!$A$139:$I$159,6,0)),0%,VLOOKUP(A63,'Données projet'!$A$139:$I$159,6,0)*VLOOKUP('Données projet'!$B$13,Paramètres!$A$1:$I$89,7,0))</f>
        <v>9.0000000000000011E-2</v>
      </c>
      <c r="DE63" s="16">
        <f>IF(ISNA(VLOOKUP(A63,'Données projet'!$A$139:$I$159,7,0)),0%,VLOOKUP(A63,'Données projet'!$A$139:$I$159,7,0))</f>
        <v>0.2</v>
      </c>
      <c r="DF63" s="21">
        <f>EXP(-LN(2)/35)*DF62+(1-EXP(-LN(2)/35))/(LN(2)/35)*DB63*DC63*VLOOKUP('Données projet'!$B$13,Paramètres!$A$1:$I$89,3,0)*0.475*44/12</f>
        <v>4.8310960212269425</v>
      </c>
      <c r="DG63" s="21">
        <f>EXP(-LN(2)/25)*DG62+(1-EXP(-LN(2)/25))/(LN(2)/25)*Calculateur!DB63*Calculateur!DD63*VLOOKUP('Données projet'!$B$13,Paramètres!$A$1:$I$89,3,0)*0.475*44/12</f>
        <v>3.4162893359949384</v>
      </c>
      <c r="DH63" s="21">
        <f>EXP(-LN(2)/2)*DH62+(1-EXP(-LN(2)/2))/(LN(2)/2)*DB63*DE63*VLOOKUP('Données projet'!$B$13,Paramètres!$A$1:$I$89,3,0)*0.475*44/12</f>
        <v>1.8042701123216478</v>
      </c>
      <c r="DI63" s="22">
        <f t="shared" si="15"/>
        <v>10.051655469543528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89.743589743589737</v>
      </c>
      <c r="DM63" s="12">
        <f>VLOOKUP(A63,'Données projet'!$A$165:$I$185,9,0)</f>
        <v>2.3076923076923066</v>
      </c>
      <c r="DN63" s="12">
        <f t="array" ref="DN63">INDEX(DM:DM,MIN(IF(ISNUMBER(DM63:DM259),ROW(DM63:DM259),"")))</f>
        <v>2.3076923076923066</v>
      </c>
      <c r="DO63" s="12">
        <f>IF('Données projet'!$A$166&gt;35,DO62+DN63-DW62,IF(A63&lt;'Données projet'!$A$166,$DL$205^A63,IF(A63='Données projet'!$A$166,'Données projet'!$B$166,DO62+DN63-DW62)))</f>
        <v>89.74358974358978</v>
      </c>
      <c r="DP63" s="17">
        <f>DO63*VLOOKUP('Données projet'!$B$14,Paramètres!$A$1:$I$89,3,0)*VLOOKUP('Données projet'!$B$14,Paramètres!$A$1:$I$89,5,0)</f>
        <v>93.800000000000054</v>
      </c>
      <c r="DQ63" s="13">
        <f t="shared" si="43"/>
        <v>25.479476036410212</v>
      </c>
      <c r="DR63" s="20">
        <f t="shared" si="16"/>
        <v>207.74508743008121</v>
      </c>
      <c r="DS63" s="59">
        <f t="shared" si="17"/>
        <v>501.07842076341456</v>
      </c>
      <c r="DT63" s="59">
        <f ca="1">AVERAGE(OFFSET($DS$3,0,0,'Données projet'!$E$14+1,1))-AVERAGE(OFFSET($H$3,0,0,'Données projet'!$E$14+1,1))</f>
        <v>110.10595934547638</v>
      </c>
      <c r="DU63" s="59">
        <f t="shared" si="44"/>
        <v>131.10971921141493</v>
      </c>
      <c r="DV63" s="15">
        <f>IF(ISNA(VLOOKUP(A63,'Données projet'!$A$165:$I$185,3,0)),0,VLOOKUP(A63,'Données projet'!$A$165:$I$185,3,0))</f>
        <v>7</v>
      </c>
      <c r="DW63" s="15">
        <f>IF(ISNA(VLOOKUP(A63,'Données projet'!$A$165:$I$185,4,0)),0,VLOOKUP(A63,'Données projet'!$A$165:$I$185,4,0))</f>
        <v>6.4102564102564097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10.420670553454583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10.420670553454583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201.62</v>
      </c>
      <c r="EH63" s="12">
        <f>VLOOKUP(A63,'Données projet'!$A$191:$I$211,9,0)</f>
        <v>3.3603333333333336</v>
      </c>
      <c r="EI63" s="12">
        <f t="array" ref="EI63">INDEX(EH:EH,MIN(IF(ISNUMBER(EH63:EH259),ROW(EH63:EH259),"")))</f>
        <v>3.3603333333333336</v>
      </c>
      <c r="EJ63" s="12">
        <f>IF('Données projet'!$A$192&gt;35,EJ62+EI63-ER62,IF(A63&lt;'Données projet'!$A$192,$EG$205^A63,IF(A63='Données projet'!$A$192,'Données projet'!$B$192,EJ62+EI63-ER62)))</f>
        <v>201.61999999999989</v>
      </c>
      <c r="EK63" s="17">
        <f>EJ63*VLOOKUP('Données projet'!$B$15,Paramètres!$A$1:$I$89,3,0)*VLOOKUP('Données projet'!$B$15,Paramètres!$A$1:$I$89,5,0)</f>
        <v>204.44267999999991</v>
      </c>
      <c r="EL63" s="13">
        <f t="shared" si="45"/>
        <v>50.719282370054088</v>
      </c>
      <c r="EM63" s="20">
        <f t="shared" si="19"/>
        <v>444.40708446117736</v>
      </c>
      <c r="EN63" s="59">
        <f t="shared" si="20"/>
        <v>737.74041779451068</v>
      </c>
      <c r="EO63" s="59">
        <f ca="1">AVERAGE(OFFSET($EN$3,0,0,'Données projet'!$E$15+1,1))-AVERAGE(OFFSET($H$3,0,0,'Données projet'!$E$15+1,1))</f>
        <v>420.38735944595965</v>
      </c>
      <c r="EP63" s="59">
        <f t="shared" si="46"/>
        <v>200.0823542414671</v>
      </c>
      <c r="EQ63" s="15">
        <f>IF(ISNA(VLOOKUP(A63,'Données projet'!$A$191:$I$211,3,0)),0,VLOOKUP(A63,'Données projet'!$A$191:$I$211,3,0))</f>
        <v>1</v>
      </c>
      <c r="ER63" s="15">
        <f>IF(ISNA(VLOOKUP(A63,'Données projet'!$A$191:$I$211,4,0)),0,VLOOKUP(A63,'Données projet'!$A$191:$I$211,4,0))</f>
        <v>72.87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0.34400000000000003</v>
      </c>
      <c r="EU63" s="16">
        <f>IF(ISNA(VLOOKUP(A63,'Données projet'!$A$191:$I$211,7,0)),0%,VLOOKUP(A63,'Données projet'!$A$191:$I$211,7,0))</f>
        <v>0.2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27.988454603390398</v>
      </c>
      <c r="EX63" s="21">
        <f>EXP(-LN(2)/2)*EX62+(1-EXP(-LN(2)/2))/(LN(2)/2)*ER63*EU63*VLOOKUP('Données projet'!$B$15,Paramètres!$A$1:$I$89,3,0)*0.475*44/12</f>
        <v>13.943474711007354</v>
      </c>
      <c r="EY63" s="22">
        <f t="shared" si="21"/>
        <v>41.931929314397749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9.7525000000000013</v>
      </c>
      <c r="FE63" s="12">
        <f>IF('Données projet'!$A$218&gt;35,FE62+FD63-FM62,IF(A63&lt;'Données projet'!$A$218,$FB$205^A63,IF(A63='Données projet'!$A$218,'Données projet'!$B$218,FE62+FD63-FM62)))</f>
        <v>170.79249999999999</v>
      </c>
      <c r="FF63" s="17">
        <f>FE63*VLOOKUP('Données projet'!$B$16,Paramètres!$A$1:$I$89,3,0)*VLOOKUP('Données projet'!$B$16,Paramètres!$A$1:$I$89,5,0)</f>
        <v>183.84104699999997</v>
      </c>
      <c r="FG63" s="13">
        <f t="shared" si="47"/>
        <v>46.175695377255046</v>
      </c>
      <c r="FH63" s="20">
        <f t="shared" si="22"/>
        <v>400.6124929737191</v>
      </c>
      <c r="FI63" s="59">
        <f t="shared" si="23"/>
        <v>693.94582630705236</v>
      </c>
      <c r="FJ63" s="59">
        <f ca="1">AVERAGE(OFFSET($FI$3,0,0,'Données projet'!$E$16+1,1))-AVERAGE(OFFSET($H$3,0,0,'Données projet'!$E$16+1,1))</f>
        <v>415.8741608506952</v>
      </c>
      <c r="FK63" s="59">
        <f t="shared" si="48"/>
        <v>259.15848913719356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14.126990975330928</v>
      </c>
      <c r="FR63" s="21">
        <f>EXP(-LN(2)/25)*FR62+(1-EXP(-LN(2)/25))/(LN(2)/25)*Calculateur!FM63*Calculateur!FO63*VLOOKUP('Données projet'!$B$16,Paramètres!$A$1:$I$89,3,0)*0.475*44/12</f>
        <v>34.841004017205599</v>
      </c>
      <c r="FS63" s="21">
        <f>EXP(-LN(2)/2)*FS62+(1-EXP(-LN(2)/2))/(LN(2)/2)*FM63*FP63*VLOOKUP('Données projet'!$B$16,Paramètres!$A$1:$I$89,3,0)*0.475*44/12</f>
        <v>3.3382813900309509</v>
      </c>
      <c r="FT63" s="22">
        <f t="shared" si="24"/>
        <v>52.306276382567475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9.7525000000000013</v>
      </c>
      <c r="FZ63" s="12">
        <f>IF('Données projet'!$A$244&gt;35,FZ62+FY63-GH62,IF(A63&lt;'Données projet'!$A$244,$FW$205^A63,IF(A63='Données projet'!$A$244,'Données projet'!$B$244,FZ62+FY63-GH62)))</f>
        <v>170.79249999999999</v>
      </c>
      <c r="GA63" s="17">
        <f>FZ63*VLOOKUP('Données projet'!$B$17,Paramètres!$A$1:$I$89,3,0)*VLOOKUP('Données projet'!$B$17,Paramètres!$A$1:$I$89,5,0)</f>
        <v>146.539965</v>
      </c>
      <c r="GB63" s="13">
        <f t="shared" si="49"/>
        <v>37.791215467806403</v>
      </c>
      <c r="GC63" s="20">
        <f t="shared" si="25"/>
        <v>321.04347264809616</v>
      </c>
      <c r="GD63" s="59">
        <f t="shared" si="26"/>
        <v>614.37680598142947</v>
      </c>
      <c r="GE63" s="59">
        <f ca="1">AVERAGE(OFFSET($GD$3,0,0,'Données projet'!$E$17+1,1))-AVERAGE(OFFSET($H$3,0,0,'Données projet'!$E$17+1,1))</f>
        <v>322.39807389980882</v>
      </c>
      <c r="GF63" s="59">
        <f t="shared" si="50"/>
        <v>202.59410055732792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13.879399626926075</v>
      </c>
      <c r="GM63" s="21">
        <f>EXP(-LN(2)/25)*GM62+(1-EXP(-LN(2)/25))/(LN(2)/25)*Calculateur!GH63*Calculateur!GJ63*VLOOKUP('Données projet'!$B$17,Paramètres!$A$1:$I$89,3,0)*0.475*44/12</f>
        <v>34.230376376863596</v>
      </c>
      <c r="GN63" s="21">
        <f>EXP(-LN(2)/2)*GN62+(1-EXP(-LN(2)/2))/(LN(2)/2)*GH63*GK63*VLOOKUP('Données projet'!$B$17,Paramètres!$A$1:$I$89,3,0)*0.475*44/12</f>
        <v>2.6609489340826422</v>
      </c>
      <c r="GO63" s="21">
        <f t="shared" si="27"/>
        <v>50.770724937872309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22.362599999999969</v>
      </c>
      <c r="D64" s="11">
        <f t="shared" si="32"/>
        <v>7.1777770627776647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228.0309808354765</v>
      </c>
      <c r="H64" s="67">
        <f t="shared" si="1"/>
        <v>344.78282338433769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12.346666666666669</v>
      </c>
      <c r="N64" s="13">
        <f>IF('Données projet'!$A$36&gt;35,N63+M64-V63,IF(A64&lt;'Données projet'!$A$36,$K$205^A64,IF(A64='Données projet'!$A$36,'Données projet'!$B$36,N63+M64-V63)))</f>
        <v>350.47666666666669</v>
      </c>
      <c r="O64" s="13">
        <f>N64*VLOOKUP('Données projet'!$B$9,Paramètres!$A$1:$I$89,3,0)*VLOOKUP('Données projet'!$B$9,Paramètres!$A$1:$I$89,5,0)</f>
        <v>164.02307999999999</v>
      </c>
      <c r="P64" s="13">
        <f t="shared" si="33"/>
        <v>41.748616683259272</v>
      </c>
      <c r="Q64" s="20">
        <f t="shared" si="53"/>
        <v>358.3857050566765</v>
      </c>
      <c r="R64" s="59">
        <f t="shared" si="0"/>
        <v>651.71903839000981</v>
      </c>
      <c r="S64" s="59">
        <f ca="1">AVERAGE(OFFSET($R$3,0,0,'Données projet'!$E$9+1,1))-AVERAGE(OFFSET($H$3,0,0,'Données projet'!$E$9+1,1))</f>
        <v>215.77907571824977</v>
      </c>
      <c r="T64" s="59">
        <f t="shared" si="34"/>
        <v>174.69390149594869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7.1133887866828003</v>
      </c>
      <c r="AA64" s="21">
        <f>EXP(-LN(2)/25)*AA63+(1-EXP(-LN(2)/25))/(LN(2)/25)*Calculateur!V64*Calculateur!X64*VLOOKUP('Données projet'!$B$9,Paramètres!$A$1:$I$89,3,0)*0.475*44/12</f>
        <v>9.687717703874398</v>
      </c>
      <c r="AB64" s="21">
        <f>EXP(-LN(2)/2)*AB63+(1-EXP(-LN(2)/2))/(LN(2)/2)*V64*Y64*VLOOKUP('Données projet'!$B$9,Paramètres!$A$1:$I$89,3,0)*0.475*44/12</f>
        <v>0.63918006132006921</v>
      </c>
      <c r="AC64" s="22">
        <f t="shared" si="3"/>
        <v>17.440286551877268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10.091249999999999</v>
      </c>
      <c r="AI64" s="13">
        <f>IF('Données projet'!$A$62&gt;35,AI63+AH64-AQ63,IF(A64&lt;'Données projet'!$A$62,$AF$205^A64,IF(A64='Données projet'!$A$62,'Données projet'!$B$62,AI63+AH64-AQ63)))</f>
        <v>315.34874999999982</v>
      </c>
      <c r="AJ64" s="13">
        <f>AI64*VLOOKUP('Données projet'!$B$10,Paramètres!$A$1:$I$89,3,0)*VLOOKUP('Données projet'!$B$10,Paramètres!$A$1:$I$89,5,0)</f>
        <v>188.57855249999992</v>
      </c>
      <c r="AK64" s="13">
        <f t="shared" si="35"/>
        <v>47.22555377520267</v>
      </c>
      <c r="AL64" s="20">
        <f t="shared" si="4"/>
        <v>410.69215176264447</v>
      </c>
      <c r="AM64" s="59">
        <f t="shared" si="5"/>
        <v>704.02548509597773</v>
      </c>
      <c r="AN64" s="59">
        <f ca="1">AVERAGE(OFFSET($AM$3,0,0,'Données projet'!$E$10+1,1))-AVERAGE(OFFSET($H$3,0,0,'Données projet'!$E$10+1,1))</f>
        <v>171.701352621833</v>
      </c>
      <c r="AO64" s="59">
        <f t="shared" si="36"/>
        <v>195.58435749168586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33.168096157809586</v>
      </c>
      <c r="AV64" s="21">
        <f>EXP(-LN(2)/25)*AV63+(1-EXP(-LN(2)/25))/(LN(2)/25)*Calculateur!AQ64*Calculateur!AS64*VLOOKUP('Données projet'!$B$10,Paramètres!$A$1:$I$89,3,0)*0.475*44/12</f>
        <v>14.636235669269317</v>
      </c>
      <c r="AW64" s="21">
        <f>EXP(-LN(2)/2)*AW63+(1-EXP(-LN(2)/2))/(LN(2)/2)*AQ64*AT64*VLOOKUP('Données projet'!$B$10,Paramètres!$A$1:$I$89,3,0)*0.475*44/12</f>
        <v>0.91849528021765259</v>
      </c>
      <c r="AX64" s="21">
        <f t="shared" si="6"/>
        <v>48.72282710729656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16.8</v>
      </c>
      <c r="BD64" s="12">
        <f>IF('Données projet'!$A$88&gt;35,BD63+BC64-BL63,IF(A64&lt;'Données projet'!$A$88,$BA$205^A64,IF(A64='Données projet'!$A$88,'Données projet'!$B$88,BD63+BC64-BL63)))</f>
        <v>543.79999999999973</v>
      </c>
      <c r="BE64" s="13">
        <f>BD64*VLOOKUP('Données projet'!$B$11,Paramètres!$A$1:$I$89,3,0)*VLOOKUP('Données projet'!$B$11,Paramètres!$A$1:$I$89,5,0)</f>
        <v>282.7759999999999</v>
      </c>
      <c r="BF64" s="13">
        <f t="shared" si="37"/>
        <v>67.553320221090033</v>
      </c>
      <c r="BG64" s="20">
        <f t="shared" si="7"/>
        <v>610.156899385065</v>
      </c>
      <c r="BH64" s="59">
        <f t="shared" si="8"/>
        <v>903.49023271839837</v>
      </c>
      <c r="BI64" s="59">
        <f ca="1">AVERAGE(OFFSET($BH$3,0,0,'Données projet'!$E$11+1,1))-AVERAGE(OFFSET($H$3,0,0,'Données projet'!$E$11+1,1))</f>
        <v>348.29124901999882</v>
      </c>
      <c r="BJ64" s="59">
        <f t="shared" si="38"/>
        <v>284.30034973939053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48.105497772295593</v>
      </c>
      <c r="BQ64" s="21">
        <f>EXP(-LN(2)/25)*BQ63+(1-EXP(-LN(2)/25))/(LN(2)/25)*Calculateur!BL64*Calculateur!BN64*VLOOKUP('Données projet'!$B$11,Paramètres!$A$1:$I$89,3,0)*0.475*44/12</f>
        <v>29.066045234488453</v>
      </c>
      <c r="BR64" s="21">
        <f>EXP(-LN(2)/2)*BR63+(1-EXP(-LN(2)/2))/(LN(2)/2)*BL64*BO64*VLOOKUP('Données projet'!$B$11,Paramètres!$A$1:$I$89,3,0)*0.475*44/12</f>
        <v>5.1925714085520021</v>
      </c>
      <c r="BS64" s="22">
        <f t="shared" si="9"/>
        <v>82.364114415336047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6.8386666666666658</v>
      </c>
      <c r="BY64" s="12">
        <f>IF('Données projet'!$A$114&gt;35,BY63+BX64-CG63,IF(A64&lt;'Données projet'!$A$114,$BV$205^A64,IF(A64='Données projet'!$A$114,'Données projet'!$B$114,BY63+BX64-CG63)))</f>
        <v>178.78866666666659</v>
      </c>
      <c r="BZ64" s="13">
        <f>BY64*VLOOKUP('Données projet'!$B$12,Paramètres!$A$1:$I$89,3,0)*VLOOKUP('Données projet'!$B$12,Paramètres!$A$1:$I$89,5,0)</f>
        <v>106.91562266666662</v>
      </c>
      <c r="CA64" s="13">
        <f t="shared" si="39"/>
        <v>28.603082735352157</v>
      </c>
      <c r="CB64" s="20">
        <f t="shared" si="10"/>
        <v>236.02841190851601</v>
      </c>
      <c r="CC64" s="59">
        <f t="shared" si="11"/>
        <v>529.36174524184935</v>
      </c>
      <c r="CD64" s="59">
        <f ca="1">AVERAGE(OFFSET($CC$3,0,0,'Données projet'!$E$12+1,1))-AVERAGE(OFFSET($H$3,0,0,'Données projet'!$E$12+1,1))</f>
        <v>185.82627135915504</v>
      </c>
      <c r="CE64" s="59">
        <f t="shared" si="40"/>
        <v>155.46126452522037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19.941076697772797</v>
      </c>
      <c r="CL64" s="21">
        <f>EXP(-LN(2)/25)*CL63+(1-EXP(-LN(2)/25))/(LN(2)/25)*Calculateur!CG64*Calculateur!CI64*VLOOKUP('Données projet'!$B$12,Paramètres!$A$1:$I$89,3,0)*0.475*44/12</f>
        <v>11.246567563267359</v>
      </c>
      <c r="CM64" s="21">
        <f>EXP(-LN(2)/2)*CM63+(1-EXP(-LN(2)/2))/(LN(2)/2)*CG64*CJ64*VLOOKUP('Données projet'!$B$12,Paramètres!$A$1:$I$89,3,0)*0.475*44/12</f>
        <v>6.9669039857299486</v>
      </c>
      <c r="CN64" s="22">
        <f t="shared" si="12"/>
        <v>38.154548246770105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1.8384615384615373</v>
      </c>
      <c r="CT64" s="12">
        <f>IF('Données projet'!$A$140&gt;35,CT63+CS64-DB63,IF(A64&lt;'Données projet'!$A$140,$CQ$205^A64,IF(A64='Données projet'!$A$140,'Données projet'!$B$140,CT63+CS64-DB63)))</f>
        <v>85.915384615384596</v>
      </c>
      <c r="CU64" s="17">
        <f>CT64*VLOOKUP('Données projet'!$B$13,Paramètres!$A$1:$I$89,3,0)*VLOOKUP('Données projet'!$B$13,Paramètres!$A$1:$I$89,5,0)</f>
        <v>98.974523076923035</v>
      </c>
      <c r="CV64" s="13">
        <f t="shared" si="41"/>
        <v>26.717545444546346</v>
      </c>
      <c r="CW64" s="20">
        <f t="shared" si="13"/>
        <v>218.91368600822582</v>
      </c>
      <c r="CX64" s="59">
        <f t="shared" si="14"/>
        <v>512.24701934155917</v>
      </c>
      <c r="CY64" s="59">
        <f ca="1">AVERAGE(OFFSET($CX$3,0,0,'Données projet'!$E$13+1,1))-AVERAGE(OFFSET($H$3,0,0,'Données projet'!$E$13+1,1))</f>
        <v>150.78964413039063</v>
      </c>
      <c r="CZ64" s="59">
        <f t="shared" si="42"/>
        <v>131.90332435966184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4.7363611749282946</v>
      </c>
      <c r="DG64" s="21">
        <f>EXP(-LN(2)/25)*DG63+(1-EXP(-LN(2)/25))/(LN(2)/25)*Calculateur!DB64*Calculateur!DD64*VLOOKUP('Données projet'!$B$13,Paramètres!$A$1:$I$89,3,0)*0.475*44/12</f>
        <v>3.3228707244473088</v>
      </c>
      <c r="DH64" s="21">
        <f>EXP(-LN(2)/2)*DH63+(1-EXP(-LN(2)/2))/(LN(2)/2)*DB64*DE64*VLOOKUP('Données projet'!$B$13,Paramètres!$A$1:$I$89,3,0)*0.475*44/12</f>
        <v>1.2758116315148511</v>
      </c>
      <c r="DI64" s="22">
        <f t="shared" si="15"/>
        <v>9.3350435308904558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1.9230769230769256</v>
      </c>
      <c r="DO64" s="12">
        <f>IF('Données projet'!$A$166&gt;35,DO63+DN64-DW63,IF(A64&lt;'Données projet'!$A$166,$DL$205^A64,IF(A64='Données projet'!$A$166,'Données projet'!$B$166,DO63+DN64-DW63)))</f>
        <v>85.256410256410291</v>
      </c>
      <c r="DP64" s="17">
        <f>DO64*VLOOKUP('Données projet'!$B$14,Paramètres!$A$1:$I$89,3,0)*VLOOKUP('Données projet'!$B$14,Paramètres!$A$1:$I$89,5,0)</f>
        <v>89.110000000000042</v>
      </c>
      <c r="DQ64" s="13">
        <f t="shared" si="43"/>
        <v>24.350454431803538</v>
      </c>
      <c r="DR64" s="20">
        <f t="shared" si="16"/>
        <v>197.61029146872457</v>
      </c>
      <c r="DS64" s="59">
        <f t="shared" si="17"/>
        <v>490.94362480205791</v>
      </c>
      <c r="DT64" s="59">
        <f ca="1">AVERAGE(OFFSET($DS$3,0,0,'Données projet'!$E$14+1,1))-AVERAGE(OFFSET($H$3,0,0,'Données projet'!$E$14+1,1))</f>
        <v>110.10595934547638</v>
      </c>
      <c r="DU64" s="59">
        <f t="shared" si="44"/>
        <v>131.10971921141493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10.13571676917112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10.13571676917112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6.8933333333333326</v>
      </c>
      <c r="EJ64" s="12">
        <f>IF('Données projet'!$A$192&gt;35,EJ63+EI64-ER63,IF(A64&lt;'Données projet'!$A$192,$EG$205^A64,IF(A64='Données projet'!$A$192,'Données projet'!$B$192,EJ63+EI64-ER63)))</f>
        <v>135.64333333333323</v>
      </c>
      <c r="EK64" s="17">
        <f>EJ64*VLOOKUP('Données projet'!$B$15,Paramètres!$A$1:$I$89,3,0)*VLOOKUP('Données projet'!$B$15,Paramètres!$A$1:$I$89,5,0)</f>
        <v>137.54233999999991</v>
      </c>
      <c r="EL64" s="13">
        <f t="shared" si="45"/>
        <v>35.733411083522441</v>
      </c>
      <c r="EM64" s="20">
        <f t="shared" si="19"/>
        <v>301.78859980380139</v>
      </c>
      <c r="EN64" s="59">
        <f t="shared" si="20"/>
        <v>595.12193313713465</v>
      </c>
      <c r="EO64" s="59">
        <f ca="1">AVERAGE(OFFSET($EN$3,0,0,'Données projet'!$E$15+1,1))-AVERAGE(OFFSET($H$3,0,0,'Données projet'!$E$15+1,1))</f>
        <v>420.38735944595965</v>
      </c>
      <c r="EP64" s="59">
        <f t="shared" si="46"/>
        <v>200.0823542414671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27.223108840411829</v>
      </c>
      <c r="EX64" s="21">
        <f>EXP(-LN(2)/2)*EX63+(1-EXP(-LN(2)/2))/(LN(2)/2)*ER64*EU64*VLOOKUP('Données projet'!$B$15,Paramètres!$A$1:$I$89,3,0)*0.475*44/12</f>
        <v>9.8595255214564368</v>
      </c>
      <c r="EY64" s="22">
        <f t="shared" si="21"/>
        <v>37.082634361868266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9.7525000000000013</v>
      </c>
      <c r="FE64" s="12">
        <f>IF('Données projet'!$A$218&gt;35,FE63+FD64-FM63,IF(A64&lt;'Données projet'!$A$218,$FB$205^A64,IF(A64='Données projet'!$A$218,'Données projet'!$B$218,FE63+FD64-FM63)))</f>
        <v>180.54499999999999</v>
      </c>
      <c r="FF64" s="17">
        <f>FE64*VLOOKUP('Données projet'!$B$16,Paramètres!$A$1:$I$89,3,0)*VLOOKUP('Données projet'!$B$16,Paramètres!$A$1:$I$89,5,0)</f>
        <v>194.33863799999997</v>
      </c>
      <c r="FG64" s="13">
        <f t="shared" si="47"/>
        <v>48.497900030377807</v>
      </c>
      <c r="FH64" s="20">
        <f t="shared" si="22"/>
        <v>422.94030373624128</v>
      </c>
      <c r="FI64" s="59">
        <f t="shared" si="23"/>
        <v>716.27363706957453</v>
      </c>
      <c r="FJ64" s="59">
        <f ca="1">AVERAGE(OFFSET($FI$3,0,0,'Données projet'!$E$16+1,1))-AVERAGE(OFFSET($H$3,0,0,'Données projet'!$E$16+1,1))</f>
        <v>415.8741608506952</v>
      </c>
      <c r="FK64" s="59">
        <f t="shared" si="48"/>
        <v>259.15848913719356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13.849969298918364</v>
      </c>
      <c r="FR64" s="21">
        <f>EXP(-LN(2)/25)*FR63+(1-EXP(-LN(2)/25))/(LN(2)/25)*Calculateur!FM64*Calculateur!FO64*VLOOKUP('Données projet'!$B$16,Paramètres!$A$1:$I$89,3,0)*0.475*44/12</f>
        <v>33.888274930146338</v>
      </c>
      <c r="FS64" s="21">
        <f>EXP(-LN(2)/2)*FS63+(1-EXP(-LN(2)/2))/(LN(2)/2)*FM64*FP64*VLOOKUP('Données projet'!$B$16,Paramètres!$A$1:$I$89,3,0)*0.475*44/12</f>
        <v>2.3605214083997397</v>
      </c>
      <c r="FT64" s="22">
        <f t="shared" si="24"/>
        <v>50.098765637464446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9.7525000000000013</v>
      </c>
      <c r="FZ64" s="12">
        <f>IF('Données projet'!$A$244&gt;35,FZ63+FY64-GH63,IF(A64&lt;'Données projet'!$A$244,$FW$205^A64,IF(A64='Données projet'!$A$244,'Données projet'!$B$244,FZ63+FY64-GH63)))</f>
        <v>180.54499999999999</v>
      </c>
      <c r="GA64" s="17">
        <f>FZ64*VLOOKUP('Données projet'!$B$17,Paramètres!$A$1:$I$89,3,0)*VLOOKUP('Données projet'!$B$17,Paramètres!$A$1:$I$89,5,0)</f>
        <v>154.90761000000001</v>
      </c>
      <c r="GB64" s="13">
        <f t="shared" si="49"/>
        <v>39.691759372765858</v>
      </c>
      <c r="GC64" s="20">
        <f t="shared" si="25"/>
        <v>338.92723499090056</v>
      </c>
      <c r="GD64" s="59">
        <f t="shared" si="26"/>
        <v>632.26056832423387</v>
      </c>
      <c r="GE64" s="59">
        <f ca="1">AVERAGE(OFFSET($GD$3,0,0,'Données projet'!$E$17+1,1))-AVERAGE(OFFSET($H$3,0,0,'Données projet'!$E$17+1,1))</f>
        <v>322.39807389980882</v>
      </c>
      <c r="GF64" s="59">
        <f t="shared" si="50"/>
        <v>202.59410055732792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13.607233065839919</v>
      </c>
      <c r="GM64" s="21">
        <f>EXP(-LN(2)/25)*GM63+(1-EXP(-LN(2)/25))/(LN(2)/25)*Calculateur!GH64*Calculateur!GJ64*VLOOKUP('Données projet'!$B$17,Paramètres!$A$1:$I$89,3,0)*0.475*44/12</f>
        <v>33.294344934741005</v>
      </c>
      <c r="GN64" s="21">
        <f>EXP(-LN(2)/2)*GN63+(1-EXP(-LN(2)/2))/(LN(2)/2)*GH64*GK64*VLOOKUP('Données projet'!$B$17,Paramètres!$A$1:$I$89,3,0)*0.475*44/12</f>
        <v>1.881575035680952</v>
      </c>
      <c r="GO64" s="21">
        <f t="shared" si="27"/>
        <v>48.783153036261879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22.729199999999967</v>
      </c>
      <c r="D65" s="11">
        <f t="shared" si="32"/>
        <v>7.2816503291468431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231.66270429516837</v>
      </c>
      <c r="H65" s="67">
        <f t="shared" si="1"/>
        <v>345.60223098993066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12.346666666666669</v>
      </c>
      <c r="N65" s="13">
        <f>IF('Données projet'!$A$36&gt;35,N64+M65-V64,IF(A65&lt;'Données projet'!$A$36,$K$205^A65,IF(A65='Données projet'!$A$36,'Données projet'!$B$36,N64+M65-V64)))</f>
        <v>362.82333333333338</v>
      </c>
      <c r="O65" s="13">
        <f>N65*VLOOKUP('Données projet'!$B$9,Paramètres!$A$1:$I$89,3,0)*VLOOKUP('Données projet'!$B$9,Paramètres!$A$1:$I$89,5,0)</f>
        <v>169.80132</v>
      </c>
      <c r="P65" s="13">
        <f t="shared" si="33"/>
        <v>43.045522846538063</v>
      </c>
      <c r="Q65" s="20">
        <f t="shared" si="53"/>
        <v>370.70825129105378</v>
      </c>
      <c r="R65" s="59">
        <f t="shared" si="0"/>
        <v>664.04158462438704</v>
      </c>
      <c r="S65" s="59">
        <f ca="1">AVERAGE(OFFSET($R$3,0,0,'Données projet'!$E$9+1,1))-AVERAGE(OFFSET($H$3,0,0,'Données projet'!$E$9+1,1))</f>
        <v>215.77907571824977</v>
      </c>
      <c r="T65" s="59">
        <f t="shared" si="34"/>
        <v>174.69390149594869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6.9738995713146954</v>
      </c>
      <c r="AA65" s="21">
        <f>EXP(-LN(2)/25)*AA64+(1-EXP(-LN(2)/25))/(LN(2)/25)*Calculateur!V65*Calculateur!X65*VLOOKUP('Données projet'!$B$9,Paramètres!$A$1:$I$89,3,0)*0.475*44/12</f>
        <v>9.4228065538070194</v>
      </c>
      <c r="AB65" s="21">
        <f>EXP(-LN(2)/2)*AB64+(1-EXP(-LN(2)/2))/(LN(2)/2)*V65*Y65*VLOOKUP('Données projet'!$B$9,Paramètres!$A$1:$I$89,3,0)*0.475*44/12</f>
        <v>0.45196855575865424</v>
      </c>
      <c r="AC65" s="22">
        <f t="shared" si="3"/>
        <v>16.848674680880368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325.44</v>
      </c>
      <c r="AG65" s="12">
        <f>VLOOKUP(A65,'Données projet'!$A$61:$I$81,9,0)</f>
        <v>10.091249999999999</v>
      </c>
      <c r="AH65" s="12">
        <f t="array" ref="AH65">INDEX(AG:AG,MIN(IF(ISNUMBER(AG65:AG261),ROW(AG65:AG261),"")))</f>
        <v>10.091249999999999</v>
      </c>
      <c r="AI65" s="13">
        <f>IF('Données projet'!$A$62&gt;35,AI64+AH65-AQ64,IF(A65&lt;'Données projet'!$A$62,$AF$205^A65,IF(A65='Données projet'!$A$62,'Données projet'!$B$62,AI64+AH65-AQ64)))</f>
        <v>325.43999999999983</v>
      </c>
      <c r="AJ65" s="13">
        <f>AI65*VLOOKUP('Données projet'!$B$10,Paramètres!$A$1:$I$89,3,0)*VLOOKUP('Données projet'!$B$10,Paramètres!$A$1:$I$89,5,0)</f>
        <v>194.61311999999992</v>
      </c>
      <c r="AK65" s="13">
        <f t="shared" si="35"/>
        <v>48.558419856804839</v>
      </c>
      <c r="AL65" s="20">
        <f t="shared" si="4"/>
        <v>423.52376525060163</v>
      </c>
      <c r="AM65" s="59">
        <f t="shared" si="5"/>
        <v>716.85709858393489</v>
      </c>
      <c r="AN65" s="59">
        <f ca="1">AVERAGE(OFFSET($AM$3,0,0,'Données projet'!$E$10+1,1))-AVERAGE(OFFSET($H$3,0,0,'Données projet'!$E$10+1,1))</f>
        <v>171.701352621833</v>
      </c>
      <c r="AO65" s="59">
        <f t="shared" si="36"/>
        <v>195.58435749168586</v>
      </c>
      <c r="AP65" s="15">
        <f>IF(ISNA(VLOOKUP(A65,'Données projet'!$A$61:$I$81,3,0)),0,VLOOKUP(A65,'Données projet'!$A$61:$I$81,3,0))</f>
        <v>6</v>
      </c>
      <c r="AQ65" s="15">
        <f>IF(ISNA(VLOOKUP(A65,'Données projet'!$A$61:$I$81,4,0)),0,VLOOKUP(A65,'Données projet'!$A$61:$I$81,4,0))</f>
        <v>325.44</v>
      </c>
      <c r="AR65" s="16">
        <f>IF(ISNA(VLOOKUP(A65,'Données projet'!$A$61:$I$81,5,0)),0%,VLOOKUP(A65,'Données projet'!$A$61:$I$81,5,0)*VLOOKUP('Données projet'!$B$10,Paramètres!$A$1:$I$89,7,0))</f>
        <v>0.27</v>
      </c>
      <c r="AS65" s="16">
        <f>IF(ISNA(VLOOKUP(A65,'Données projet'!$A$61:$I$81,6,0)),0%,VLOOKUP(A65,'Données projet'!$A$61:$I$81,6,0)*VLOOKUP('Données projet'!$B$10,Paramètres!$A$1:$I$89,7,0))</f>
        <v>9.0000000000000011E-2</v>
      </c>
      <c r="AT65" s="16">
        <f>IF(ISNA(VLOOKUP(A65,'Données projet'!$A$61:$I$81,7,0)),0%,VLOOKUP(A65,'Données projet'!$A$61:$I$81,7,0))</f>
        <v>0.2</v>
      </c>
      <c r="AU65" s="21">
        <f>EXP(-LN(2)/35)*AU64+(1-EXP(-LN(2)/35))/(LN(2)/35)*AQ65*AR65*VLOOKUP('Données projet'!$B$10,Paramètres!$A$1:$I$89,3,0)*0.475*44/12</f>
        <v>102.22273886232725</v>
      </c>
      <c r="AV65" s="21">
        <f>EXP(-LN(2)/25)*AV64+(1-EXP(-LN(2)/25))/(LN(2)/25)*Calculateur!AQ65*Calculateur!AS65*VLOOKUP('Données projet'!$B$10,Paramètres!$A$1:$I$89,3,0)*0.475*44/12</f>
        <v>37.379538202754901</v>
      </c>
      <c r="AW65" s="21">
        <f>EXP(-LN(2)/2)*AW64+(1-EXP(-LN(2)/2))/(LN(2)/2)*AQ65*AT65*VLOOKUP('Données projet'!$B$10,Paramètres!$A$1:$I$89,3,0)*0.475*44/12</f>
        <v>44.718926238408507</v>
      </c>
      <c r="AX65" s="21">
        <f t="shared" si="6"/>
        <v>184.32120330349065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16.8</v>
      </c>
      <c r="BD65" s="12">
        <f>IF('Données projet'!$A$88&gt;35,BD64+BC65-BL64,IF(A65&lt;'Données projet'!$A$88,$BA$205^A65,IF(A65='Données projet'!$A$88,'Données projet'!$B$88,BD64+BC65-BL64)))</f>
        <v>560.59999999999968</v>
      </c>
      <c r="BE65" s="13">
        <f>BD65*VLOOKUP('Données projet'!$B$11,Paramètres!$A$1:$I$89,3,0)*VLOOKUP('Données projet'!$B$11,Paramètres!$A$1:$I$89,5,0)</f>
        <v>291.51199999999989</v>
      </c>
      <c r="BF65" s="13">
        <f t="shared" si="37"/>
        <v>69.394091221112632</v>
      </c>
      <c r="BG65" s="20">
        <f t="shared" si="7"/>
        <v>628.57810887677101</v>
      </c>
      <c r="BH65" s="59">
        <f t="shared" si="8"/>
        <v>921.91144221010427</v>
      </c>
      <c r="BI65" s="59">
        <f ca="1">AVERAGE(OFFSET($BH$3,0,0,'Données projet'!$E$11+1,1))-AVERAGE(OFFSET($H$3,0,0,'Données projet'!$E$11+1,1))</f>
        <v>348.29124901999882</v>
      </c>
      <c r="BJ65" s="59">
        <f t="shared" si="38"/>
        <v>284.30034973939053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47.16217830243729</v>
      </c>
      <c r="BQ65" s="21">
        <f>EXP(-LN(2)/25)*BQ64+(1-EXP(-LN(2)/25))/(LN(2)/25)*Calculateur!BL65*Calculateur!BN65*VLOOKUP('Données projet'!$B$11,Paramètres!$A$1:$I$89,3,0)*0.475*44/12</f>
        <v>28.271232699034478</v>
      </c>
      <c r="BR65" s="21">
        <f>EXP(-LN(2)/2)*BR64+(1-EXP(-LN(2)/2))/(LN(2)/2)*BL65*BO65*VLOOKUP('Données projet'!$B$11,Paramètres!$A$1:$I$89,3,0)*0.475*44/12</f>
        <v>3.6717024547825035</v>
      </c>
      <c r="BS65" s="22">
        <f t="shared" si="9"/>
        <v>79.105113456254273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6.8386666666666658</v>
      </c>
      <c r="BY65" s="12">
        <f>IF('Données projet'!$A$114&gt;35,BY64+BX65-CG64,IF(A65&lt;'Données projet'!$A$114,$BV$205^A65,IF(A65='Données projet'!$A$114,'Données projet'!$B$114,BY64+BX65-CG64)))</f>
        <v>185.62733333333324</v>
      </c>
      <c r="BZ65" s="13">
        <f>BY65*VLOOKUP('Données projet'!$B$12,Paramètres!$A$1:$I$89,3,0)*VLOOKUP('Données projet'!$B$12,Paramètres!$A$1:$I$89,5,0)</f>
        <v>111.00514533333329</v>
      </c>
      <c r="CA65" s="13">
        <f t="shared" si="39"/>
        <v>29.567679135083889</v>
      </c>
      <c r="CB65" s="20">
        <f t="shared" si="10"/>
        <v>244.83100261582658</v>
      </c>
      <c r="CC65" s="59">
        <f t="shared" si="11"/>
        <v>538.16433594915986</v>
      </c>
      <c r="CD65" s="59">
        <f ca="1">AVERAGE(OFFSET($CC$3,0,0,'Données projet'!$E$12+1,1))-AVERAGE(OFFSET($H$3,0,0,'Données projet'!$E$12+1,1))</f>
        <v>185.82627135915504</v>
      </c>
      <c r="CE65" s="59">
        <f t="shared" si="40"/>
        <v>155.46126452522037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19.550044346585274</v>
      </c>
      <c r="CL65" s="21">
        <f>EXP(-LN(2)/25)*CL64+(1-EXP(-LN(2)/25))/(LN(2)/25)*Calculateur!CG65*Calculateur!CI65*VLOOKUP('Données projet'!$B$12,Paramètres!$A$1:$I$89,3,0)*0.475*44/12</f>
        <v>10.939029581818529</v>
      </c>
      <c r="CM65" s="21">
        <f>EXP(-LN(2)/2)*CM64+(1-EXP(-LN(2)/2))/(LN(2)/2)*CG65*CJ65*VLOOKUP('Données projet'!$B$12,Paramètres!$A$1:$I$89,3,0)*0.475*44/12</f>
        <v>4.9263450521852326</v>
      </c>
      <c r="CN65" s="22">
        <f t="shared" si="12"/>
        <v>35.415418980589038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1.8384615384615373</v>
      </c>
      <c r="CT65" s="12">
        <f>IF('Données projet'!$A$140&gt;35,CT64+CS65-DB64,IF(A65&lt;'Données projet'!$A$140,$CQ$205^A65,IF(A65='Données projet'!$A$140,'Données projet'!$B$140,CT64+CS65-DB64)))</f>
        <v>87.753846153846126</v>
      </c>
      <c r="CU65" s="17">
        <f>CT65*VLOOKUP('Données projet'!$B$13,Paramètres!$A$1:$I$89,3,0)*VLOOKUP('Données projet'!$B$13,Paramètres!$A$1:$I$89,5,0)</f>
        <v>101.09243076923075</v>
      </c>
      <c r="CV65" s="13">
        <f t="shared" si="41"/>
        <v>27.222089313942796</v>
      </c>
      <c r="CW65" s="20">
        <f t="shared" si="13"/>
        <v>223.4811224781939</v>
      </c>
      <c r="CX65" s="59">
        <f t="shared" si="14"/>
        <v>516.81445581152718</v>
      </c>
      <c r="CY65" s="59">
        <f ca="1">AVERAGE(OFFSET($CX$3,0,0,'Données projet'!$E$13+1,1))-AVERAGE(OFFSET($H$3,0,0,'Données projet'!$E$13+1,1))</f>
        <v>150.78964413039063</v>
      </c>
      <c r="CZ65" s="59">
        <f t="shared" si="42"/>
        <v>131.90332435966184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4.6434840211830126</v>
      </c>
      <c r="DG65" s="21">
        <f>EXP(-LN(2)/25)*DG64+(1-EXP(-LN(2)/25))/(LN(2)/25)*Calculateur!DB65*Calculateur!DD65*VLOOKUP('Données projet'!$B$13,Paramètres!$A$1:$I$89,3,0)*0.475*44/12</f>
        <v>3.2320066497451201</v>
      </c>
      <c r="DH65" s="21">
        <f>EXP(-LN(2)/2)*DH64+(1-EXP(-LN(2)/2))/(LN(2)/2)*DB65*DE65*VLOOKUP('Données projet'!$B$13,Paramètres!$A$1:$I$89,3,0)*0.475*44/12</f>
        <v>0.90213505616082412</v>
      </c>
      <c r="DI65" s="22">
        <f t="shared" si="15"/>
        <v>8.7776257270889566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1.9230769230769256</v>
      </c>
      <c r="DO65" s="12">
        <f>IF('Données projet'!$A$166&gt;35,DO64+DN65-DW64,IF(A65&lt;'Données projet'!$A$166,$DL$205^A65,IF(A65='Données projet'!$A$166,'Données projet'!$B$166,DO64+DN65-DW64)))</f>
        <v>87.179487179487211</v>
      </c>
      <c r="DP65" s="17">
        <f>DO65*VLOOKUP('Données projet'!$B$14,Paramètres!$A$1:$I$89,3,0)*VLOOKUP('Données projet'!$B$14,Paramètres!$A$1:$I$89,5,0)</f>
        <v>91.120000000000047</v>
      </c>
      <c r="DQ65" s="13">
        <f t="shared" si="43"/>
        <v>24.835147287678563</v>
      </c>
      <c r="DR65" s="20">
        <f t="shared" si="16"/>
        <v>201.95521485937357</v>
      </c>
      <c r="DS65" s="59">
        <f t="shared" si="17"/>
        <v>495.28854819270691</v>
      </c>
      <c r="DT65" s="59">
        <f ca="1">AVERAGE(OFFSET($DS$3,0,0,'Données projet'!$E$14+1,1))-AVERAGE(OFFSET($H$3,0,0,'Données projet'!$E$14+1,1))</f>
        <v>110.10595934547638</v>
      </c>
      <c r="DU65" s="59">
        <f t="shared" si="44"/>
        <v>131.10971921141493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9.8585550611039565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9.8585550611039565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6.8933333333333326</v>
      </c>
      <c r="EJ65" s="12">
        <f>IF('Données projet'!$A$192&gt;35,EJ64+EI65-ER64,IF(A65&lt;'Données projet'!$A$192,$EG$205^A65,IF(A65='Données projet'!$A$192,'Données projet'!$B$192,EJ64+EI65-ER64)))</f>
        <v>142.53666666666658</v>
      </c>
      <c r="EK65" s="17">
        <f>EJ65*VLOOKUP('Données projet'!$B$15,Paramètres!$A$1:$I$89,3,0)*VLOOKUP('Données projet'!$B$15,Paramètres!$A$1:$I$89,5,0)</f>
        <v>144.5321799999999</v>
      </c>
      <c r="EL65" s="13">
        <f t="shared" si="45"/>
        <v>37.333331285279648</v>
      </c>
      <c r="EM65" s="20">
        <f t="shared" si="19"/>
        <v>316.74909882186188</v>
      </c>
      <c r="EN65" s="59">
        <f t="shared" si="20"/>
        <v>610.08243215519519</v>
      </c>
      <c r="EO65" s="59">
        <f ca="1">AVERAGE(OFFSET($EN$3,0,0,'Données projet'!$E$15+1,1))-AVERAGE(OFFSET($H$3,0,0,'Données projet'!$E$15+1,1))</f>
        <v>420.38735944595965</v>
      </c>
      <c r="EP65" s="59">
        <f t="shared" si="46"/>
        <v>200.0823542414671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26.478691497569692</v>
      </c>
      <c r="EX65" s="21">
        <f>EXP(-LN(2)/2)*EX64+(1-EXP(-LN(2)/2))/(LN(2)/2)*ER65*EU65*VLOOKUP('Données projet'!$B$15,Paramètres!$A$1:$I$89,3,0)*0.475*44/12</f>
        <v>6.9717373555036781</v>
      </c>
      <c r="EY65" s="22">
        <f t="shared" si="21"/>
        <v>33.450428853073369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9.7525000000000013</v>
      </c>
      <c r="FE65" s="12">
        <f>IF('Données projet'!$A$218&gt;35,FE64+FD65-FM64,IF(A65&lt;'Données projet'!$A$218,$FB$205^A65,IF(A65='Données projet'!$A$218,'Données projet'!$B$218,FE64+FD65-FM64)))</f>
        <v>190.29749999999999</v>
      </c>
      <c r="FF65" s="17">
        <f>FE65*VLOOKUP('Données projet'!$B$16,Paramètres!$A$1:$I$89,3,0)*VLOOKUP('Données projet'!$B$16,Paramètres!$A$1:$I$89,5,0)</f>
        <v>204.83622899999995</v>
      </c>
      <c r="FG65" s="13">
        <f t="shared" si="47"/>
        <v>50.805541968354355</v>
      </c>
      <c r="FH65" s="20">
        <f t="shared" si="22"/>
        <v>445.24275110321702</v>
      </c>
      <c r="FI65" s="59">
        <f t="shared" si="23"/>
        <v>738.57608443655033</v>
      </c>
      <c r="FJ65" s="59">
        <f ca="1">AVERAGE(OFFSET($FI$3,0,0,'Données projet'!$E$16+1,1))-AVERAGE(OFFSET($H$3,0,0,'Données projet'!$E$16+1,1))</f>
        <v>415.8741608506952</v>
      </c>
      <c r="FK65" s="59">
        <f t="shared" si="48"/>
        <v>259.15848913719356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13.578379848613711</v>
      </c>
      <c r="FR65" s="21">
        <f>EXP(-LN(2)/25)*FR64+(1-EXP(-LN(2)/25))/(LN(2)/25)*Calculateur!FM65*Calculateur!FO65*VLOOKUP('Données projet'!$B$16,Paramètres!$A$1:$I$89,3,0)*0.475*44/12</f>
        <v>32.96159827007456</v>
      </c>
      <c r="FS65" s="21">
        <f>EXP(-LN(2)/2)*FS64+(1-EXP(-LN(2)/2))/(LN(2)/2)*FM65*FP65*VLOOKUP('Données projet'!$B$16,Paramètres!$A$1:$I$89,3,0)*0.475*44/12</f>
        <v>1.6691406950154759</v>
      </c>
      <c r="FT65" s="22">
        <f t="shared" si="24"/>
        <v>48.209118813703746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9.7525000000000013</v>
      </c>
      <c r="FZ65" s="12">
        <f>IF('Données projet'!$A$244&gt;35,FZ64+FY65-GH64,IF(A65&lt;'Données projet'!$A$244,$FW$205^A65,IF(A65='Données projet'!$A$244,'Données projet'!$B$244,FZ64+FY65-GH64)))</f>
        <v>190.29749999999999</v>
      </c>
      <c r="GA65" s="17">
        <f>FZ65*VLOOKUP('Données projet'!$B$17,Paramètres!$A$1:$I$89,3,0)*VLOOKUP('Données projet'!$B$17,Paramètres!$A$1:$I$89,5,0)</f>
        <v>163.27525499999999</v>
      </c>
      <c r="GB65" s="13">
        <f t="shared" si="49"/>
        <v>41.580384827956578</v>
      </c>
      <c r="GC65" s="20">
        <f t="shared" si="25"/>
        <v>356.7902393670243</v>
      </c>
      <c r="GD65" s="59">
        <f t="shared" si="26"/>
        <v>650.12357270035761</v>
      </c>
      <c r="GE65" s="59">
        <f ca="1">AVERAGE(OFFSET($GD$3,0,0,'Données projet'!$E$17+1,1))-AVERAGE(OFFSET($H$3,0,0,'Données projet'!$E$17+1,1))</f>
        <v>322.39807389980882</v>
      </c>
      <c r="GF65" s="59">
        <f t="shared" si="50"/>
        <v>202.59410055732792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13.340403525011451</v>
      </c>
      <c r="GM65" s="21">
        <f>EXP(-LN(2)/25)*GM64+(1-EXP(-LN(2)/25))/(LN(2)/25)*Calculateur!GH65*Calculateur!GJ65*VLOOKUP('Données projet'!$B$17,Paramètres!$A$1:$I$89,3,0)*0.475*44/12</f>
        <v>32.383909321627009</v>
      </c>
      <c r="GN65" s="21">
        <f>EXP(-LN(2)/2)*GN64+(1-EXP(-LN(2)/2))/(LN(2)/2)*GH65*GK65*VLOOKUP('Données projet'!$B$17,Paramètres!$A$1:$I$89,3,0)*0.475*44/12</f>
        <v>1.3304744670413213</v>
      </c>
      <c r="GO65" s="21">
        <f t="shared" si="27"/>
        <v>47.054787313679782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23.095799999999965</v>
      </c>
      <c r="D66" s="11">
        <f t="shared" si="32"/>
        <v>7.3853287558503915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235.29292372937118</v>
      </c>
      <c r="H66" s="67">
        <f t="shared" si="1"/>
        <v>346.42129924977269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375.17</v>
      </c>
      <c r="L66" s="12">
        <f>VLOOKUP(A66,'Données projet'!$A$35:$I$55,9,0)</f>
        <v>12.346666666666669</v>
      </c>
      <c r="M66" s="12">
        <f t="array" ref="M66">INDEX(L:L,MIN(IF(ISNUMBER(L66:L262),ROW(L66:L262),"")))</f>
        <v>12.346666666666669</v>
      </c>
      <c r="N66" s="13">
        <f>IF('Données projet'!$A$36&gt;35,N65+M66-V65,IF(A66&lt;'Données projet'!$A$36,$K$205^A66,IF(A66='Données projet'!$A$36,'Données projet'!$B$36,N65+M66-V65)))</f>
        <v>375.17000000000007</v>
      </c>
      <c r="O66" s="13">
        <f>N66*VLOOKUP('Données projet'!$B$9,Paramètres!$A$1:$I$89,3,0)*VLOOKUP('Données projet'!$B$9,Paramètres!$A$1:$I$89,5,0)</f>
        <v>175.57956000000001</v>
      </c>
      <c r="P66" s="13">
        <f t="shared" si="33"/>
        <v>44.337301048235936</v>
      </c>
      <c r="Q66" s="20">
        <f t="shared" si="53"/>
        <v>383.02186632567759</v>
      </c>
      <c r="R66" s="59">
        <f t="shared" si="0"/>
        <v>676.35519965901085</v>
      </c>
      <c r="S66" s="59">
        <f ca="1">AVERAGE(OFFSET($R$3,0,0,'Données projet'!$E$9+1,1))-AVERAGE(OFFSET($H$3,0,0,'Données projet'!$E$9+1,1))</f>
        <v>215.77907571824977</v>
      </c>
      <c r="T66" s="59">
        <f t="shared" si="34"/>
        <v>174.69390149594869</v>
      </c>
      <c r="U66" s="15">
        <f>IF(ISNA(VLOOKUP(A66,'Données projet'!$A$35:$I$55,3,0)),0,VLOOKUP(A66,'Données projet'!$A$35:$I$55,3,0))</f>
        <v>2</v>
      </c>
      <c r="V66" s="15">
        <f>IF(ISNA(VLOOKUP(A66,'Données projet'!$A$35:$I$55,4,0)),0,VLOOKUP(A66,'Données projet'!$A$35:$I$55,4,0))</f>
        <v>115.59000000000003</v>
      </c>
      <c r="W66" s="16">
        <f>IF(ISNA(VLOOKUP(A66,'Données projet'!$A$35:$I$55,5,0)),0%,VLOOKUP(A66,'Données projet'!$A$35:$I$55,5,0)*VLOOKUP('Données projet'!$B$9,Paramètres!$A$1:$I$89,7,0))</f>
        <v>0.33</v>
      </c>
      <c r="X66" s="16">
        <f>IF(ISNA(VLOOKUP(A66,'Données projet'!$A$35:$I$55,6,0)),0%,VLOOKUP(A66,'Données projet'!$A$35:$I$55,6,0)*VLOOKUP('Données projet'!$B$9,Paramètres!$A$1:$I$89,7,0))</f>
        <v>0.11000000000000001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30.51860234421331</v>
      </c>
      <c r="AA66" s="21">
        <f>EXP(-LN(2)/25)*AA65+(1-EXP(-LN(2)/25))/(LN(2)/25)*Calculateur!V66*Calculateur!X66*VLOOKUP('Données projet'!$B$9,Paramètres!$A$1:$I$89,3,0)*0.475*44/12</f>
        <v>17.027877336903668</v>
      </c>
      <c r="AB66" s="21">
        <f>EXP(-LN(2)/2)*AB65+(1-EXP(-LN(2)/2))/(LN(2)/2)*V66*Y66*VLOOKUP('Données projet'!$B$9,Paramètres!$A$1:$I$89,3,0)*0.475*44/12</f>
        <v>12.569464877633518</v>
      </c>
      <c r="AC66" s="22">
        <f t="shared" si="3"/>
        <v>60.115944558750499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-1.0197709343628959E-13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171.701352621833</v>
      </c>
      <c r="AO66" s="59">
        <f t="shared" si="36"/>
        <v>195.58435749168586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100.2182133029512</v>
      </c>
      <c r="AV66" s="21">
        <f>EXP(-LN(2)/25)*AV65+(1-EXP(-LN(2)/25))/(LN(2)/25)*Calculateur!AQ66*Calculateur!AS66*VLOOKUP('Données projet'!$B$10,Paramètres!$A$1:$I$89,3,0)*0.475*44/12</f>
        <v>36.357392764896083</v>
      </c>
      <c r="AW66" s="21">
        <f>EXP(-LN(2)/2)*AW65+(1-EXP(-LN(2)/2))/(LN(2)/2)*AQ66*AT66*VLOOKUP('Données projet'!$B$10,Paramètres!$A$1:$I$89,3,0)*0.475*44/12</f>
        <v>31.621055990559686</v>
      </c>
      <c r="AX66" s="21">
        <f t="shared" si="6"/>
        <v>168.19666205840696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16.8</v>
      </c>
      <c r="BD66" s="12">
        <f>IF('Données projet'!$A$88&gt;35,BD65+BC66-BL65,IF(A66&lt;'Données projet'!$A$88,$BA$205^A66,IF(A66='Données projet'!$A$88,'Données projet'!$B$88,BD65+BC66-BL65)))</f>
        <v>577.39999999999964</v>
      </c>
      <c r="BE66" s="13">
        <f>BD66*VLOOKUP('Données projet'!$B$11,Paramètres!$A$1:$I$89,3,0)*VLOOKUP('Données projet'!$B$11,Paramètres!$A$1:$I$89,5,0)</f>
        <v>300.24799999999982</v>
      </c>
      <c r="BF66" s="13">
        <f t="shared" si="37"/>
        <v>71.228451300883904</v>
      </c>
      <c r="BG66" s="20">
        <f t="shared" si="7"/>
        <v>646.9881526823724</v>
      </c>
      <c r="BH66" s="59">
        <f t="shared" si="8"/>
        <v>940.32148601570566</v>
      </c>
      <c r="BI66" s="59">
        <f ca="1">AVERAGE(OFFSET($BH$3,0,0,'Données projet'!$E$11+1,1))-AVERAGE(OFFSET($H$3,0,0,'Données projet'!$E$11+1,1))</f>
        <v>348.29124901999882</v>
      </c>
      <c r="BJ66" s="59">
        <f t="shared" si="38"/>
        <v>284.30034973939053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46.237356752014847</v>
      </c>
      <c r="BQ66" s="21">
        <f>EXP(-LN(2)/25)*BQ65+(1-EXP(-LN(2)/25))/(LN(2)/25)*Calculateur!BL66*Calculateur!BN66*VLOOKUP('Données projet'!$B$11,Paramètres!$A$1:$I$89,3,0)*0.475*44/12</f>
        <v>27.498154354159865</v>
      </c>
      <c r="BR66" s="21">
        <f>EXP(-LN(2)/2)*BR65+(1-EXP(-LN(2)/2))/(LN(2)/2)*BL66*BO66*VLOOKUP('Données projet'!$B$11,Paramètres!$A$1:$I$89,3,0)*0.475*44/12</f>
        <v>2.5962857042760015</v>
      </c>
      <c r="BS66" s="22">
        <f t="shared" si="9"/>
        <v>76.331796810450712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6.8386666666666658</v>
      </c>
      <c r="BY66" s="12">
        <f>IF('Données projet'!$A$114&gt;35,BY65+BX66-CG65,IF(A66&lt;'Données projet'!$A$114,$BV$205^A66,IF(A66='Données projet'!$A$114,'Données projet'!$B$114,BY65+BX66-CG65)))</f>
        <v>192.46599999999989</v>
      </c>
      <c r="BZ66" s="13">
        <f>BY66*VLOOKUP('Données projet'!$B$12,Paramètres!$A$1:$I$89,3,0)*VLOOKUP('Données projet'!$B$12,Paramètres!$A$1:$I$89,5,0)</f>
        <v>115.09466799999994</v>
      </c>
      <c r="CA66" s="13">
        <f t="shared" si="39"/>
        <v>30.52814695148178</v>
      </c>
      <c r="CB66" s="20">
        <f t="shared" si="10"/>
        <v>253.62640270716403</v>
      </c>
      <c r="CC66" s="59">
        <f t="shared" si="11"/>
        <v>546.95973604049732</v>
      </c>
      <c r="CD66" s="59">
        <f ca="1">AVERAGE(OFFSET($CC$3,0,0,'Données projet'!$E$12+1,1))-AVERAGE(OFFSET($H$3,0,0,'Données projet'!$E$12+1,1))</f>
        <v>185.82627135915504</v>
      </c>
      <c r="CE66" s="59">
        <f t="shared" si="40"/>
        <v>155.46126452522037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19.166679901298355</v>
      </c>
      <c r="CL66" s="21">
        <f>EXP(-LN(2)/25)*CL65+(1-EXP(-LN(2)/25))/(LN(2)/25)*Calculateur!CG66*Calculateur!CI66*VLOOKUP('Données projet'!$B$12,Paramètres!$A$1:$I$89,3,0)*0.475*44/12</f>
        <v>10.639901242645138</v>
      </c>
      <c r="CM66" s="21">
        <f>EXP(-LN(2)/2)*CM65+(1-EXP(-LN(2)/2))/(LN(2)/2)*CG66*CJ66*VLOOKUP('Données projet'!$B$12,Paramètres!$A$1:$I$89,3,0)*0.475*44/12</f>
        <v>3.4834519928649743</v>
      </c>
      <c r="CN66" s="22">
        <f t="shared" si="12"/>
        <v>33.290033136808468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1.8384615384615373</v>
      </c>
      <c r="CT66" s="12">
        <f>IF('Données projet'!$A$140&gt;35,CT65+CS66-DB65,IF(A66&lt;'Données projet'!$A$140,$CQ$205^A66,IF(A66='Données projet'!$A$140,'Données projet'!$B$140,CT65+CS66-DB65)))</f>
        <v>89.592307692307656</v>
      </c>
      <c r="CU66" s="17">
        <f>CT66*VLOOKUP('Données projet'!$B$13,Paramètres!$A$1:$I$89,3,0)*VLOOKUP('Données projet'!$B$13,Paramètres!$A$1:$I$89,5,0)</f>
        <v>103.21033846153843</v>
      </c>
      <c r="CV66" s="13">
        <f t="shared" si="41"/>
        <v>27.725404204356263</v>
      </c>
      <c r="CW66" s="20">
        <f t="shared" si="13"/>
        <v>228.04641847643322</v>
      </c>
      <c r="CX66" s="59">
        <f t="shared" si="14"/>
        <v>521.3797518097665</v>
      </c>
      <c r="CY66" s="59">
        <f ca="1">AVERAGE(OFFSET($CX$3,0,0,'Données projet'!$E$13+1,1))-AVERAGE(OFFSET($H$3,0,0,'Données projet'!$E$13+1,1))</f>
        <v>150.78964413039063</v>
      </c>
      <c r="CZ66" s="59">
        <f t="shared" si="42"/>
        <v>131.90332435966184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4.5524281317732056</v>
      </c>
      <c r="DG66" s="21">
        <f>EXP(-LN(2)/25)*DG65+(1-EXP(-LN(2)/25))/(LN(2)/25)*Calculateur!DB66*Calculateur!DD66*VLOOKUP('Données projet'!$B$13,Paramètres!$A$1:$I$89,3,0)*0.475*44/12</f>
        <v>3.1436272579439968</v>
      </c>
      <c r="DH66" s="21">
        <f>EXP(-LN(2)/2)*DH65+(1-EXP(-LN(2)/2))/(LN(2)/2)*DB66*DE66*VLOOKUP('Données projet'!$B$13,Paramètres!$A$1:$I$89,3,0)*0.475*44/12</f>
        <v>0.63790581575742566</v>
      </c>
      <c r="DI66" s="22">
        <f t="shared" si="15"/>
        <v>8.3339612054746279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1.9230769230769256</v>
      </c>
      <c r="DO66" s="12">
        <f>IF('Données projet'!$A$166&gt;35,DO65+DN66-DW65,IF(A66&lt;'Données projet'!$A$166,$DL$205^A66,IF(A66='Données projet'!$A$166,'Données projet'!$B$166,DO65+DN66-DW65)))</f>
        <v>89.102564102564131</v>
      </c>
      <c r="DP66" s="17">
        <f>DO66*VLOOKUP('Données projet'!$B$14,Paramètres!$A$1:$I$89,3,0)*VLOOKUP('Données projet'!$B$14,Paramètres!$A$1:$I$89,5,0)</f>
        <v>93.130000000000038</v>
      </c>
      <c r="DQ66" s="13">
        <f t="shared" si="43"/>
        <v>25.318597113194695</v>
      </c>
      <c r="DR66" s="20">
        <f t="shared" si="16"/>
        <v>206.29797330548081</v>
      </c>
      <c r="DS66" s="59">
        <f t="shared" si="17"/>
        <v>499.63130663881412</v>
      </c>
      <c r="DT66" s="59">
        <f ca="1">AVERAGE(OFFSET($DS$3,0,0,'Données projet'!$E$14+1,1))-AVERAGE(OFFSET($H$3,0,0,'Données projet'!$E$14+1,1))</f>
        <v>110.10595934547638</v>
      </c>
      <c r="DU66" s="59">
        <f t="shared" si="44"/>
        <v>131.10971921141493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9.5889723545191909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9.5889723545191909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6.8933333333333326</v>
      </c>
      <c r="EJ66" s="12">
        <f>IF('Données projet'!$A$192&gt;35,EJ65+EI66-ER65,IF(A66&lt;'Données projet'!$A$192,$EG$205^A66,IF(A66='Données projet'!$A$192,'Données projet'!$B$192,EJ65+EI66-ER65)))</f>
        <v>149.42999999999992</v>
      </c>
      <c r="EK66" s="17">
        <f>EJ66*VLOOKUP('Données projet'!$B$15,Paramètres!$A$1:$I$89,3,0)*VLOOKUP('Données projet'!$B$15,Paramètres!$A$1:$I$89,5,0)</f>
        <v>151.52201999999994</v>
      </c>
      <c r="EL66" s="13">
        <f t="shared" si="45"/>
        <v>38.924266634641384</v>
      </c>
      <c r="EM66" s="20">
        <f t="shared" si="19"/>
        <v>331.6939492220003</v>
      </c>
      <c r="EN66" s="59">
        <f t="shared" si="20"/>
        <v>625.02728255533361</v>
      </c>
      <c r="EO66" s="59">
        <f ca="1">AVERAGE(OFFSET($EN$3,0,0,'Données projet'!$E$15+1,1))-AVERAGE(OFFSET($H$3,0,0,'Données projet'!$E$15+1,1))</f>
        <v>420.38735944595965</v>
      </c>
      <c r="EP66" s="59">
        <f t="shared" si="46"/>
        <v>200.0823542414671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25.754630286114779</v>
      </c>
      <c r="EX66" s="21">
        <f>EXP(-LN(2)/2)*EX65+(1-EXP(-LN(2)/2))/(LN(2)/2)*ER66*EU66*VLOOKUP('Données projet'!$B$15,Paramètres!$A$1:$I$89,3,0)*0.475*44/12</f>
        <v>4.9297627607282193</v>
      </c>
      <c r="EY66" s="22">
        <f t="shared" si="21"/>
        <v>30.684393046842999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9.7525000000000013</v>
      </c>
      <c r="FE66" s="12">
        <f>IF('Données projet'!$A$218&gt;35,FE65+FD66-FM65,IF(A66&lt;'Données projet'!$A$218,$FB$205^A66,IF(A66='Données projet'!$A$218,'Données projet'!$B$218,FE65+FD66-FM65)))</f>
        <v>200.04999999999998</v>
      </c>
      <c r="FF66" s="17">
        <f>FE66*VLOOKUP('Données projet'!$B$16,Paramètres!$A$1:$I$89,3,0)*VLOOKUP('Données projet'!$B$16,Paramètres!$A$1:$I$89,5,0)</f>
        <v>215.33381999999997</v>
      </c>
      <c r="FG66" s="13">
        <f t="shared" si="47"/>
        <v>53.099452648856172</v>
      </c>
      <c r="FH66" s="20">
        <f t="shared" si="22"/>
        <v>467.52128319675768</v>
      </c>
      <c r="FI66" s="59">
        <f t="shared" si="23"/>
        <v>760.85461653009099</v>
      </c>
      <c r="FJ66" s="59">
        <f ca="1">AVERAGE(OFFSET($FI$3,0,0,'Données projet'!$E$16+1,1))-AVERAGE(OFFSET($H$3,0,0,'Données projet'!$E$16+1,1))</f>
        <v>415.8741608506952</v>
      </c>
      <c r="FK66" s="59">
        <f t="shared" si="48"/>
        <v>259.15848913719356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13.312116101776324</v>
      </c>
      <c r="FR66" s="21">
        <f>EXP(-LN(2)/25)*FR65+(1-EXP(-LN(2)/25))/(LN(2)/25)*Calculateur!FM66*Calculateur!FO66*VLOOKUP('Données projet'!$B$16,Paramètres!$A$1:$I$89,3,0)*0.475*44/12</f>
        <v>32.060261632004256</v>
      </c>
      <c r="FS66" s="21">
        <f>EXP(-LN(2)/2)*FS65+(1-EXP(-LN(2)/2))/(LN(2)/2)*FM66*FP66*VLOOKUP('Données projet'!$B$16,Paramètres!$A$1:$I$89,3,0)*0.475*44/12</f>
        <v>1.1802607041998701</v>
      </c>
      <c r="FT66" s="22">
        <f t="shared" si="24"/>
        <v>46.552638437980448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9.7525000000000013</v>
      </c>
      <c r="FZ66" s="12">
        <f>IF('Données projet'!$A$244&gt;35,FZ65+FY66-GH65,IF(A66&lt;'Données projet'!$A$244,$FW$205^A66,IF(A66='Données projet'!$A$244,'Données projet'!$B$244,FZ65+FY66-GH65)))</f>
        <v>200.04999999999998</v>
      </c>
      <c r="GA66" s="17">
        <f>FZ66*VLOOKUP('Données projet'!$B$17,Paramètres!$A$1:$I$89,3,0)*VLOOKUP('Données projet'!$B$17,Paramètres!$A$1:$I$89,5,0)</f>
        <v>171.6429</v>
      </c>
      <c r="GB66" s="13">
        <f t="shared" si="49"/>
        <v>43.457772316818293</v>
      </c>
      <c r="GC66" s="20">
        <f t="shared" si="25"/>
        <v>374.63367095179188</v>
      </c>
      <c r="GD66" s="59">
        <f t="shared" si="26"/>
        <v>667.9670042851252</v>
      </c>
      <c r="GE66" s="59">
        <f ca="1">AVERAGE(OFFSET($GD$3,0,0,'Données projet'!$E$17+1,1))-AVERAGE(OFFSET($H$3,0,0,'Données projet'!$E$17+1,1))</f>
        <v>322.39807389980882</v>
      </c>
      <c r="GF66" s="59">
        <f t="shared" si="50"/>
        <v>202.59410055732792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13.07880634872868</v>
      </c>
      <c r="GM66" s="21">
        <f>EXP(-LN(2)/25)*GM65+(1-EXP(-LN(2)/25))/(LN(2)/25)*Calculateur!GH66*Calculateur!GJ66*VLOOKUP('Données projet'!$B$17,Paramètres!$A$1:$I$89,3,0)*0.475*44/12</f>
        <v>31.49836961823134</v>
      </c>
      <c r="GN66" s="21">
        <f>EXP(-LN(2)/2)*GN65+(1-EXP(-LN(2)/2))/(LN(2)/2)*GH66*GK66*VLOOKUP('Données projet'!$B$17,Paramètres!$A$1:$I$89,3,0)*0.475*44/12</f>
        <v>0.9407875178404761</v>
      </c>
      <c r="GO66" s="21">
        <f t="shared" si="27"/>
        <v>45.517963484800497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23.462399999999963</v>
      </c>
      <c r="D67" s="11">
        <f t="shared" si="32"/>
        <v>7.488815792675048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238.92166576801762</v>
      </c>
      <c r="H67" s="67">
        <f t="shared" si="1"/>
        <v>347.2400341722423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11.327500000000001</v>
      </c>
      <c r="N67" s="13">
        <f>IF('Données projet'!$A$36&gt;35,N66+M67-V66,IF(A67&lt;'Données projet'!$A$36,$K$205^A67,IF(A67='Données projet'!$A$36,'Données projet'!$B$36,N66+M67-V66)))</f>
        <v>270.90750000000003</v>
      </c>
      <c r="O67" s="13">
        <f>N67*VLOOKUP('Données projet'!$B$9,Paramètres!$A$1:$I$89,3,0)*VLOOKUP('Données projet'!$B$9,Paramètres!$A$1:$I$89,5,0)</f>
        <v>126.78471000000002</v>
      </c>
      <c r="P67" s="13">
        <f t="shared" si="33"/>
        <v>33.252320782096213</v>
      </c>
      <c r="Q67" s="20">
        <f t="shared" ref="Q67:Q98" si="54">(O67+P67)*0.475*44/12</f>
        <v>278.73116194548425</v>
      </c>
      <c r="R67" s="59">
        <f t="shared" ref="R67:R130" si="55">Q67+(I67+J67)*44/12</f>
        <v>572.0644952788175</v>
      </c>
      <c r="S67" s="59">
        <f ca="1">AVERAGE(OFFSET($R$3,0,0,'Données projet'!$E$9+1,1))-AVERAGE(OFFSET($H$3,0,0,'Données projet'!$E$9+1,1))</f>
        <v>215.77907571824977</v>
      </c>
      <c r="T67" s="59">
        <f t="shared" si="34"/>
        <v>174.69390149594869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29.920151166752685</v>
      </c>
      <c r="AA67" s="21">
        <f>EXP(-LN(2)/25)*AA66+(1-EXP(-LN(2)/25))/(LN(2)/25)*Calculateur!V67*Calculateur!X67*VLOOKUP('Données projet'!$B$9,Paramètres!$A$1:$I$89,3,0)*0.475*44/12</f>
        <v>16.562249135668885</v>
      </c>
      <c r="AB67" s="21">
        <f>EXP(-LN(2)/2)*AB66+(1-EXP(-LN(2)/2))/(LN(2)/2)*V67*Y67*VLOOKUP('Données projet'!$B$9,Paramètres!$A$1:$I$89,3,0)*0.475*44/12</f>
        <v>8.8879538508607983</v>
      </c>
      <c r="AC67" s="22">
        <f t="shared" si="3"/>
        <v>55.370354153282364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-1.0197709343628959E-13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171.701352621833</v>
      </c>
      <c r="AO67" s="59">
        <f t="shared" si="36"/>
        <v>195.58435749168586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98.252995267154645</v>
      </c>
      <c r="AV67" s="21">
        <f>EXP(-LN(2)/25)*AV66+(1-EXP(-LN(2)/25))/(LN(2)/25)*Calculateur!AQ67*Calculateur!AS67*VLOOKUP('Données projet'!$B$10,Paramètres!$A$1:$I$89,3,0)*0.475*44/12</f>
        <v>35.36319794778781</v>
      </c>
      <c r="AW67" s="21">
        <f>EXP(-LN(2)/2)*AW66+(1-EXP(-LN(2)/2))/(LN(2)/2)*AQ67*AT67*VLOOKUP('Données projet'!$B$10,Paramètres!$A$1:$I$89,3,0)*0.475*44/12</f>
        <v>22.359463119204257</v>
      </c>
      <c r="AX67" s="21">
        <f t="shared" si="6"/>
        <v>155.97565633414672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16.8</v>
      </c>
      <c r="BD67" s="12">
        <f>IF('Données projet'!$A$88&gt;35,BD66+BC67-BL66,IF(A67&lt;'Données projet'!$A$88,$BA$205^A67,IF(A67='Données projet'!$A$88,'Données projet'!$B$88,BD66+BC67-BL66)))</f>
        <v>594.19999999999959</v>
      </c>
      <c r="BE67" s="13">
        <f>BD67*VLOOKUP('Données projet'!$B$11,Paramètres!$A$1:$I$89,3,0)*VLOOKUP('Données projet'!$B$11,Paramètres!$A$1:$I$89,5,0)</f>
        <v>308.98399999999981</v>
      </c>
      <c r="BF67" s="13">
        <f t="shared" si="37"/>
        <v>73.056608411738011</v>
      </c>
      <c r="BG67" s="20">
        <f t="shared" si="7"/>
        <v>665.38739298377664</v>
      </c>
      <c r="BH67" s="59">
        <f t="shared" si="8"/>
        <v>958.72072631710989</v>
      </c>
      <c r="BI67" s="59">
        <f ca="1">AVERAGE(OFFSET($BH$3,0,0,'Données projet'!$E$11+1,1))-AVERAGE(OFFSET($H$3,0,0,'Données projet'!$E$11+1,1))</f>
        <v>348.29124901999882</v>
      </c>
      <c r="BJ67" s="59">
        <f t="shared" si="38"/>
        <v>284.30034973939053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45.33067038811074</v>
      </c>
      <c r="BQ67" s="21">
        <f>EXP(-LN(2)/25)*BQ66+(1-EXP(-LN(2)/25))/(LN(2)/25)*Calculateur!BL67*Calculateur!BN67*VLOOKUP('Données projet'!$B$11,Paramètres!$A$1:$I$89,3,0)*0.475*44/12</f>
        <v>26.746215877280274</v>
      </c>
      <c r="BR67" s="21">
        <f>EXP(-LN(2)/2)*BR66+(1-EXP(-LN(2)/2))/(LN(2)/2)*BL67*BO67*VLOOKUP('Données projet'!$B$11,Paramètres!$A$1:$I$89,3,0)*0.475*44/12</f>
        <v>1.8358512273912522</v>
      </c>
      <c r="BS67" s="22">
        <f t="shared" si="9"/>
        <v>73.912737492782256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6.8386666666666658</v>
      </c>
      <c r="BY67" s="12">
        <f>IF('Données projet'!$A$114&gt;35,BY66+BX67-CG66,IF(A67&lt;'Données projet'!$A$114,$BV$205^A67,IF(A67='Données projet'!$A$114,'Données projet'!$B$114,BY66+BX67-CG66)))</f>
        <v>199.30466666666655</v>
      </c>
      <c r="BZ67" s="13">
        <f>BY67*VLOOKUP('Données projet'!$B$12,Paramètres!$A$1:$I$89,3,0)*VLOOKUP('Données projet'!$B$12,Paramètres!$A$1:$I$89,5,0)</f>
        <v>119.18419066666661</v>
      </c>
      <c r="CA67" s="13">
        <f t="shared" si="39"/>
        <v>31.484649687785364</v>
      </c>
      <c r="CB67" s="20">
        <f t="shared" si="10"/>
        <v>262.41489695067054</v>
      </c>
      <c r="CC67" s="59">
        <f t="shared" si="11"/>
        <v>555.74823028400385</v>
      </c>
      <c r="CD67" s="59">
        <f ca="1">AVERAGE(OFFSET($CC$3,0,0,'Données projet'!$E$12+1,1))-AVERAGE(OFFSET($H$3,0,0,'Données projet'!$E$12+1,1))</f>
        <v>185.82627135915504</v>
      </c>
      <c r="CE67" s="59">
        <f t="shared" si="40"/>
        <v>155.46126452522037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18.79083299895429</v>
      </c>
      <c r="CL67" s="21">
        <f>EXP(-LN(2)/25)*CL66+(1-EXP(-LN(2)/25))/(LN(2)/25)*Calculateur!CG67*Calculateur!CI67*VLOOKUP('Données projet'!$B$12,Paramètres!$A$1:$I$89,3,0)*0.475*44/12</f>
        <v>10.348952583636917</v>
      </c>
      <c r="CM67" s="21">
        <f>EXP(-LN(2)/2)*CM66+(1-EXP(-LN(2)/2))/(LN(2)/2)*CG67*CJ67*VLOOKUP('Données projet'!$B$12,Paramètres!$A$1:$I$89,3,0)*0.475*44/12</f>
        <v>2.4631725260926163</v>
      </c>
      <c r="CN67" s="22">
        <f t="shared" si="12"/>
        <v>31.602958108683826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1.8384615384615373</v>
      </c>
      <c r="CT67" s="12">
        <f>IF('Données projet'!$A$140&gt;35,CT66+CS67-DB66,IF(A67&lt;'Données projet'!$A$140,$CQ$205^A67,IF(A67='Données projet'!$A$140,'Données projet'!$B$140,CT66+CS67-DB66)))</f>
        <v>91.430769230769187</v>
      </c>
      <c r="CU67" s="17">
        <f>CT67*VLOOKUP('Données projet'!$B$13,Paramètres!$A$1:$I$89,3,0)*VLOOKUP('Données projet'!$B$13,Paramètres!$A$1:$I$89,5,0)</f>
        <v>105.32824615384611</v>
      </c>
      <c r="CV67" s="13">
        <f t="shared" si="41"/>
        <v>28.227518240692508</v>
      </c>
      <c r="CW67" s="20">
        <f t="shared" si="13"/>
        <v>232.60962298715472</v>
      </c>
      <c r="CX67" s="59">
        <f t="shared" si="14"/>
        <v>525.94295632048807</v>
      </c>
      <c r="CY67" s="59">
        <f ca="1">AVERAGE(OFFSET($CX$3,0,0,'Données projet'!$E$13+1,1))-AVERAGE(OFFSET($H$3,0,0,'Données projet'!$E$13+1,1))</f>
        <v>150.78964413039063</v>
      </c>
      <c r="CZ67" s="59">
        <f t="shared" si="42"/>
        <v>131.90332435966184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4.4631577928161166</v>
      </c>
      <c r="DG67" s="21">
        <f>EXP(-LN(2)/25)*DG66+(1-EXP(-LN(2)/25))/(LN(2)/25)*Calculateur!DB67*Calculateur!DD67*VLOOKUP('Données projet'!$B$13,Paramètres!$A$1:$I$89,3,0)*0.475*44/12</f>
        <v>3.0576646052593457</v>
      </c>
      <c r="DH67" s="21">
        <f>EXP(-LN(2)/2)*DH66+(1-EXP(-LN(2)/2))/(LN(2)/2)*DB67*DE67*VLOOKUP('Données projet'!$B$13,Paramètres!$A$1:$I$89,3,0)*0.475*44/12</f>
        <v>0.45106752808041212</v>
      </c>
      <c r="DI67" s="22">
        <f t="shared" si="15"/>
        <v>7.9718899261558747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1.9230769230769256</v>
      </c>
      <c r="DO67" s="12">
        <f>IF('Données projet'!$A$166&gt;35,DO66+DN67-DW66,IF(A67&lt;'Données projet'!$A$166,$DL$205^A67,IF(A67='Données projet'!$A$166,'Données projet'!$B$166,DO66+DN67-DW66)))</f>
        <v>91.02564102564105</v>
      </c>
      <c r="DP67" s="17">
        <f>DO67*VLOOKUP('Données projet'!$B$14,Paramètres!$A$1:$I$89,3,0)*VLOOKUP('Données projet'!$B$14,Paramètres!$A$1:$I$89,5,0)</f>
        <v>95.140000000000043</v>
      </c>
      <c r="DQ67" s="13">
        <f t="shared" si="43"/>
        <v>25.800833826224874</v>
      </c>
      <c r="DR67" s="20">
        <f t="shared" si="16"/>
        <v>210.63861891400839</v>
      </c>
      <c r="DS67" s="59">
        <f t="shared" si="17"/>
        <v>503.97195224734173</v>
      </c>
      <c r="DT67" s="59">
        <f ca="1">AVERAGE(OFFSET($DS$3,0,0,'Données projet'!$E$14+1,1))-AVERAGE(OFFSET($H$3,0,0,'Données projet'!$E$14+1,1))</f>
        <v>110.10595934547638</v>
      </c>
      <c r="DU67" s="59">
        <f t="shared" si="44"/>
        <v>131.10971921141493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9.3267614012227238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9.3267614012227238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6.8933333333333326</v>
      </c>
      <c r="EJ67" s="12">
        <f>IF('Données projet'!$A$192&gt;35,EJ66+EI67-ER66,IF(A67&lt;'Données projet'!$A$192,$EG$205^A67,IF(A67='Données projet'!$A$192,'Données projet'!$B$192,EJ66+EI67-ER66)))</f>
        <v>156.32333333333327</v>
      </c>
      <c r="EK67" s="17">
        <f>EJ67*VLOOKUP('Données projet'!$B$15,Paramètres!$A$1:$I$89,3,0)*VLOOKUP('Données projet'!$B$15,Paramètres!$A$1:$I$89,5,0)</f>
        <v>158.51185999999996</v>
      </c>
      <c r="EL67" s="13">
        <f t="shared" si="45"/>
        <v>40.506678950569523</v>
      </c>
      <c r="EM67" s="20">
        <f t="shared" si="19"/>
        <v>346.6239553389085</v>
      </c>
      <c r="EN67" s="59">
        <f t="shared" si="20"/>
        <v>639.95728867224182</v>
      </c>
      <c r="EO67" s="59">
        <f ca="1">AVERAGE(OFFSET($EN$3,0,0,'Données projet'!$E$15+1,1))-AVERAGE(OFFSET($H$3,0,0,'Données projet'!$E$15+1,1))</f>
        <v>420.38735944595965</v>
      </c>
      <c r="EP67" s="59">
        <f t="shared" si="46"/>
        <v>200.0823542414671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25.050368566563826</v>
      </c>
      <c r="EX67" s="21">
        <f>EXP(-LN(2)/2)*EX66+(1-EXP(-LN(2)/2))/(LN(2)/2)*ER67*EU67*VLOOKUP('Données projet'!$B$15,Paramètres!$A$1:$I$89,3,0)*0.475*44/12</f>
        <v>3.4858686777518395</v>
      </c>
      <c r="EY67" s="22">
        <f t="shared" si="21"/>
        <v>28.536237244315664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9.7525000000000013</v>
      </c>
      <c r="FE67" s="12">
        <f>IF('Données projet'!$A$218&gt;35,FE66+FD67-FM66,IF(A67&lt;'Données projet'!$A$218,$FB$205^A67,IF(A67='Données projet'!$A$218,'Données projet'!$B$218,FE66+FD67-FM66)))</f>
        <v>209.80249999999998</v>
      </c>
      <c r="FF67" s="17">
        <f>FE67*VLOOKUP('Données projet'!$B$16,Paramètres!$A$1:$I$89,3,0)*VLOOKUP('Données projet'!$B$16,Paramètres!$A$1:$I$89,5,0)</f>
        <v>225.83141099999995</v>
      </c>
      <c r="FG67" s="13">
        <f t="shared" si="47"/>
        <v>55.380377881825432</v>
      </c>
      <c r="FH67" s="20">
        <f t="shared" si="22"/>
        <v>489.77719896917915</v>
      </c>
      <c r="FI67" s="59">
        <f t="shared" si="23"/>
        <v>783.11053230251241</v>
      </c>
      <c r="FJ67" s="59">
        <f ca="1">AVERAGE(OFFSET($FI$3,0,0,'Données projet'!$E$16+1,1))-AVERAGE(OFFSET($H$3,0,0,'Données projet'!$E$16+1,1))</f>
        <v>415.8741608506952</v>
      </c>
      <c r="FK67" s="59">
        <f t="shared" si="48"/>
        <v>259.15848913719356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13.05107362460957</v>
      </c>
      <c r="FR67" s="21">
        <f>EXP(-LN(2)/25)*FR66+(1-EXP(-LN(2)/25))/(LN(2)/25)*Calculateur!FM67*Calculateur!FO67*VLOOKUP('Données projet'!$B$16,Paramètres!$A$1:$I$89,3,0)*0.475*44/12</f>
        <v>31.183572091701215</v>
      </c>
      <c r="FS67" s="21">
        <f>EXP(-LN(2)/2)*FS66+(1-EXP(-LN(2)/2))/(LN(2)/2)*FM67*FP67*VLOOKUP('Données projet'!$B$16,Paramètres!$A$1:$I$89,3,0)*0.475*44/12</f>
        <v>0.83457034750773806</v>
      </c>
      <c r="FT67" s="22">
        <f t="shared" si="24"/>
        <v>45.069216063818523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9.7525000000000013</v>
      </c>
      <c r="FZ67" s="12">
        <f>IF('Données projet'!$A$244&gt;35,FZ66+FY67-GH66,IF(A67&lt;'Données projet'!$A$244,$FW$205^A67,IF(A67='Données projet'!$A$244,'Données projet'!$B$244,FZ66+FY67-GH66)))</f>
        <v>209.80249999999998</v>
      </c>
      <c r="GA67" s="17">
        <f>FZ67*VLOOKUP('Données projet'!$B$17,Paramètres!$A$1:$I$89,3,0)*VLOOKUP('Données projet'!$B$17,Paramètres!$A$1:$I$89,5,0)</f>
        <v>180.01054500000001</v>
      </c>
      <c r="GB67" s="13">
        <f t="shared" si="49"/>
        <v>45.324532226785074</v>
      </c>
      <c r="GC67" s="20">
        <f t="shared" si="25"/>
        <v>392.45859283665067</v>
      </c>
      <c r="GD67" s="59">
        <f t="shared" si="26"/>
        <v>685.79192616998398</v>
      </c>
      <c r="GE67" s="59">
        <f ca="1">AVERAGE(OFFSET($GD$3,0,0,'Données projet'!$E$17+1,1))-AVERAGE(OFFSET($H$3,0,0,'Données projet'!$E$17+1,1))</f>
        <v>322.39807389980882</v>
      </c>
      <c r="GF67" s="59">
        <f t="shared" si="50"/>
        <v>202.59410055732792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12.822338933514292</v>
      </c>
      <c r="GM67" s="21">
        <f>EXP(-LN(2)/25)*GM66+(1-EXP(-LN(2)/25))/(LN(2)/25)*Calculateur!GH67*Calculateur!GJ67*VLOOKUP('Données projet'!$B$17,Paramètres!$A$1:$I$89,3,0)*0.475*44/12</f>
        <v>30.637045044593535</v>
      </c>
      <c r="GN67" s="21">
        <f>EXP(-LN(2)/2)*GN66+(1-EXP(-LN(2)/2))/(LN(2)/2)*GH67*GK67*VLOOKUP('Données projet'!$B$17,Paramètres!$A$1:$I$89,3,0)*0.475*44/12</f>
        <v>0.66523723352066078</v>
      </c>
      <c r="GO67" s="21">
        <f t="shared" si="27"/>
        <v>44.124621211628487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23.828999999999962</v>
      </c>
      <c r="D68" s="11">
        <f t="shared" si="32"/>
        <v>7.5921147754172384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242.54895616111526</v>
      </c>
      <c r="H68" s="67">
        <f t="shared" ref="H68:H131" si="56">(B68+E68+F68)*44/12+(C68+D68)*0.475*44/12</f>
        <v>348.05844156718496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11.327500000000001</v>
      </c>
      <c r="N68" s="13">
        <f>IF('Données projet'!$A$36&gt;35,N67+M68-V67,IF(A68&lt;'Données projet'!$A$36,$K$205^A68,IF(A68='Données projet'!$A$36,'Données projet'!$B$36,N67+M68-V67)))</f>
        <v>282.23500000000001</v>
      </c>
      <c r="O68" s="13">
        <f>N68*VLOOKUP('Données projet'!$B$9,Paramètres!$A$1:$I$89,3,0)*VLOOKUP('Données projet'!$B$9,Paramètres!$A$1:$I$89,5,0)</f>
        <v>132.08598000000001</v>
      </c>
      <c r="P68" s="13">
        <f t="shared" si="33"/>
        <v>34.477920592791357</v>
      </c>
      <c r="Q68" s="20">
        <f t="shared" si="54"/>
        <v>290.09879353244492</v>
      </c>
      <c r="R68" s="59">
        <f t="shared" si="55"/>
        <v>583.43212686577817</v>
      </c>
      <c r="S68" s="59">
        <f ca="1">AVERAGE(OFFSET($R$3,0,0,'Données projet'!$E$9+1,1))-AVERAGE(OFFSET($H$3,0,0,'Données projet'!$E$9+1,1))</f>
        <v>215.77907571824977</v>
      </c>
      <c r="T68" s="59">
        <f t="shared" si="34"/>
        <v>174.69390149594869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29.333435251862888</v>
      </c>
      <c r="AA68" s="21">
        <f>EXP(-LN(2)/25)*AA67+(1-EXP(-LN(2)/25))/(LN(2)/25)*Calculateur!V68*Calculateur!X68*VLOOKUP('Données projet'!$B$9,Paramètres!$A$1:$I$89,3,0)*0.475*44/12</f>
        <v>16.109353562083193</v>
      </c>
      <c r="AB68" s="21">
        <f>EXP(-LN(2)/2)*AB67+(1-EXP(-LN(2)/2))/(LN(2)/2)*V68*Y68*VLOOKUP('Données projet'!$B$9,Paramètres!$A$1:$I$89,3,0)*0.475*44/12</f>
        <v>6.2847324388167589</v>
      </c>
      <c r="AC68" s="22">
        <f t="shared" ref="AC68:AC131" si="57">SUM(Z68:AB68)</f>
        <v>51.727521252762841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-1.0197709343628959E-13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171.701352621833</v>
      </c>
      <c r="AO68" s="59">
        <f t="shared" si="36"/>
        <v>195.58435749168586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96.326313958375422</v>
      </c>
      <c r="AV68" s="21">
        <f>EXP(-LN(2)/25)*AV67+(1-EXP(-LN(2)/25))/(LN(2)/25)*Calculateur!AQ68*Calculateur!AS68*VLOOKUP('Données projet'!$B$10,Paramètres!$A$1:$I$89,3,0)*0.475*44/12</f>
        <v>34.396189440235794</v>
      </c>
      <c r="AW68" s="21">
        <f>EXP(-LN(2)/2)*AW67+(1-EXP(-LN(2)/2))/(LN(2)/2)*AQ68*AT68*VLOOKUP('Données projet'!$B$10,Paramètres!$A$1:$I$89,3,0)*0.475*44/12</f>
        <v>15.810527995279845</v>
      </c>
      <c r="AX68" s="21">
        <f t="shared" ref="AX68:AX131" si="60">SUM(AU68:AW68)</f>
        <v>146.53303139389106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611</v>
      </c>
      <c r="BB68" s="12">
        <f>VLOOKUP(A68,'Données projet'!$A$87:$I$107,9,0)</f>
        <v>16.8</v>
      </c>
      <c r="BC68" s="12">
        <f t="array" ref="BC68">INDEX(BB:BB,MIN(IF(ISNUMBER(BB68:BB264),ROW(BB68:BB264),"")))</f>
        <v>16.8</v>
      </c>
      <c r="BD68" s="12">
        <f>IF('Données projet'!$A$88&gt;35,BD67+BC68-BL67,IF(A68&lt;'Données projet'!$A$88,$BA$205^A68,IF(A68='Données projet'!$A$88,'Données projet'!$B$88,BD67+BC68-BL67)))</f>
        <v>610.99999999999955</v>
      </c>
      <c r="BE68" s="13">
        <f>BD68*VLOOKUP('Données projet'!$B$11,Paramètres!$A$1:$I$89,3,0)*VLOOKUP('Données projet'!$B$11,Paramètres!$A$1:$I$89,5,0)</f>
        <v>317.7199999999998</v>
      </c>
      <c r="BF68" s="13">
        <f t="shared" si="37"/>
        <v>74.878758077138343</v>
      </c>
      <c r="BG68" s="20">
        <f t="shared" ref="BG68:BG131" si="61">(BE68+BF68)*0.475*44/12</f>
        <v>683.77617031768239</v>
      </c>
      <c r="BH68" s="59">
        <f t="shared" ref="BH68:BH131" si="62">BG68+(AY68+AZ68)*44/12</f>
        <v>977.10950365101576</v>
      </c>
      <c r="BI68" s="59">
        <f ca="1">AVERAGE(OFFSET($BH$3,0,0,'Données projet'!$E$11+1,1))-AVERAGE(OFFSET($H$3,0,0,'Données projet'!$E$11+1,1))</f>
        <v>348.29124901999882</v>
      </c>
      <c r="BJ68" s="59">
        <f t="shared" si="38"/>
        <v>284.30034973939053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44</v>
      </c>
      <c r="BM68" s="16">
        <f>IF(ISNA(VLOOKUP(A68,'Données projet'!$A$87:$I$107,5,0)),0%,VLOOKUP(A68,'Données projet'!$A$87:$I$107,5,0)*VLOOKUP('Données projet'!$B$11,Paramètres!$A$1:$I$89,7,0))</f>
        <v>0.33</v>
      </c>
      <c r="BN68" s="16">
        <f>IF(ISNA(VLOOKUP(A68,'Données projet'!$A$87:$I$107,6,0)),0%,VLOOKUP(A68,'Données projet'!$A$87:$I$107,6,0)*VLOOKUP('Données projet'!$B$11,Paramètres!$A$1:$I$89,7,0))</f>
        <v>0.11000000000000001</v>
      </c>
      <c r="BO68" s="16">
        <f>IF(ISNA(VLOOKUP(A68,'Données projet'!$A$87:$I$107,7,0)),0%,VLOOKUP(A68,'Données projet'!$A$87:$I$107,7,0))</f>
        <v>0.2</v>
      </c>
      <c r="BP68" s="21">
        <f>EXP(-LN(2)/35)*BP67+(1-EXP(-LN(2)/35))/(LN(2)/35)*BL68*BM68*VLOOKUP('Données projet'!$B$11,Paramètres!$A$1:$I$89,3,0)*0.475*44/12</f>
        <v>54.457855855129417</v>
      </c>
      <c r="BQ68" s="21">
        <f>EXP(-LN(2)/25)*BQ67+(1-EXP(-LN(2)/25))/(LN(2)/25)*Calculateur!BL68*Calculateur!BN68*VLOOKUP('Données projet'!$B$11,Paramètres!$A$1:$I$89,3,0)*0.475*44/12</f>
        <v>29.340390895152215</v>
      </c>
      <c r="BR68" s="21">
        <f>EXP(-LN(2)/2)*BR67+(1-EXP(-LN(2)/2))/(LN(2)/2)*BL68*BO68*VLOOKUP('Données projet'!$B$11,Paramètres!$A$1:$I$89,3,0)*0.475*44/12</f>
        <v>6.4792378456191084</v>
      </c>
      <c r="BS68" s="22">
        <f t="shared" ref="BS68:BS131" si="63">SUM(BP68:BR68)</f>
        <v>90.277484595900745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6.8386666666666658</v>
      </c>
      <c r="BY68" s="12">
        <f>IF('Données projet'!$A$114&gt;35,BY67+BX68-CG67,IF(A68&lt;'Données projet'!$A$114,$BV$205^A68,IF(A68='Données projet'!$A$114,'Données projet'!$B$114,BY67+BX68-CG67)))</f>
        <v>206.1433333333332</v>
      </c>
      <c r="BZ68" s="13">
        <f>BY68*VLOOKUP('Données projet'!$B$12,Paramètres!$A$1:$I$89,3,0)*VLOOKUP('Données projet'!$B$12,Paramètres!$A$1:$I$89,5,0)</f>
        <v>123.27371333333328</v>
      </c>
      <c r="CA68" s="13">
        <f t="shared" si="39"/>
        <v>32.437338990350199</v>
      </c>
      <c r="CB68" s="20">
        <f t="shared" ref="CB68:CB131" si="64">(BZ68+CA68)*0.475*44/12</f>
        <v>271.19674946374869</v>
      </c>
      <c r="CC68" s="59">
        <f t="shared" ref="CC68:CC131" si="65">CB68+(BT68+BU68)*44/12</f>
        <v>564.53008279708206</v>
      </c>
      <c r="CD68" s="59">
        <f ca="1">AVERAGE(OFFSET($CC$3,0,0,'Données projet'!$E$12+1,1))-AVERAGE(OFFSET($H$3,0,0,'Données projet'!$E$12+1,1))</f>
        <v>185.82627135915504</v>
      </c>
      <c r="CE68" s="59">
        <f t="shared" si="40"/>
        <v>155.46126452522037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18.42235622512122</v>
      </c>
      <c r="CL68" s="21">
        <f>EXP(-LN(2)/25)*CL67+(1-EXP(-LN(2)/25))/(LN(2)/25)*Calculateur!CG68*Calculateur!CI68*VLOOKUP('Données projet'!$B$12,Paramètres!$A$1:$I$89,3,0)*0.475*44/12</f>
        <v>10.065959931009601</v>
      </c>
      <c r="CM68" s="21">
        <f>EXP(-LN(2)/2)*CM67+(1-EXP(-LN(2)/2))/(LN(2)/2)*CG68*CJ68*VLOOKUP('Données projet'!$B$12,Paramètres!$A$1:$I$89,3,0)*0.475*44/12</f>
        <v>1.7417259964324872</v>
      </c>
      <c r="CN68" s="22">
        <f t="shared" ref="CN68:CN131" si="66">SUM(CK68:CM68)</f>
        <v>30.230042152563307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1.8384615384615373</v>
      </c>
      <c r="CT68" s="12">
        <f>IF('Données projet'!$A$140&gt;35,CT67+CS68-DB67,IF(A68&lt;'Données projet'!$A$140,$CQ$205^A68,IF(A68='Données projet'!$A$140,'Données projet'!$B$140,CT67+CS68-DB67)))</f>
        <v>93.269230769230717</v>
      </c>
      <c r="CU68" s="17">
        <f>CT68*VLOOKUP('Données projet'!$B$13,Paramètres!$A$1:$I$89,3,0)*VLOOKUP('Données projet'!$B$13,Paramètres!$A$1:$I$89,5,0)</f>
        <v>107.44615384615379</v>
      </c>
      <c r="CV68" s="13">
        <f t="shared" si="41"/>
        <v>28.728458352134119</v>
      </c>
      <c r="CW68" s="20">
        <f t="shared" ref="CW68:CW131" si="67">(CU68+CV68)*0.475*44/12</f>
        <v>237.17078291201813</v>
      </c>
      <c r="CX68" s="59">
        <f t="shared" ref="CX68:CX131" si="68">CW68+(CO68+CP68)*44/12</f>
        <v>530.5041162453515</v>
      </c>
      <c r="CY68" s="59">
        <f ca="1">AVERAGE(OFFSET($CX$3,0,0,'Données projet'!$E$13+1,1))-AVERAGE(OFFSET($H$3,0,0,'Données projet'!$E$13+1,1))</f>
        <v>150.78964413039063</v>
      </c>
      <c r="CZ68" s="59">
        <f t="shared" si="42"/>
        <v>131.90332435966184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4.375637990756446</v>
      </c>
      <c r="DG68" s="21">
        <f>EXP(-LN(2)/25)*DG67+(1-EXP(-LN(2)/25))/(LN(2)/25)*Calculateur!DB68*Calculateur!DD68*VLOOKUP('Données projet'!$B$13,Paramètres!$A$1:$I$89,3,0)*0.475*44/12</f>
        <v>2.9740526058329357</v>
      </c>
      <c r="DH68" s="21">
        <f>EXP(-LN(2)/2)*DH67+(1-EXP(-LN(2)/2))/(LN(2)/2)*DB68*DE68*VLOOKUP('Données projet'!$B$13,Paramètres!$A$1:$I$89,3,0)*0.475*44/12</f>
        <v>0.31895290787871289</v>
      </c>
      <c r="DI68" s="22">
        <f t="shared" ref="DI68:DI131" si="69">SUM(DF68:DH68)</f>
        <v>7.6686435044680943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92.948717948717956</v>
      </c>
      <c r="DM68" s="12">
        <f>VLOOKUP(A68,'Données projet'!$A$165:$I$185,9,0)</f>
        <v>1.9230769230769256</v>
      </c>
      <c r="DN68" s="12">
        <f t="array" ref="DN68">INDEX(DM:DM,MIN(IF(ISNUMBER(DM68:DM264),ROW(DM68:DM264),"")))</f>
        <v>1.9230769230769256</v>
      </c>
      <c r="DO68" s="12">
        <f>IF('Données projet'!$A$166&gt;35,DO67+DN68-DW67,IF(A68&lt;'Données projet'!$A$166,$DL$205^A68,IF(A68='Données projet'!$A$166,'Données projet'!$B$166,DO67+DN68-DW67)))</f>
        <v>92.94871794871797</v>
      </c>
      <c r="DP68" s="17">
        <f>DO68*VLOOKUP('Données projet'!$B$14,Paramètres!$A$1:$I$89,3,0)*VLOOKUP('Données projet'!$B$14,Paramètres!$A$1:$I$89,5,0)</f>
        <v>97.150000000000034</v>
      </c>
      <c r="DQ68" s="13">
        <f t="shared" si="43"/>
        <v>26.281886008278786</v>
      </c>
      <c r="DR68" s="20">
        <f t="shared" ref="DR68:DR131" si="70">(DP68+DQ68)*0.475*44/12</f>
        <v>214.97720146441895</v>
      </c>
      <c r="DS68" s="59">
        <f t="shared" ref="DS68:DS131" si="71">DR68+(DJ68+DK68)*44/12</f>
        <v>508.31053479775227</v>
      </c>
      <c r="DT68" s="59">
        <f ca="1">AVERAGE(OFFSET($DS$3,0,0,'Données projet'!$E$14+1,1))-AVERAGE(OFFSET($H$3,0,0,'Données projet'!$E$14+1,1))</f>
        <v>110.10595934547638</v>
      </c>
      <c r="DU68" s="59">
        <f t="shared" si="44"/>
        <v>131.10971921141493</v>
      </c>
      <c r="DV68" s="15">
        <f>IF(ISNA(VLOOKUP(A68,'Données projet'!$A$165:$I$185,3,0)),0,VLOOKUP(A68,'Données projet'!$A$165:$I$185,3,0))</f>
        <v>8</v>
      </c>
      <c r="DW68" s="15">
        <f>IF(ISNA(VLOOKUP(A68,'Données projet'!$A$165:$I$185,4,0)),0,VLOOKUP(A68,'Données projet'!$A$165:$I$185,4,0))</f>
        <v>5.7692307692307692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0.215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10.499264690183079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10.499264690183079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6.8933333333333326</v>
      </c>
      <c r="EJ68" s="12">
        <f>IF('Données projet'!$A$192&gt;35,EJ67+EI68-ER67,IF(A68&lt;'Données projet'!$A$192,$EG$205^A68,IF(A68='Données projet'!$A$192,'Données projet'!$B$192,EJ67+EI68-ER67)))</f>
        <v>163.21666666666661</v>
      </c>
      <c r="EK68" s="17">
        <f>EJ68*VLOOKUP('Données projet'!$B$15,Paramètres!$A$1:$I$89,3,0)*VLOOKUP('Données projet'!$B$15,Paramètres!$A$1:$I$89,5,0)</f>
        <v>165.50169999999997</v>
      </c>
      <c r="EL68" s="13">
        <f t="shared" si="45"/>
        <v>42.080987019777631</v>
      </c>
      <c r="EM68" s="20">
        <f t="shared" ref="EM68:EM131" si="73">(EK68+EL68)*0.475*44/12</f>
        <v>361.539846559446</v>
      </c>
      <c r="EN68" s="59">
        <f t="shared" ref="EN68:EN131" si="74">EM68+(EE68+EF68)*44/12</f>
        <v>654.87317989277926</v>
      </c>
      <c r="EO68" s="59">
        <f ca="1">AVERAGE(OFFSET($EN$3,0,0,'Données projet'!$E$15+1,1))-AVERAGE(OFFSET($H$3,0,0,'Données projet'!$E$15+1,1))</f>
        <v>420.38735944595965</v>
      </c>
      <c r="EP68" s="59">
        <f t="shared" si="46"/>
        <v>200.0823542414671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24.365364920769508</v>
      </c>
      <c r="EX68" s="21">
        <f>EXP(-LN(2)/2)*EX67+(1-EXP(-LN(2)/2))/(LN(2)/2)*ER68*EU68*VLOOKUP('Données projet'!$B$15,Paramètres!$A$1:$I$89,3,0)*0.475*44/12</f>
        <v>2.4648813803641101</v>
      </c>
      <c r="EY68" s="22">
        <f t="shared" ref="EY68:EY131" si="75">SUM(EV68:EX68)</f>
        <v>26.83024630113362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9.7525000000000013</v>
      </c>
      <c r="FE68" s="12">
        <f>IF('Données projet'!$A$218&gt;35,FE67+FD68-FM67,IF(A68&lt;'Données projet'!$A$218,$FB$205^A68,IF(A68='Données projet'!$A$218,'Données projet'!$B$218,FE67+FD68-FM67)))</f>
        <v>219.55499999999998</v>
      </c>
      <c r="FF68" s="17">
        <f>FE68*VLOOKUP('Données projet'!$B$16,Paramètres!$A$1:$I$89,3,0)*VLOOKUP('Données projet'!$B$16,Paramètres!$A$1:$I$89,5,0)</f>
        <v>236.32900199999997</v>
      </c>
      <c r="FG68" s="13">
        <f t="shared" si="47"/>
        <v>57.648990221838943</v>
      </c>
      <c r="FH68" s="20">
        <f t="shared" ref="FH68:FH131" si="76">(FF68+FG68)*0.475*44/12</f>
        <v>512.01166978636945</v>
      </c>
      <c r="FI68" s="59">
        <f t="shared" ref="FI68:FI131" si="77">FH68+(EZ68+FA68)*44/12</f>
        <v>805.34500311970282</v>
      </c>
      <c r="FJ68" s="59">
        <f ca="1">AVERAGE(OFFSET($FI$3,0,0,'Données projet'!$E$16+1,1))-AVERAGE(OFFSET($H$3,0,0,'Données projet'!$E$16+1,1))</f>
        <v>415.8741608506952</v>
      </c>
      <c r="FK68" s="59">
        <f t="shared" si="48"/>
        <v>259.15848913719356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12.795150031199865</v>
      </c>
      <c r="FR68" s="21">
        <f>EXP(-LN(2)/25)*FR67+(1-EXP(-LN(2)/25))/(LN(2)/25)*Calculateur!FM68*Calculateur!FO68*VLOOKUP('Données projet'!$B$16,Paramètres!$A$1:$I$89,3,0)*0.475*44/12</f>
        <v>30.33085567298086</v>
      </c>
      <c r="FS68" s="21">
        <f>EXP(-LN(2)/2)*FS67+(1-EXP(-LN(2)/2))/(LN(2)/2)*FM68*FP68*VLOOKUP('Données projet'!$B$16,Paramètres!$A$1:$I$89,3,0)*0.475*44/12</f>
        <v>0.59013035209993514</v>
      </c>
      <c r="FT68" s="22">
        <f t="shared" ref="FT68:FT131" si="78">SUM(FQ68:FS68)</f>
        <v>43.716136056280661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9.7525000000000013</v>
      </c>
      <c r="FZ68" s="12">
        <f>IF('Données projet'!$A$244&gt;35,FZ67+FY68-GH67,IF(A68&lt;'Données projet'!$A$244,$FW$205^A68,IF(A68='Données projet'!$A$244,'Données projet'!$B$244,FZ67+FY68-GH67)))</f>
        <v>219.55499999999998</v>
      </c>
      <c r="GA68" s="17">
        <f>FZ68*VLOOKUP('Données projet'!$B$17,Paramètres!$A$1:$I$89,3,0)*VLOOKUP('Données projet'!$B$17,Paramètres!$A$1:$I$89,5,0)</f>
        <v>188.37819000000002</v>
      </c>
      <c r="GB68" s="13">
        <f t="shared" si="49"/>
        <v>47.181214991471784</v>
      </c>
      <c r="GC68" s="20">
        <f t="shared" ref="GC68:GC131" si="79">(GA68+GB68)*0.475*44/12</f>
        <v>410.26596369348005</v>
      </c>
      <c r="GD68" s="59">
        <f t="shared" ref="GD68:GD131" si="80">GC68+(FU68+FV68)*44/12</f>
        <v>703.59929702681336</v>
      </c>
      <c r="GE68" s="59">
        <f ca="1">AVERAGE(OFFSET($GD$3,0,0,'Données projet'!$E$17+1,1))-AVERAGE(OFFSET($H$3,0,0,'Données projet'!$E$17+1,1))</f>
        <v>322.39807389980882</v>
      </c>
      <c r="GF68" s="59">
        <f t="shared" si="50"/>
        <v>202.59410055732792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12.570900687882581</v>
      </c>
      <c r="GM68" s="21">
        <f>EXP(-LN(2)/25)*GM67+(1-EXP(-LN(2)/25))/(LN(2)/25)*Calculateur!GH68*Calculateur!GJ68*VLOOKUP('Données projet'!$B$17,Paramètres!$A$1:$I$89,3,0)*0.475*44/12</f>
        <v>29.799273436716948</v>
      </c>
      <c r="GN68" s="21">
        <f>EXP(-LN(2)/2)*GN67+(1-EXP(-LN(2)/2))/(LN(2)/2)*GH68*GK68*VLOOKUP('Données projet'!$B$17,Paramètres!$A$1:$I$89,3,0)*0.475*44/12</f>
        <v>0.4703937589202381</v>
      </c>
      <c r="GO68" s="21">
        <f t="shared" ref="GO68:GO131" si="81">SUM(GL68:GN68)</f>
        <v>42.840567883519768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24.19559999999996</v>
      </c>
      <c r="D69" s="11">
        <f t="shared" ref="D69:D132" si="86">IFERROR(EXP(-1.0587+0.8836*LN(C69)+0.284),0)</f>
        <v>7.6952289313442712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246.17481982090285</v>
      </c>
      <c r="H69" s="67">
        <f t="shared" si="56"/>
        <v>348.8765270554245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11.327500000000001</v>
      </c>
      <c r="N69" s="13">
        <f>IF('Données projet'!$A$36&gt;35,N68+M69-V68,IF(A69&lt;'Données projet'!$A$36,$K$205^A69,IF(A69='Données projet'!$A$36,'Données projet'!$B$36,N68+M69-V68)))</f>
        <v>293.5625</v>
      </c>
      <c r="O69" s="13">
        <f>N69*VLOOKUP('Données projet'!$B$9,Paramètres!$A$1:$I$89,3,0)*VLOOKUP('Données projet'!$B$9,Paramètres!$A$1:$I$89,5,0)</f>
        <v>137.38724999999999</v>
      </c>
      <c r="P69" s="13">
        <f t="shared" ref="P69:P132" si="87">EXP(-1.0587+0.8836*LN(O69)+0.284)</f>
        <v>35.697806485924644</v>
      </c>
      <c r="Q69" s="20">
        <f t="shared" si="54"/>
        <v>301.4564733796521</v>
      </c>
      <c r="R69" s="59">
        <f t="shared" si="55"/>
        <v>594.78980671298541</v>
      </c>
      <c r="S69" s="59">
        <f ca="1">AVERAGE(OFFSET($R$3,0,0,'Données projet'!$E$9+1,1))-AVERAGE(OFFSET($H$3,0,0,'Données projet'!$E$9+1,1))</f>
        <v>215.77907571824977</v>
      </c>
      <c r="T69" s="59">
        <f t="shared" ref="T69:T132" si="88">$T$3</f>
        <v>174.69390149594869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28.75822447820271</v>
      </c>
      <c r="AA69" s="21">
        <f>EXP(-LN(2)/25)*AA68+(1-EXP(-LN(2)/25))/(LN(2)/25)*Calculateur!V69*Calculateur!X69*VLOOKUP('Données projet'!$B$9,Paramètres!$A$1:$I$89,3,0)*0.475*44/12</f>
        <v>15.668842441773943</v>
      </c>
      <c r="AB69" s="21">
        <f>EXP(-LN(2)/2)*AB68+(1-EXP(-LN(2)/2))/(LN(2)/2)*V69*Y69*VLOOKUP('Données projet'!$B$9,Paramètres!$A$1:$I$89,3,0)*0.475*44/12</f>
        <v>4.4439769254303991</v>
      </c>
      <c r="AC69" s="22">
        <f t="shared" si="57"/>
        <v>48.871043845407051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-1.0197709343628959E-13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171.701352621833</v>
      </c>
      <c r="AO69" s="59">
        <f t="shared" ref="AO69:AO132" si="90">$AO$3</f>
        <v>195.58435749168586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94.437413694901792</v>
      </c>
      <c r="AV69" s="21">
        <f>EXP(-LN(2)/25)*AV68+(1-EXP(-LN(2)/25))/(LN(2)/25)*Calculateur!AQ69*Calculateur!AS69*VLOOKUP('Données projet'!$B$10,Paramètres!$A$1:$I$89,3,0)*0.475*44/12</f>
        <v>33.455623831175558</v>
      </c>
      <c r="AW69" s="21">
        <f>EXP(-LN(2)/2)*AW68+(1-EXP(-LN(2)/2))/(LN(2)/2)*AQ69*AT69*VLOOKUP('Données projet'!$B$10,Paramètres!$A$1:$I$89,3,0)*0.475*44/12</f>
        <v>11.17973155960213</v>
      </c>
      <c r="AX69" s="21">
        <f t="shared" si="60"/>
        <v>139.07276908567948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</v>
      </c>
      <c r="BD69" s="12">
        <f>IF('Données projet'!$A$88&gt;35,BD68+BC69-BL68,IF(A69&lt;'Données projet'!$A$88,$BA$205^A69,IF(A69='Données projet'!$A$88,'Données projet'!$B$88,BD68+BC69-BL68)))</f>
        <v>582.99999999999955</v>
      </c>
      <c r="BE69" s="13">
        <f>BD69*VLOOKUP('Données projet'!$B$11,Paramètres!$A$1:$I$89,3,0)*VLOOKUP('Données projet'!$B$11,Paramètres!$A$1:$I$89,5,0)</f>
        <v>303.1599999999998</v>
      </c>
      <c r="BF69" s="13">
        <f t="shared" ref="BF69:BF132" si="91">EXP(-1.0587+0.8836*LN(BE69)+0.284)</f>
        <v>71.838516322825868</v>
      </c>
      <c r="BG69" s="20">
        <f t="shared" si="61"/>
        <v>653.12241592892133</v>
      </c>
      <c r="BH69" s="59">
        <f t="shared" si="62"/>
        <v>946.45574926225459</v>
      </c>
      <c r="BI69" s="59">
        <f ca="1">AVERAGE(OFFSET($BH$3,0,0,'Données projet'!$E$11+1,1))-AVERAGE(OFFSET($H$3,0,0,'Données projet'!$E$11+1,1))</f>
        <v>348.29124901999882</v>
      </c>
      <c r="BJ69" s="59">
        <f t="shared" ref="BJ69:BJ132" si="92">$BJ$3</f>
        <v>284.30034973939053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53.38997051782259</v>
      </c>
      <c r="BQ69" s="21">
        <f>EXP(-LN(2)/25)*BQ68+(1-EXP(-LN(2)/25))/(LN(2)/25)*Calculateur!BL69*Calculateur!BN69*VLOOKUP('Données projet'!$B$11,Paramètres!$A$1:$I$89,3,0)*0.475*44/12</f>
        <v>28.538076363180178</v>
      </c>
      <c r="BR69" s="21">
        <f>EXP(-LN(2)/2)*BR68+(1-EXP(-LN(2)/2))/(LN(2)/2)*BL69*BO69*VLOOKUP('Données projet'!$B$11,Paramètres!$A$1:$I$89,3,0)*0.475*44/12</f>
        <v>4.5815130175577892</v>
      </c>
      <c r="BS69" s="22">
        <f t="shared" si="63"/>
        <v>86.509559898560553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6.8386666666666658</v>
      </c>
      <c r="BY69" s="12">
        <f>IF('Données projet'!$A$114&gt;35,BY68+BX69-CG68,IF(A69&lt;'Données projet'!$A$114,$BV$205^A69,IF(A69='Données projet'!$A$114,'Données projet'!$B$114,BY68+BX69-CG68)))</f>
        <v>212.98199999999986</v>
      </c>
      <c r="BZ69" s="13">
        <f>BY69*VLOOKUP('Données projet'!$B$12,Paramètres!$A$1:$I$89,3,0)*VLOOKUP('Données projet'!$B$12,Paramètres!$A$1:$I$89,5,0)</f>
        <v>127.36323599999992</v>
      </c>
      <c r="CA69" s="13">
        <f t="shared" ref="CA69:CA132" si="93">EXP(-1.0587+0.8836*LN(BZ69)+0.284)</f>
        <v>33.386355873019788</v>
      </c>
      <c r="CB69" s="20">
        <f t="shared" si="64"/>
        <v>279.97220584550934</v>
      </c>
      <c r="CC69" s="59">
        <f t="shared" si="65"/>
        <v>573.30553917884265</v>
      </c>
      <c r="CD69" s="59">
        <f ca="1">AVERAGE(OFFSET($CC$3,0,0,'Données projet'!$E$12+1,1))-AVERAGE(OFFSET($H$3,0,0,'Données projet'!$E$12+1,1))</f>
        <v>185.82627135915504</v>
      </c>
      <c r="CE69" s="59">
        <f t="shared" ref="CE69:CE132" si="94">$CE$3</f>
        <v>155.46126452522037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18.061105056074375</v>
      </c>
      <c r="CL69" s="21">
        <f>EXP(-LN(2)/25)*CL68+(1-EXP(-LN(2)/25))/(LN(2)/25)*Calculateur!CG69*Calculateur!CI69*VLOOKUP('Données projet'!$B$12,Paramètres!$A$1:$I$89,3,0)*0.475*44/12</f>
        <v>9.7907057273503177</v>
      </c>
      <c r="CM69" s="21">
        <f>EXP(-LN(2)/2)*CM68+(1-EXP(-LN(2)/2))/(LN(2)/2)*CG69*CJ69*VLOOKUP('Données projet'!$B$12,Paramètres!$A$1:$I$89,3,0)*0.475*44/12</f>
        <v>1.2315862630463081</v>
      </c>
      <c r="CN69" s="22">
        <f t="shared" si="66"/>
        <v>29.083397046470999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1.8384615384615373</v>
      </c>
      <c r="CT69" s="12">
        <f>IF('Données projet'!$A$140&gt;35,CT68+CS69-DB68,IF(A69&lt;'Données projet'!$A$140,$CQ$205^A69,IF(A69='Données projet'!$A$140,'Données projet'!$B$140,CT68+CS69-DB68)))</f>
        <v>95.107692307692247</v>
      </c>
      <c r="CU69" s="17">
        <f>CT69*VLOOKUP('Données projet'!$B$13,Paramètres!$A$1:$I$89,3,0)*VLOOKUP('Données projet'!$B$13,Paramètres!$A$1:$I$89,5,0)</f>
        <v>109.56406153846147</v>
      </c>
      <c r="CV69" s="13">
        <f t="shared" ref="CV69:CV132" si="95">EXP(-1.0587+0.8836*LN(CU69)+0.284)</f>
        <v>29.228250345526579</v>
      </c>
      <c r="CW69" s="20">
        <f t="shared" si="67"/>
        <v>241.72994319794586</v>
      </c>
      <c r="CX69" s="59">
        <f t="shared" si="68"/>
        <v>535.06327653127914</v>
      </c>
      <c r="CY69" s="59">
        <f ca="1">AVERAGE(OFFSET($CX$3,0,0,'Données projet'!$E$13+1,1))-AVERAGE(OFFSET($H$3,0,0,'Données projet'!$E$13+1,1))</f>
        <v>150.78964413039063</v>
      </c>
      <c r="CZ69" s="59">
        <f t="shared" ref="CZ69:CZ132" si="96">$CZ$3</f>
        <v>131.90332435966184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4.2898343986333565</v>
      </c>
      <c r="DG69" s="21">
        <f>EXP(-LN(2)/25)*DG68+(1-EXP(-LN(2)/25))/(LN(2)/25)*Calculateur!DB69*Calculateur!DD69*VLOOKUP('Données projet'!$B$13,Paramètres!$A$1:$I$89,3,0)*0.475*44/12</f>
        <v>2.8927269809278049</v>
      </c>
      <c r="DH69" s="21">
        <f>EXP(-LN(2)/2)*DH68+(1-EXP(-LN(2)/2))/(LN(2)/2)*DB69*DE69*VLOOKUP('Données projet'!$B$13,Paramètres!$A$1:$I$89,3,0)*0.475*44/12</f>
        <v>0.22553376404020609</v>
      </c>
      <c r="DI69" s="22">
        <f t="shared" si="69"/>
        <v>7.4080951436013667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1.9230769230769227</v>
      </c>
      <c r="DO69" s="12">
        <f>IF('Données projet'!$A$166&gt;35,DO68+DN69-DW68,IF(A69&lt;'Données projet'!$A$166,$DL$205^A69,IF(A69='Données projet'!$A$166,'Données projet'!$B$166,DO68+DN69-DW68)))</f>
        <v>89.102564102564116</v>
      </c>
      <c r="DP69" s="17">
        <f>DO69*VLOOKUP('Données projet'!$B$14,Paramètres!$A$1:$I$89,3,0)*VLOOKUP('Données projet'!$B$14,Paramètres!$A$1:$I$89,5,0)</f>
        <v>93.130000000000024</v>
      </c>
      <c r="DQ69" s="13">
        <f t="shared" ref="DQ69:DQ132" si="97">EXP(-1.0587+0.8836*LN(DP69)+0.284)</f>
        <v>25.31859711319467</v>
      </c>
      <c r="DR69" s="20">
        <f t="shared" si="70"/>
        <v>206.29797330548072</v>
      </c>
      <c r="DS69" s="59">
        <f t="shared" si="71"/>
        <v>499.63130663881407</v>
      </c>
      <c r="DT69" s="59">
        <f ca="1">AVERAGE(OFFSET($DS$3,0,0,'Données projet'!$E$14+1,1))-AVERAGE(OFFSET($H$3,0,0,'Données projet'!$E$14+1,1))</f>
        <v>110.10595934547638</v>
      </c>
      <c r="DU69" s="59">
        <f t="shared" ref="DU69:DU132" si="98">$DU$3</f>
        <v>131.10971921141493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10.212161745097688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10.212161745097688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6.8933333333333326</v>
      </c>
      <c r="EJ69" s="12">
        <f>IF('Données projet'!$A$192&gt;35,EJ68+EI69-ER68,IF(A69&lt;'Données projet'!$A$192,$EG$205^A69,IF(A69='Données projet'!$A$192,'Données projet'!$B$192,EJ68+EI69-ER68)))</f>
        <v>170.10999999999996</v>
      </c>
      <c r="EK69" s="17">
        <f>EJ69*VLOOKUP('Données projet'!$B$15,Paramètres!$A$1:$I$89,3,0)*VLOOKUP('Données projet'!$B$15,Paramètres!$A$1:$I$89,5,0)</f>
        <v>172.49153999999996</v>
      </c>
      <c r="EL69" s="13">
        <f t="shared" ref="EL69:EL132" si="99">EXP(-1.0587+0.8836*LN(EK69)+0.284)</f>
        <v>43.64757225366332</v>
      </c>
      <c r="EM69" s="20">
        <f t="shared" si="73"/>
        <v>376.44228717513016</v>
      </c>
      <c r="EN69" s="59">
        <f t="shared" si="74"/>
        <v>669.77562050846348</v>
      </c>
      <c r="EO69" s="59">
        <f ca="1">AVERAGE(OFFSET($EN$3,0,0,'Données projet'!$E$15+1,1))-AVERAGE(OFFSET($H$3,0,0,'Données projet'!$E$15+1,1))</f>
        <v>420.38735944595965</v>
      </c>
      <c r="EP69" s="59">
        <f t="shared" ref="EP69:EP132" si="100">$EP$3</f>
        <v>200.0823542414671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23.699092735692211</v>
      </c>
      <c r="EX69" s="21">
        <f>EXP(-LN(2)/2)*EX68+(1-EXP(-LN(2)/2))/(LN(2)/2)*ER69*EU69*VLOOKUP('Données projet'!$B$15,Paramètres!$A$1:$I$89,3,0)*0.475*44/12</f>
        <v>1.7429343388759202</v>
      </c>
      <c r="EY69" s="22">
        <f t="shared" si="75"/>
        <v>25.442027074568131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9.7525000000000013</v>
      </c>
      <c r="FE69" s="12">
        <f>IF('Données projet'!$A$218&gt;35,FE68+FD69-FM68,IF(A69&lt;'Données projet'!$A$218,$FB$205^A69,IF(A69='Données projet'!$A$218,'Données projet'!$B$218,FE68+FD69-FM68)))</f>
        <v>229.30749999999998</v>
      </c>
      <c r="FF69" s="17">
        <f>FE69*VLOOKUP('Données projet'!$B$16,Paramètres!$A$1:$I$89,3,0)*VLOOKUP('Données projet'!$B$16,Paramètres!$A$1:$I$89,5,0)</f>
        <v>246.82659299999995</v>
      </c>
      <c r="FG69" s="13">
        <f t="shared" ref="FG69:FG132" si="101">EXP(-1.0587+0.8836*LN(FF69)+0.284)</f>
        <v>59.905899096446639</v>
      </c>
      <c r="FH69" s="20">
        <f t="shared" si="76"/>
        <v>534.22575706797772</v>
      </c>
      <c r="FI69" s="59">
        <f t="shared" si="77"/>
        <v>827.5590904013111</v>
      </c>
      <c r="FJ69" s="59">
        <f ca="1">AVERAGE(OFFSET($FI$3,0,0,'Données projet'!$E$16+1,1))-AVERAGE(OFFSET($H$3,0,0,'Données projet'!$E$16+1,1))</f>
        <v>415.8741608506952</v>
      </c>
      <c r="FK69" s="59">
        <f t="shared" ref="FK69:FK132" si="102">$FK$3</f>
        <v>259.15848913719356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12.544244943358947</v>
      </c>
      <c r="FR69" s="21">
        <f>EXP(-LN(2)/25)*FR68+(1-EXP(-LN(2)/25))/(LN(2)/25)*Calculateur!FM69*Calculateur!FO69*VLOOKUP('Données projet'!$B$16,Paramètres!$A$1:$I$89,3,0)*0.475*44/12</f>
        <v>29.50145682957282</v>
      </c>
      <c r="FS69" s="21">
        <f>EXP(-LN(2)/2)*FS68+(1-EXP(-LN(2)/2))/(LN(2)/2)*FM69*FP69*VLOOKUP('Données projet'!$B$16,Paramètres!$A$1:$I$89,3,0)*0.475*44/12</f>
        <v>0.41728517375386909</v>
      </c>
      <c r="FT69" s="22">
        <f t="shared" si="78"/>
        <v>42.462986946685632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9.7525000000000013</v>
      </c>
      <c r="FZ69" s="12">
        <f>IF('Données projet'!$A$244&gt;35,FZ68+FY69-GH68,IF(A69&lt;'Données projet'!$A$244,$FW$205^A69,IF(A69='Données projet'!$A$244,'Données projet'!$B$244,FZ68+FY69-GH68)))</f>
        <v>229.30749999999998</v>
      </c>
      <c r="GA69" s="17">
        <f>FZ69*VLOOKUP('Données projet'!$B$17,Paramètres!$A$1:$I$89,3,0)*VLOOKUP('Données projet'!$B$17,Paramètres!$A$1:$I$89,5,0)</f>
        <v>196.745835</v>
      </c>
      <c r="GB69" s="13">
        <f t="shared" ref="GB69:GB132" si="103">EXP(-1.0587+0.8836*LN(GA69)+0.284)</f>
        <v>49.028319379931432</v>
      </c>
      <c r="GC69" s="20">
        <f t="shared" si="79"/>
        <v>428.05665221171381</v>
      </c>
      <c r="GD69" s="59">
        <f t="shared" si="80"/>
        <v>721.38998554504713</v>
      </c>
      <c r="GE69" s="59">
        <f ca="1">AVERAGE(OFFSET($GD$3,0,0,'Données projet'!$E$17+1,1))-AVERAGE(OFFSET($H$3,0,0,'Données projet'!$E$17+1,1))</f>
        <v>322.39807389980882</v>
      </c>
      <c r="GF69" s="59">
        <f t="shared" ref="GF69:GF132" si="104">$GF$3</f>
        <v>202.59410055732792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12.324392992885521</v>
      </c>
      <c r="GM69" s="21">
        <f>EXP(-LN(2)/25)*GM68+(1-EXP(-LN(2)/25))/(LN(2)/25)*Calculateur!GH69*Calculateur!GJ69*VLOOKUP('Données projet'!$B$17,Paramètres!$A$1:$I$89,3,0)*0.475*44/12</f>
        <v>28.984410737514242</v>
      </c>
      <c r="GN69" s="21">
        <f>EXP(-LN(2)/2)*GN68+(1-EXP(-LN(2)/2))/(LN(2)/2)*GH69*GK69*VLOOKUP('Données projet'!$B$17,Paramètres!$A$1:$I$89,3,0)*0.475*44/12</f>
        <v>0.33261861676033039</v>
      </c>
      <c r="GO69" s="21">
        <f t="shared" si="81"/>
        <v>41.641422347160088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24.562199999999958</v>
      </c>
      <c r="D70" s="11">
        <f t="shared" si="86"/>
        <v>7.7981613843151356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249.79928086137966</v>
      </c>
      <c r="H70" s="67">
        <f t="shared" si="56"/>
        <v>349.69429607768211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11.327500000000001</v>
      </c>
      <c r="N70" s="13">
        <f>IF('Données projet'!$A$36&gt;35,N69+M70-V69,IF(A70&lt;'Données projet'!$A$36,$K$205^A70,IF(A70='Données projet'!$A$36,'Données projet'!$B$36,N69+M70-V69)))</f>
        <v>304.89</v>
      </c>
      <c r="O70" s="13">
        <f>N70*VLOOKUP('Données projet'!$B$9,Paramètres!$A$1:$I$89,3,0)*VLOOKUP('Données projet'!$B$9,Paramètres!$A$1:$I$89,5,0)</f>
        <v>142.68851999999998</v>
      </c>
      <c r="P70" s="13">
        <f t="shared" si="87"/>
        <v>36.912224176610735</v>
      </c>
      <c r="Q70" s="20">
        <f t="shared" si="54"/>
        <v>312.80462944093028</v>
      </c>
      <c r="R70" s="59">
        <f t="shared" si="55"/>
        <v>606.13796277426354</v>
      </c>
      <c r="S70" s="59">
        <f ca="1">AVERAGE(OFFSET($R$3,0,0,'Données projet'!$E$9+1,1))-AVERAGE(OFFSET($H$3,0,0,'Données projet'!$E$9+1,1))</f>
        <v>215.77907571824977</v>
      </c>
      <c r="T70" s="59">
        <f t="shared" si="88"/>
        <v>174.69390149594869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28.194293236970079</v>
      </c>
      <c r="AA70" s="21">
        <f>EXP(-LN(2)/25)*AA69+(1-EXP(-LN(2)/25))/(LN(2)/25)*Calculateur!V70*Calculateur!X70*VLOOKUP('Données projet'!$B$9,Paramètres!$A$1:$I$89,3,0)*0.475*44/12</f>
        <v>15.240377121215023</v>
      </c>
      <c r="AB70" s="21">
        <f>EXP(-LN(2)/2)*AB69+(1-EXP(-LN(2)/2))/(LN(2)/2)*V70*Y70*VLOOKUP('Données projet'!$B$9,Paramètres!$A$1:$I$89,3,0)*0.475*44/12</f>
        <v>3.1423662194083795</v>
      </c>
      <c r="AC70" s="22">
        <f t="shared" si="57"/>
        <v>46.577036577593482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-1.0197709343628959E-13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171.701352621833</v>
      </c>
      <c r="AO70" s="59">
        <f t="shared" si="90"/>
        <v>195.58435749168586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92.585553613479476</v>
      </c>
      <c r="AV70" s="21">
        <f>EXP(-LN(2)/25)*AV69+(1-EXP(-LN(2)/25))/(LN(2)/25)*Calculateur!AQ70*Calculateur!AS70*VLOOKUP('Données projet'!$B$10,Paramètres!$A$1:$I$89,3,0)*0.475*44/12</f>
        <v>32.540778038157271</v>
      </c>
      <c r="AW70" s="21">
        <f>EXP(-LN(2)/2)*AW69+(1-EXP(-LN(2)/2))/(LN(2)/2)*AQ70*AT70*VLOOKUP('Données projet'!$B$10,Paramètres!$A$1:$I$89,3,0)*0.475*44/12</f>
        <v>7.9052639976399242</v>
      </c>
      <c r="AX70" s="21">
        <f t="shared" si="60"/>
        <v>133.03159564927668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</v>
      </c>
      <c r="BD70" s="12">
        <f>IF('Données projet'!$A$88&gt;35,BD69+BC70-BL69,IF(A70&lt;'Données projet'!$A$88,$BA$205^A70,IF(A70='Données projet'!$A$88,'Données projet'!$B$88,BD69+BC70-BL69)))</f>
        <v>598.99999999999955</v>
      </c>
      <c r="BE70" s="13">
        <f>BD70*VLOOKUP('Données projet'!$B$11,Paramètres!$A$1:$I$89,3,0)*VLOOKUP('Données projet'!$B$11,Paramètres!$A$1:$I$89,5,0)</f>
        <v>311.47999999999979</v>
      </c>
      <c r="BF70" s="13">
        <f t="shared" si="91"/>
        <v>73.577827348420357</v>
      </c>
      <c r="BG70" s="20">
        <f t="shared" si="61"/>
        <v>670.64238263183177</v>
      </c>
      <c r="BH70" s="59">
        <f t="shared" si="62"/>
        <v>963.97571596516514</v>
      </c>
      <c r="BI70" s="59">
        <f ca="1">AVERAGE(OFFSET($BH$3,0,0,'Données projet'!$E$11+1,1))-AVERAGE(OFFSET($H$3,0,0,'Données projet'!$E$11+1,1))</f>
        <v>348.29124901999882</v>
      </c>
      <c r="BJ70" s="59">
        <f t="shared" si="92"/>
        <v>284.30034973939053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52.34302576063461</v>
      </c>
      <c r="BQ70" s="21">
        <f>EXP(-LN(2)/25)*BQ69+(1-EXP(-LN(2)/25))/(LN(2)/25)*Calculateur!BL70*Calculateur!BN70*VLOOKUP('Données projet'!$B$11,Paramètres!$A$1:$I$89,3,0)*0.475*44/12</f>
        <v>27.757701164276803</v>
      </c>
      <c r="BR70" s="21">
        <f>EXP(-LN(2)/2)*BR69+(1-EXP(-LN(2)/2))/(LN(2)/2)*BL70*BO70*VLOOKUP('Données projet'!$B$11,Paramètres!$A$1:$I$89,3,0)*0.475*44/12</f>
        <v>3.2396189228095551</v>
      </c>
      <c r="BS70" s="22">
        <f t="shared" si="63"/>
        <v>83.340345847720968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6.8386666666666658</v>
      </c>
      <c r="BY70" s="12">
        <f>IF('Données projet'!$A$114&gt;35,BY69+BX70-CG69,IF(A70&lt;'Données projet'!$A$114,$BV$205^A70,IF(A70='Données projet'!$A$114,'Données projet'!$B$114,BY69+BX70-CG69)))</f>
        <v>219.82066666666651</v>
      </c>
      <c r="BZ70" s="13">
        <f>BY70*VLOOKUP('Données projet'!$B$12,Paramètres!$A$1:$I$89,3,0)*VLOOKUP('Données projet'!$B$12,Paramètres!$A$1:$I$89,5,0)</f>
        <v>131.4527586666666</v>
      </c>
      <c r="CA70" s="13">
        <f t="shared" si="93"/>
        <v>34.33183177982589</v>
      </c>
      <c r="CB70" s="20">
        <f t="shared" si="64"/>
        <v>288.74149502764107</v>
      </c>
      <c r="CC70" s="59">
        <f t="shared" si="65"/>
        <v>582.07482836097438</v>
      </c>
      <c r="CD70" s="59">
        <f ca="1">AVERAGE(OFFSET($CC$3,0,0,'Données projet'!$E$12+1,1))-AVERAGE(OFFSET($H$3,0,0,'Données projet'!$E$12+1,1))</f>
        <v>185.82627135915504</v>
      </c>
      <c r="CE70" s="59">
        <f t="shared" si="94"/>
        <v>155.46126452522037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17.706937802111081</v>
      </c>
      <c r="CL70" s="21">
        <f>EXP(-LN(2)/25)*CL69+(1-EXP(-LN(2)/25))/(LN(2)/25)*Calculateur!CG70*Calculateur!CI70*VLOOKUP('Données projet'!$B$12,Paramètres!$A$1:$I$89,3,0)*0.475*44/12</f>
        <v>9.5229783643650858</v>
      </c>
      <c r="CM70" s="21">
        <f>EXP(-LN(2)/2)*CM69+(1-EXP(-LN(2)/2))/(LN(2)/2)*CG70*CJ70*VLOOKUP('Données projet'!$B$12,Paramètres!$A$1:$I$89,3,0)*0.475*44/12</f>
        <v>0.87086299821624358</v>
      </c>
      <c r="CN70" s="22">
        <f t="shared" si="66"/>
        <v>28.100779164692408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1.8384615384615373</v>
      </c>
      <c r="CT70" s="12">
        <f>IF('Données projet'!$A$140&gt;35,CT69+CS70-DB69,IF(A70&lt;'Données projet'!$A$140,$CQ$205^A70,IF(A70='Données projet'!$A$140,'Données projet'!$B$140,CT69+CS70-DB69)))</f>
        <v>96.946153846153777</v>
      </c>
      <c r="CU70" s="17">
        <f>CT70*VLOOKUP('Données projet'!$B$13,Paramètres!$A$1:$I$89,3,0)*VLOOKUP('Données projet'!$B$13,Paramètres!$A$1:$I$89,5,0)</f>
        <v>111.68196923076916</v>
      </c>
      <c r="CV70" s="13">
        <f t="shared" si="95"/>
        <v>29.726918972929951</v>
      </c>
      <c r="CW70" s="20">
        <f t="shared" si="67"/>
        <v>246.28714695477595</v>
      </c>
      <c r="CX70" s="59">
        <f t="shared" si="68"/>
        <v>539.62048028810932</v>
      </c>
      <c r="CY70" s="59">
        <f ca="1">AVERAGE(OFFSET($CX$3,0,0,'Données projet'!$E$13+1,1))-AVERAGE(OFFSET($H$3,0,0,'Données projet'!$E$13+1,1))</f>
        <v>150.78964413039063</v>
      </c>
      <c r="CZ70" s="59">
        <f t="shared" si="96"/>
        <v>131.90332435966184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4.2057133626167778</v>
      </c>
      <c r="DG70" s="21">
        <f>EXP(-LN(2)/25)*DG69+(1-EXP(-LN(2)/25))/(LN(2)/25)*Calculateur!DB70*Calculateur!DD70*VLOOKUP('Données projet'!$B$13,Paramètres!$A$1:$I$89,3,0)*0.475*44/12</f>
        <v>2.8136252095124337</v>
      </c>
      <c r="DH70" s="21">
        <f>EXP(-LN(2)/2)*DH69+(1-EXP(-LN(2)/2))/(LN(2)/2)*DB70*DE70*VLOOKUP('Données projet'!$B$13,Paramètres!$A$1:$I$89,3,0)*0.475*44/12</f>
        <v>0.15947645393935644</v>
      </c>
      <c r="DI70" s="22">
        <f t="shared" si="69"/>
        <v>7.178815026068567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1.9230769230769227</v>
      </c>
      <c r="DO70" s="12">
        <f>IF('Données projet'!$A$166&gt;35,DO69+DN70-DW69,IF(A70&lt;'Données projet'!$A$166,$DL$205^A70,IF(A70='Données projet'!$A$166,'Données projet'!$B$166,DO69+DN70-DW69)))</f>
        <v>91.025641025641036</v>
      </c>
      <c r="DP70" s="17">
        <f>DO70*VLOOKUP('Données projet'!$B$14,Paramètres!$A$1:$I$89,3,0)*VLOOKUP('Données projet'!$B$14,Paramètres!$A$1:$I$89,5,0)</f>
        <v>95.140000000000015</v>
      </c>
      <c r="DQ70" s="13">
        <f t="shared" si="97"/>
        <v>25.800833826224874</v>
      </c>
      <c r="DR70" s="20">
        <f t="shared" si="70"/>
        <v>210.63861891400833</v>
      </c>
      <c r="DS70" s="59">
        <f t="shared" si="71"/>
        <v>503.97195224734162</v>
      </c>
      <c r="DT70" s="59">
        <f ca="1">AVERAGE(OFFSET($DS$3,0,0,'Données projet'!$E$14+1,1))-AVERAGE(OFFSET($H$3,0,0,'Données projet'!$E$14+1,1))</f>
        <v>110.10595934547638</v>
      </c>
      <c r="DU70" s="59">
        <f t="shared" si="98"/>
        <v>131.10971921141493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9.9329096451437469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9.9329096451437469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6.8933333333333326</v>
      </c>
      <c r="EJ70" s="12">
        <f>IF('Données projet'!$A$192&gt;35,EJ69+EI70-ER69,IF(A70&lt;'Données projet'!$A$192,$EG$205^A70,IF(A70='Données projet'!$A$192,'Données projet'!$B$192,EJ69+EI70-ER69)))</f>
        <v>177.0033333333333</v>
      </c>
      <c r="EK70" s="17">
        <f>EJ70*VLOOKUP('Données projet'!$B$15,Paramètres!$A$1:$I$89,3,0)*VLOOKUP('Données projet'!$B$15,Paramètres!$A$1:$I$89,5,0)</f>
        <v>179.48137999999997</v>
      </c>
      <c r="EL70" s="13">
        <f t="shared" si="99"/>
        <v>45.20678340248292</v>
      </c>
      <c r="EM70" s="20">
        <f t="shared" si="73"/>
        <v>391.33188459265767</v>
      </c>
      <c r="EN70" s="59">
        <f t="shared" si="74"/>
        <v>684.66521792599099</v>
      </c>
      <c r="EO70" s="59">
        <f ca="1">AVERAGE(OFFSET($EN$3,0,0,'Données projet'!$E$15+1,1))-AVERAGE(OFFSET($H$3,0,0,'Données projet'!$E$15+1,1))</f>
        <v>420.38735944595965</v>
      </c>
      <c r="EP70" s="59">
        <f t="shared" si="100"/>
        <v>200.0823542414671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23.051039798553585</v>
      </c>
      <c r="EX70" s="21">
        <f>EXP(-LN(2)/2)*EX69+(1-EXP(-LN(2)/2))/(LN(2)/2)*ER70*EU70*VLOOKUP('Données projet'!$B$15,Paramètres!$A$1:$I$89,3,0)*0.475*44/12</f>
        <v>1.2324406901820553</v>
      </c>
      <c r="EY70" s="22">
        <f t="shared" si="75"/>
        <v>24.283480488735641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>
        <f>VLOOKUP(A70,'Données projet'!$A$217:$I$237,2,0)</f>
        <v>239.06</v>
      </c>
      <c r="FC70" s="12">
        <f>VLOOKUP(A70,'Données projet'!$A$217:$I$237,9,0)</f>
        <v>9.7525000000000013</v>
      </c>
      <c r="FD70" s="12">
        <f t="array" ref="FD70">INDEX(FC:FC,MIN(IF(ISNUMBER(FC70:FC266),ROW(FC70:FC266),"")))</f>
        <v>9.7525000000000013</v>
      </c>
      <c r="FE70" s="12">
        <f>IF('Données projet'!$A$218&gt;35,FE69+FD70-FM69,IF(A70&lt;'Données projet'!$A$218,$FB$205^A70,IF(A70='Données projet'!$A$218,'Données projet'!$B$218,FE69+FD70-FM69)))</f>
        <v>239.05999999999997</v>
      </c>
      <c r="FF70" s="17">
        <f>FE70*VLOOKUP('Données projet'!$B$16,Paramètres!$A$1:$I$89,3,0)*VLOOKUP('Données projet'!$B$16,Paramètres!$A$1:$I$89,5,0)</f>
        <v>257.324184</v>
      </c>
      <c r="FG70" s="13">
        <f t="shared" si="101"/>
        <v>62.151659162886212</v>
      </c>
      <c r="FH70" s="20">
        <f t="shared" si="76"/>
        <v>556.42042684202681</v>
      </c>
      <c r="FI70" s="59">
        <f t="shared" si="77"/>
        <v>849.75376017536018</v>
      </c>
      <c r="FJ70" s="59">
        <f ca="1">AVERAGE(OFFSET($FI$3,0,0,'Données projet'!$E$16+1,1))-AVERAGE(OFFSET($H$3,0,0,'Données projet'!$E$16+1,1))</f>
        <v>415.8741608506952</v>
      </c>
      <c r="FK70" s="59">
        <f t="shared" si="102"/>
        <v>259.15848913719356</v>
      </c>
      <c r="FL70" s="15">
        <f>IF(ISNA(VLOOKUP(A70,'Données projet'!$A$217:$I$237,3,0)),0,VLOOKUP(A70,'Données projet'!$A$217:$I$237,3,0))</f>
        <v>5</v>
      </c>
      <c r="FM70" s="15">
        <f>IF(ISNA(VLOOKUP(A70,'Données projet'!$A$217:$I$237,4,0)),0,VLOOKUP(A70,'Données projet'!$A$217:$I$237,4,0))</f>
        <v>42.550000000000011</v>
      </c>
      <c r="FN70" s="16">
        <f>IF(ISNA(VLOOKUP(A70,'Données projet'!$A$217:$I$237,5,0)),0%,VLOOKUP(A70,'Données projet'!$A$217:$I$237,5,0)*VLOOKUP('Données projet'!$B$16,Paramètres!$A$1:$I$89,7,0))</f>
        <v>0.15049999999999999</v>
      </c>
      <c r="FO70" s="16">
        <f>IF(ISNA(VLOOKUP(A70,'Données projet'!$A$217:$I$237,6,0)),0%,VLOOKUP(A70,'Données projet'!$A$217:$I$237,6,0)*VLOOKUP('Données projet'!$B$16,Paramètres!$A$1:$I$89,7,0))</f>
        <v>8.6000000000000007E-2</v>
      </c>
      <c r="FP70" s="16">
        <f>IF(ISNA(VLOOKUP(A70,'Données projet'!$A$217:$I$237,7,0)),0%,VLOOKUP(A70,'Données projet'!$A$217:$I$237,7,0))</f>
        <v>0.1</v>
      </c>
      <c r="FQ70" s="21">
        <f>EXP(-LN(2)/35)*FQ69+(1-EXP(-LN(2)/35))/(LN(2)/35)*FM70*FN70*VLOOKUP('Données projet'!$B$16,Paramètres!$A$1:$I$89,3,0)*0.475*44/12</f>
        <v>19.918293156435809</v>
      </c>
      <c r="FR70" s="21">
        <f>EXP(-LN(2)/25)*FR69+(1-EXP(-LN(2)/25))/(LN(2)/25)*Calculateur!FM70*Calculateur!FO70*VLOOKUP('Données projet'!$B$16,Paramètres!$A$1:$I$89,3,0)*0.475*44/12</f>
        <v>33.031898073150039</v>
      </c>
      <c r="FS70" s="21">
        <f>EXP(-LN(2)/2)*FS69+(1-EXP(-LN(2)/2))/(LN(2)/2)*FM70*FP70*VLOOKUP('Données projet'!$B$16,Paramètres!$A$1:$I$89,3,0)*0.475*44/12</f>
        <v>4.6164958141496442</v>
      </c>
      <c r="FT70" s="22">
        <f t="shared" si="78"/>
        <v>57.566687043735492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>
        <f>VLOOKUP(A70,'Données projet'!$A$243:$I$263,2,0)</f>
        <v>239.06</v>
      </c>
      <c r="FX70" s="12">
        <f>VLOOKUP(A70,'Données projet'!$A$243:$I$263,9,0)</f>
        <v>9.7525000000000013</v>
      </c>
      <c r="FY70" s="12">
        <f t="array" ref="FY70">INDEX(FX:FX,MIN(IF(ISNUMBER(FX70:FX266),ROW(FX70:FX266),"")))</f>
        <v>9.7525000000000013</v>
      </c>
      <c r="FZ70" s="12">
        <f>IF('Données projet'!$A$244&gt;35,FZ69+FY70-GH69,IF(A70&lt;'Données projet'!$A$244,$FW$205^A70,IF(A70='Données projet'!$A$244,'Données projet'!$B$244,FZ69+FY70-GH69)))</f>
        <v>239.05999999999997</v>
      </c>
      <c r="GA70" s="17">
        <f>FZ70*VLOOKUP('Données projet'!$B$17,Paramètres!$A$1:$I$89,3,0)*VLOOKUP('Données projet'!$B$17,Paramètres!$A$1:$I$89,5,0)</f>
        <v>205.11348000000001</v>
      </c>
      <c r="GB70" s="13">
        <f t="shared" si="103"/>
        <v>50.866299335975967</v>
      </c>
      <c r="GC70" s="20">
        <f t="shared" si="79"/>
        <v>445.83144901015817</v>
      </c>
      <c r="GD70" s="59">
        <f t="shared" si="80"/>
        <v>739.16478234349142</v>
      </c>
      <c r="GE70" s="59">
        <f ca="1">AVERAGE(OFFSET($GD$3,0,0,'Données projet'!$E$17+1,1))-AVERAGE(OFFSET($H$3,0,0,'Données projet'!$E$17+1,1))</f>
        <v>322.39807389980882</v>
      </c>
      <c r="GF70" s="59">
        <f t="shared" si="104"/>
        <v>202.59410055732792</v>
      </c>
      <c r="GG70" s="15">
        <f>IF(ISNA(VLOOKUP(A70,'Données projet'!$A$243:$I$263,3,0)),0,VLOOKUP(A70,'Données projet'!$A$243:$I$263,3,0))</f>
        <v>5</v>
      </c>
      <c r="GH70" s="15">
        <f>IF(ISNA(VLOOKUP(A70,'Données projet'!$A$243:$I$263,4,0)),0,VLOOKUP(A70,'Données projet'!$A$243:$I$263,4,0))</f>
        <v>42.550000000000011</v>
      </c>
      <c r="GI70" s="16">
        <f>IF(ISNA(VLOOKUP(A70,'Données projet'!$A$243:$I$263,5,0)),0%,VLOOKUP(A70,'Données projet'!$A$243:$I$263,5,0)*VLOOKUP('Données projet'!$B$17,Paramètres!$A$1:$I$89,7,0))</f>
        <v>0.1855</v>
      </c>
      <c r="GJ70" s="16">
        <f>IF(ISNA(VLOOKUP(A70,'Données projet'!$A$243:$I$263,6,0)),0%,VLOOKUP(A70,'Données projet'!$A$243:$I$263,6,0)*VLOOKUP('Données projet'!$B$17,Paramètres!$A$1:$I$89,7,0))</f>
        <v>0.10600000000000001</v>
      </c>
      <c r="GK70" s="16">
        <f>IF(ISNA(VLOOKUP(A70,'Données projet'!$A$243:$I$263,7,0)),0%,VLOOKUP(A70,'Données projet'!$A$243:$I$263,7,0))</f>
        <v>0.1</v>
      </c>
      <c r="GL70" s="21">
        <f>EXP(-LN(2)/35)*GL69+(1-EXP(-LN(2)/35))/(LN(2)/35)*GH70*GI70*VLOOKUP('Données projet'!$B$17,Paramètres!$A$1:$I$89,3,0)*0.475*44/12</f>
        <v>19.569202747222917</v>
      </c>
      <c r="GM70" s="21">
        <f>EXP(-LN(2)/25)*GM69+(1-EXP(-LN(2)/25))/(LN(2)/25)*Calculateur!GH70*Calculateur!GJ70*VLOOKUP('Données projet'!$B$17,Paramètres!$A$1:$I$89,3,0)*0.475*44/12</f>
        <v>32.452977041871371</v>
      </c>
      <c r="GN70" s="21">
        <f>EXP(-LN(2)/2)*GN69+(1-EXP(-LN(2)/2))/(LN(2)/2)*GH70*GK70*VLOOKUP('Données projet'!$B$17,Paramètres!$A$1:$I$89,3,0)*0.475*44/12</f>
        <v>3.6798155040323253</v>
      </c>
      <c r="GO70" s="21">
        <f t="shared" si="81"/>
        <v>55.701995293126615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24.928799999999956</v>
      </c>
      <c r="D71" s="11">
        <f t="shared" si="86"/>
        <v>7.9009151595869289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253.42236263540755</v>
      </c>
      <c r="H71" s="67">
        <f t="shared" si="56"/>
        <v>350.51175390294713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11.327500000000001</v>
      </c>
      <c r="N71" s="13">
        <f>IF('Données projet'!$A$36&gt;35,N70+M71-V70,IF(A71&lt;'Données projet'!$A$36,$K$205^A71,IF(A71='Données projet'!$A$36,'Données projet'!$B$36,N70+M71-V70)))</f>
        <v>316.21749999999997</v>
      </c>
      <c r="O71" s="13">
        <f>N71*VLOOKUP('Données projet'!$B$9,Paramètres!$A$1:$I$89,3,0)*VLOOKUP('Données projet'!$B$9,Paramètres!$A$1:$I$89,5,0)</f>
        <v>147.98979</v>
      </c>
      <c r="P71" s="13">
        <f t="shared" si="87"/>
        <v>38.121400087534369</v>
      </c>
      <c r="Q71" s="20">
        <f t="shared" si="54"/>
        <v>324.1436560691223</v>
      </c>
      <c r="R71" s="59">
        <f t="shared" si="55"/>
        <v>617.47698940245562</v>
      </c>
      <c r="S71" s="59">
        <f ca="1">AVERAGE(OFFSET($R$3,0,0,'Données projet'!$E$9+1,1))-AVERAGE(OFFSET($H$3,0,0,'Données projet'!$E$9+1,1))</f>
        <v>215.77907571824977</v>
      </c>
      <c r="T71" s="59">
        <f t="shared" si="88"/>
        <v>174.69390149594869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27.641420343413927</v>
      </c>
      <c r="AA71" s="21">
        <f>EXP(-LN(2)/25)*AA70+(1-EXP(-LN(2)/25))/(LN(2)/25)*Calculateur!V71*Calculateur!X71*VLOOKUP('Données projet'!$B$9,Paramètres!$A$1:$I$89,3,0)*0.475*44/12</f>
        <v>14.823628207378798</v>
      </c>
      <c r="AB71" s="21">
        <f>EXP(-LN(2)/2)*AB70+(1-EXP(-LN(2)/2))/(LN(2)/2)*V71*Y71*VLOOKUP('Données projet'!$B$9,Paramètres!$A$1:$I$89,3,0)*0.475*44/12</f>
        <v>2.2219884627151996</v>
      </c>
      <c r="AC71" s="22">
        <f t="shared" si="57"/>
        <v>44.687037013507926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-1.0197709343628959E-13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171.701352621833</v>
      </c>
      <c r="AO71" s="59">
        <f t="shared" si="90"/>
        <v>195.58435749168586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90.770007378730739</v>
      </c>
      <c r="AV71" s="21">
        <f>EXP(-LN(2)/25)*AV70+(1-EXP(-LN(2)/25))/(LN(2)/25)*Calculateur!AQ71*Calculateur!AS71*VLOOKUP('Données projet'!$B$10,Paramètres!$A$1:$I$89,3,0)*0.475*44/12</f>
        <v>31.650948751458717</v>
      </c>
      <c r="AW71" s="21">
        <f>EXP(-LN(2)/2)*AW70+(1-EXP(-LN(2)/2))/(LN(2)/2)*AQ71*AT71*VLOOKUP('Données projet'!$B$10,Paramètres!$A$1:$I$89,3,0)*0.475*44/12</f>
        <v>5.589865779801066</v>
      </c>
      <c r="AX71" s="21">
        <f t="shared" si="60"/>
        <v>128.01082190999051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</v>
      </c>
      <c r="BD71" s="12">
        <f>IF('Données projet'!$A$88&gt;35,BD70+BC71-BL70,IF(A71&lt;'Données projet'!$A$88,$BA$205^A71,IF(A71='Données projet'!$A$88,'Données projet'!$B$88,BD70+BC71-BL70)))</f>
        <v>614.99999999999955</v>
      </c>
      <c r="BE71" s="13">
        <f>BD71*VLOOKUP('Données projet'!$B$11,Paramètres!$A$1:$I$89,3,0)*VLOOKUP('Données projet'!$B$11,Paramètres!$A$1:$I$89,5,0)</f>
        <v>319.79999999999978</v>
      </c>
      <c r="BF71" s="13">
        <f t="shared" si="91"/>
        <v>75.311738259211339</v>
      </c>
      <c r="BG71" s="20">
        <f t="shared" si="61"/>
        <v>688.15294413479262</v>
      </c>
      <c r="BH71" s="59">
        <f t="shared" si="62"/>
        <v>981.48627746812599</v>
      </c>
      <c r="BI71" s="59">
        <f ca="1">AVERAGE(OFFSET($BH$3,0,0,'Données projet'!$E$11+1,1))-AVERAGE(OFFSET($H$3,0,0,'Données projet'!$E$11+1,1))</f>
        <v>348.29124901999882</v>
      </c>
      <c r="BJ71" s="59">
        <f t="shared" si="92"/>
        <v>284.30034973939053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51.316610951561842</v>
      </c>
      <c r="BQ71" s="21">
        <f>EXP(-LN(2)/25)*BQ70+(1-EXP(-LN(2)/25))/(LN(2)/25)*Calculateur!BL71*Calculateur!BN71*VLOOKUP('Données projet'!$B$11,Paramètres!$A$1:$I$89,3,0)*0.475*44/12</f>
        <v>26.998665366225591</v>
      </c>
      <c r="BR71" s="21">
        <f>EXP(-LN(2)/2)*BR70+(1-EXP(-LN(2)/2))/(LN(2)/2)*BL71*BO71*VLOOKUP('Données projet'!$B$11,Paramètres!$A$1:$I$89,3,0)*0.475*44/12</f>
        <v>2.290756508778895</v>
      </c>
      <c r="BS71" s="22">
        <f t="shared" si="63"/>
        <v>80.606032826566334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6.8386666666666658</v>
      </c>
      <c r="BY71" s="12">
        <f>IF('Données projet'!$A$114&gt;35,BY70+BX71-CG70,IF(A71&lt;'Données projet'!$A$114,$BV$205^A71,IF(A71='Données projet'!$A$114,'Données projet'!$B$114,BY70+BX71-CG70)))</f>
        <v>226.65933333333317</v>
      </c>
      <c r="BZ71" s="13">
        <f>BY71*VLOOKUP('Données projet'!$B$12,Paramètres!$A$1:$I$89,3,0)*VLOOKUP('Données projet'!$B$12,Paramètres!$A$1:$I$89,5,0)</f>
        <v>135.54228133333325</v>
      </c>
      <c r="CA71" s="13">
        <f t="shared" si="93"/>
        <v>35.273889511730523</v>
      </c>
      <c r="CB71" s="20">
        <f t="shared" si="64"/>
        <v>297.50483088848608</v>
      </c>
      <c r="CC71" s="59">
        <f t="shared" si="65"/>
        <v>590.8381642218194</v>
      </c>
      <c r="CD71" s="59">
        <f ca="1">AVERAGE(OFFSET($CC$3,0,0,'Données projet'!$E$12+1,1))-AVERAGE(OFFSET($H$3,0,0,'Données projet'!$E$12+1,1))</f>
        <v>185.82627135915504</v>
      </c>
      <c r="CE71" s="59">
        <f t="shared" si="94"/>
        <v>155.46126452522037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17.359715551977313</v>
      </c>
      <c r="CL71" s="21">
        <f>EXP(-LN(2)/25)*CL70+(1-EXP(-LN(2)/25))/(LN(2)/25)*Calculateur!CG71*Calculateur!CI71*VLOOKUP('Données projet'!$B$12,Paramètres!$A$1:$I$89,3,0)*0.475*44/12</f>
        <v>9.2625720201998547</v>
      </c>
      <c r="CM71" s="21">
        <f>EXP(-LN(2)/2)*CM70+(1-EXP(-LN(2)/2))/(LN(2)/2)*CG71*CJ71*VLOOKUP('Données projet'!$B$12,Paramètres!$A$1:$I$89,3,0)*0.475*44/12</f>
        <v>0.61579313152315407</v>
      </c>
      <c r="CN71" s="22">
        <f t="shared" si="66"/>
        <v>27.238080703700323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1.8384615384615373</v>
      </c>
      <c r="CT71" s="12">
        <f>IF('Données projet'!$A$140&gt;35,CT70+CS71-DB70,IF(A71&lt;'Données projet'!$A$140,$CQ$205^A71,IF(A71='Données projet'!$A$140,'Données projet'!$B$140,CT70+CS71-DB70)))</f>
        <v>98.784615384615307</v>
      </c>
      <c r="CU71" s="17">
        <f>CT71*VLOOKUP('Données projet'!$B$13,Paramètres!$A$1:$I$89,3,0)*VLOOKUP('Données projet'!$B$13,Paramètres!$A$1:$I$89,5,0)</f>
        <v>113.79987692307684</v>
      </c>
      <c r="CV71" s="13">
        <f t="shared" si="95"/>
        <v>30.224487993901224</v>
      </c>
      <c r="CW71" s="20">
        <f t="shared" si="67"/>
        <v>250.84243556373681</v>
      </c>
      <c r="CX71" s="59">
        <f t="shared" si="68"/>
        <v>544.17576889707016</v>
      </c>
      <c r="CY71" s="59">
        <f ca="1">AVERAGE(OFFSET($CX$3,0,0,'Données projet'!$E$13+1,1))-AVERAGE(OFFSET($H$3,0,0,'Données projet'!$E$13+1,1))</f>
        <v>150.78964413039063</v>
      </c>
      <c r="CZ71" s="59">
        <f t="shared" si="96"/>
        <v>131.90332435966184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4.1232418888077182</v>
      </c>
      <c r="DG71" s="21">
        <f>EXP(-LN(2)/25)*DG70+(1-EXP(-LN(2)/25))/(LN(2)/25)*Calculateur!DB71*Calculateur!DD71*VLOOKUP('Données projet'!$B$13,Paramètres!$A$1:$I$89,3,0)*0.475*44/12</f>
        <v>2.7366864801961972</v>
      </c>
      <c r="DH71" s="21">
        <f>EXP(-LN(2)/2)*DH70+(1-EXP(-LN(2)/2))/(LN(2)/2)*DB71*DE71*VLOOKUP('Données projet'!$B$13,Paramètres!$A$1:$I$89,3,0)*0.475*44/12</f>
        <v>0.11276688202010304</v>
      </c>
      <c r="DI71" s="22">
        <f t="shared" si="69"/>
        <v>6.9726952510240183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1.9230769230769227</v>
      </c>
      <c r="DO71" s="12">
        <f>IF('Données projet'!$A$166&gt;35,DO70+DN71-DW70,IF(A71&lt;'Données projet'!$A$166,$DL$205^A71,IF(A71='Données projet'!$A$166,'Données projet'!$B$166,DO70+DN71-DW70)))</f>
        <v>92.948717948717956</v>
      </c>
      <c r="DP71" s="17">
        <f>DO71*VLOOKUP('Données projet'!$B$14,Paramètres!$A$1:$I$89,3,0)*VLOOKUP('Données projet'!$B$14,Paramètres!$A$1:$I$89,5,0)</f>
        <v>97.15000000000002</v>
      </c>
      <c r="DQ71" s="13">
        <f t="shared" si="97"/>
        <v>26.281886008278786</v>
      </c>
      <c r="DR71" s="20">
        <f t="shared" si="70"/>
        <v>214.97720146441893</v>
      </c>
      <c r="DS71" s="59">
        <f t="shared" si="71"/>
        <v>508.31053479775221</v>
      </c>
      <c r="DT71" s="59">
        <f ca="1">AVERAGE(OFFSET($DS$3,0,0,'Données projet'!$E$14+1,1))-AVERAGE(OFFSET($H$3,0,0,'Données projet'!$E$14+1,1))</f>
        <v>110.10595934547638</v>
      </c>
      <c r="DU71" s="59">
        <f t="shared" si="98"/>
        <v>131.10971921141493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9.6612937085482749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9.6612937085482749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6.8933333333333326</v>
      </c>
      <c r="EJ71" s="12">
        <f>IF('Données projet'!$A$192&gt;35,EJ70+EI71-ER70,IF(A71&lt;'Données projet'!$A$192,$EG$205^A71,IF(A71='Données projet'!$A$192,'Données projet'!$B$192,EJ70+EI71-ER70)))</f>
        <v>183.89666666666665</v>
      </c>
      <c r="EK71" s="17">
        <f>EJ71*VLOOKUP('Données projet'!$B$15,Paramètres!$A$1:$I$89,3,0)*VLOOKUP('Données projet'!$B$15,Paramètres!$A$1:$I$89,5,0)</f>
        <v>186.47121999999999</v>
      </c>
      <c r="EL71" s="13">
        <f t="shared" si="99"/>
        <v>46.758940514498235</v>
      </c>
      <c r="EM71" s="20">
        <f t="shared" si="73"/>
        <v>406.20919622941773</v>
      </c>
      <c r="EN71" s="59">
        <f t="shared" si="74"/>
        <v>699.54252956275104</v>
      </c>
      <c r="EO71" s="59">
        <f ca="1">AVERAGE(OFFSET($EN$3,0,0,'Données projet'!$E$15+1,1))-AVERAGE(OFFSET($H$3,0,0,'Données projet'!$E$15+1,1))</f>
        <v>420.38735944595965</v>
      </c>
      <c r="EP71" s="59">
        <f t="shared" si="100"/>
        <v>200.0823542414671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22.420707903060638</v>
      </c>
      <c r="EX71" s="21">
        <f>EXP(-LN(2)/2)*EX70+(1-EXP(-LN(2)/2))/(LN(2)/2)*ER71*EU71*VLOOKUP('Données projet'!$B$15,Paramètres!$A$1:$I$89,3,0)*0.475*44/12</f>
        <v>0.87146716943796021</v>
      </c>
      <c r="EY71" s="22">
        <f t="shared" si="75"/>
        <v>23.292175072498598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9.65625</v>
      </c>
      <c r="FE71" s="12">
        <f>IF('Données projet'!$A$218&gt;35,FE70+FD71-FM70,IF(A71&lt;'Données projet'!$A$218,$FB$205^A71,IF(A71='Données projet'!$A$218,'Données projet'!$B$218,FE70+FD71-FM70)))</f>
        <v>206.16624999999996</v>
      </c>
      <c r="FF71" s="17">
        <f>FE71*VLOOKUP('Données projet'!$B$16,Paramètres!$A$1:$I$89,3,0)*VLOOKUP('Données projet'!$B$16,Paramètres!$A$1:$I$89,5,0)</f>
        <v>221.91735149999994</v>
      </c>
      <c r="FG71" s="13">
        <f t="shared" si="101"/>
        <v>54.531401903286778</v>
      </c>
      <c r="FH71" s="20">
        <f t="shared" si="76"/>
        <v>481.48157884405776</v>
      </c>
      <c r="FI71" s="59">
        <f t="shared" si="77"/>
        <v>774.81491217739108</v>
      </c>
      <c r="FJ71" s="59">
        <f ca="1">AVERAGE(OFFSET($FI$3,0,0,'Données projet'!$E$16+1,1))-AVERAGE(OFFSET($H$3,0,0,'Données projet'!$E$16+1,1))</f>
        <v>415.8741608506952</v>
      </c>
      <c r="FK71" s="59">
        <f t="shared" si="102"/>
        <v>259.15848913719356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19.527707576597319</v>
      </c>
      <c r="FR71" s="21">
        <f>EXP(-LN(2)/25)*FR70+(1-EXP(-LN(2)/25))/(LN(2)/25)*Calculateur!FM71*Calculateur!FO71*VLOOKUP('Données projet'!$B$16,Paramètres!$A$1:$I$89,3,0)*0.475*44/12</f>
        <v>32.128639083267728</v>
      </c>
      <c r="FS71" s="21">
        <f>EXP(-LN(2)/2)*FS70+(1-EXP(-LN(2)/2))/(LN(2)/2)*FM71*FP71*VLOOKUP('Données projet'!$B$16,Paramètres!$A$1:$I$89,3,0)*0.475*44/12</f>
        <v>3.2643554955045251</v>
      </c>
      <c r="FT71" s="22">
        <f t="shared" si="78"/>
        <v>54.920702155369575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9.65625</v>
      </c>
      <c r="FZ71" s="12">
        <f>IF('Données projet'!$A$244&gt;35,FZ70+FY71-GH70,IF(A71&lt;'Données projet'!$A$244,$FW$205^A71,IF(A71='Données projet'!$A$244,'Données projet'!$B$244,FZ70+FY71-GH70)))</f>
        <v>206.16624999999996</v>
      </c>
      <c r="GA71" s="17">
        <f>FZ71*VLOOKUP('Données projet'!$B$17,Paramètres!$A$1:$I$89,3,0)*VLOOKUP('Données projet'!$B$17,Paramètres!$A$1:$I$89,5,0)</f>
        <v>176.89064249999998</v>
      </c>
      <c r="GB71" s="13">
        <f t="shared" si="103"/>
        <v>44.629711415320877</v>
      </c>
      <c r="GC71" s="20">
        <f t="shared" si="79"/>
        <v>385.81461640251717</v>
      </c>
      <c r="GD71" s="59">
        <f t="shared" si="80"/>
        <v>679.14794973585049</v>
      </c>
      <c r="GE71" s="59">
        <f ca="1">AVERAGE(OFFSET($GD$3,0,0,'Données projet'!$E$17+1,1))-AVERAGE(OFFSET($H$3,0,0,'Données projet'!$E$17+1,1))</f>
        <v>322.39807389980882</v>
      </c>
      <c r="GF71" s="59">
        <f t="shared" si="104"/>
        <v>202.59410055732792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19.185462617384967</v>
      </c>
      <c r="GM71" s="21">
        <f>EXP(-LN(2)/25)*GM70+(1-EXP(-LN(2)/25))/(LN(2)/25)*Calculateur!GH71*Calculateur!GJ71*VLOOKUP('Données projet'!$B$17,Paramètres!$A$1:$I$89,3,0)*0.475*44/12</f>
        <v>31.565548678033508</v>
      </c>
      <c r="GN71" s="21">
        <f>EXP(-LN(2)/2)*GN70+(1-EXP(-LN(2)/2))/(LN(2)/2)*GH71*GK71*VLOOKUP('Données projet'!$B$17,Paramètres!$A$1:$I$89,3,0)*0.475*44/12</f>
        <v>2.6020224964166507</v>
      </c>
      <c r="GO71" s="21">
        <f t="shared" si="81"/>
        <v>53.353033791835131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25.295399999999955</v>
      </c>
      <c r="D72" s="11">
        <f t="shared" si="86"/>
        <v>8.0034931883304772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257.04408776956825</v>
      </c>
      <c r="H72" s="67">
        <f t="shared" si="56"/>
        <v>351.32890563634214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11.327500000000001</v>
      </c>
      <c r="N72" s="13">
        <f>IF('Données projet'!$A$36&gt;35,N71+M72-V71,IF(A72&lt;'Données projet'!$A$36,$K$205^A72,IF(A72='Données projet'!$A$36,'Données projet'!$B$36,N71+M72-V71)))</f>
        <v>327.54499999999996</v>
      </c>
      <c r="O72" s="13">
        <f>N72*VLOOKUP('Données projet'!$B$9,Paramètres!$A$1:$I$89,3,0)*VLOOKUP('Données projet'!$B$9,Paramètres!$A$1:$I$89,5,0)</f>
        <v>153.29105999999996</v>
      </c>
      <c r="P72" s="13">
        <f t="shared" si="87"/>
        <v>39.325543500070239</v>
      </c>
      <c r="Q72" s="20">
        <f t="shared" si="54"/>
        <v>335.47391776262225</v>
      </c>
      <c r="R72" s="59">
        <f t="shared" si="55"/>
        <v>628.80725109595551</v>
      </c>
      <c r="S72" s="59">
        <f ca="1">AVERAGE(OFFSET($R$3,0,0,'Données projet'!$E$9+1,1))-AVERAGE(OFFSET($H$3,0,0,'Données projet'!$E$9+1,1))</f>
        <v>215.77907571824977</v>
      </c>
      <c r="T72" s="59">
        <f t="shared" si="88"/>
        <v>174.69390149594869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27.099388950081241</v>
      </c>
      <c r="AA72" s="21">
        <f>EXP(-LN(2)/25)*AA71+(1-EXP(-LN(2)/25))/(LN(2)/25)*Calculateur!V72*Calculateur!X72*VLOOKUP('Données projet'!$B$9,Paramètres!$A$1:$I$89,3,0)*0.475*44/12</f>
        <v>14.418275314507298</v>
      </c>
      <c r="AB72" s="21">
        <f>EXP(-LN(2)/2)*AB71+(1-EXP(-LN(2)/2))/(LN(2)/2)*V72*Y72*VLOOKUP('Données projet'!$B$9,Paramètres!$A$1:$I$89,3,0)*0.475*44/12</f>
        <v>1.5711831097041897</v>
      </c>
      <c r="AC72" s="22">
        <f t="shared" si="57"/>
        <v>43.088847374292726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-1.0197709343628959E-13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171.701352621833</v>
      </c>
      <c r="AO72" s="59">
        <f t="shared" si="90"/>
        <v>195.58435749168586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88.99006289827156</v>
      </c>
      <c r="AV72" s="21">
        <f>EXP(-LN(2)/25)*AV71+(1-EXP(-LN(2)/25))/(LN(2)/25)*Calculateur!AQ72*Calculateur!AS72*VLOOKUP('Données projet'!$B$10,Paramètres!$A$1:$I$89,3,0)*0.475*44/12</f>
        <v>30.785451893399024</v>
      </c>
      <c r="AW72" s="21">
        <f>EXP(-LN(2)/2)*AW71+(1-EXP(-LN(2)/2))/(LN(2)/2)*AQ72*AT72*VLOOKUP('Données projet'!$B$10,Paramètres!$A$1:$I$89,3,0)*0.475*44/12</f>
        <v>3.9526319988199625</v>
      </c>
      <c r="AX72" s="21">
        <f t="shared" si="60"/>
        <v>123.72814679049056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</v>
      </c>
      <c r="BD72" s="12">
        <f>IF('Données projet'!$A$88&gt;35,BD71+BC72-BL71,IF(A72&lt;'Données projet'!$A$88,$BA$205^A72,IF(A72='Données projet'!$A$88,'Données projet'!$B$88,BD71+BC72-BL71)))</f>
        <v>630.99999999999955</v>
      </c>
      <c r="BE72" s="13">
        <f>BD72*VLOOKUP('Données projet'!$B$11,Paramètres!$A$1:$I$89,3,0)*VLOOKUP('Données projet'!$B$11,Paramètres!$A$1:$I$89,5,0)</f>
        <v>328.11999999999978</v>
      </c>
      <c r="BF72" s="13">
        <f t="shared" si="91"/>
        <v>77.040405697638533</v>
      </c>
      <c r="BG72" s="20">
        <f t="shared" si="61"/>
        <v>705.65437325672008</v>
      </c>
      <c r="BH72" s="59">
        <f t="shared" si="62"/>
        <v>998.98770659005345</v>
      </c>
      <c r="BI72" s="59">
        <f ca="1">AVERAGE(OFFSET($BH$3,0,0,'Données projet'!$E$11+1,1))-AVERAGE(OFFSET($H$3,0,0,'Données projet'!$E$11+1,1))</f>
        <v>348.29124901999882</v>
      </c>
      <c r="BJ72" s="59">
        <f t="shared" si="92"/>
        <v>284.30034973939053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50.310323510843773</v>
      </c>
      <c r="BQ72" s="21">
        <f>EXP(-LN(2)/25)*BQ71+(1-EXP(-LN(2)/25))/(LN(2)/25)*Calculateur!BL72*Calculateur!BN72*VLOOKUP('Données projet'!$B$11,Paramètres!$A$1:$I$89,3,0)*0.475*44/12</f>
        <v>26.260385441988046</v>
      </c>
      <c r="BR72" s="21">
        <f>EXP(-LN(2)/2)*BR71+(1-EXP(-LN(2)/2))/(LN(2)/2)*BL72*BO72*VLOOKUP('Données projet'!$B$11,Paramètres!$A$1:$I$89,3,0)*0.475*44/12</f>
        <v>1.6198094614047778</v>
      </c>
      <c r="BS72" s="22">
        <f t="shared" si="63"/>
        <v>78.190518414236607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6.8386666666666658</v>
      </c>
      <c r="BY72" s="12">
        <f>IF('Données projet'!$A$114&gt;35,BY71+BX72-CG71,IF(A72&lt;'Données projet'!$A$114,$BV$205^A72,IF(A72='Données projet'!$A$114,'Données projet'!$B$114,BY71+BX72-CG71)))</f>
        <v>233.49799999999982</v>
      </c>
      <c r="BZ72" s="13">
        <f>BY72*VLOOKUP('Données projet'!$B$12,Paramètres!$A$1:$I$89,3,0)*VLOOKUP('Données projet'!$B$12,Paramètres!$A$1:$I$89,5,0)</f>
        <v>139.6318039999999</v>
      </c>
      <c r="CA72" s="13">
        <f t="shared" si="93"/>
        <v>36.212644038380439</v>
      </c>
      <c r="CB72" s="20">
        <f t="shared" si="64"/>
        <v>306.26241366684576</v>
      </c>
      <c r="CC72" s="59">
        <f t="shared" si="65"/>
        <v>599.59574700017902</v>
      </c>
      <c r="CD72" s="59">
        <f ca="1">AVERAGE(OFFSET($CC$3,0,0,'Données projet'!$E$12+1,1))-AVERAGE(OFFSET($H$3,0,0,'Données projet'!$E$12+1,1))</f>
        <v>185.82627135915504</v>
      </c>
      <c r="CE72" s="59">
        <f t="shared" si="94"/>
        <v>155.46126452522037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17.019302118384008</v>
      </c>
      <c r="CL72" s="21">
        <f>EXP(-LN(2)/25)*CL71+(1-EXP(-LN(2)/25))/(LN(2)/25)*Calculateur!CG72*Calculateur!CI72*VLOOKUP('Données projet'!$B$12,Paramètres!$A$1:$I$89,3,0)*0.475*44/12</f>
        <v>9.0092865012099974</v>
      </c>
      <c r="CM72" s="21">
        <f>EXP(-LN(2)/2)*CM71+(1-EXP(-LN(2)/2))/(LN(2)/2)*CG72*CJ72*VLOOKUP('Données projet'!$B$12,Paramètres!$A$1:$I$89,3,0)*0.475*44/12</f>
        <v>0.43543149910812179</v>
      </c>
      <c r="CN72" s="22">
        <f t="shared" si="66"/>
        <v>26.464020118702127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1.8384615384615373</v>
      </c>
      <c r="CT72" s="12">
        <f>IF('Données projet'!$A$140&gt;35,CT71+CS72-DB71,IF(A72&lt;'Données projet'!$A$140,$CQ$205^A72,IF(A72='Données projet'!$A$140,'Données projet'!$B$140,CT71+CS72-DB71)))</f>
        <v>100.62307692307684</v>
      </c>
      <c r="CU72" s="17">
        <f>CT72*VLOOKUP('Données projet'!$B$13,Paramètres!$A$1:$I$89,3,0)*VLOOKUP('Données projet'!$B$13,Paramètres!$A$1:$I$89,5,0)</f>
        <v>115.91778461538451</v>
      </c>
      <c r="CV72" s="13">
        <f t="shared" si="95"/>
        <v>30.72098023300925</v>
      </c>
      <c r="CW72" s="20">
        <f t="shared" si="67"/>
        <v>255.39584877761911</v>
      </c>
      <c r="CX72" s="59">
        <f t="shared" si="68"/>
        <v>548.72918211095248</v>
      </c>
      <c r="CY72" s="59">
        <f ca="1">AVERAGE(OFFSET($CX$3,0,0,'Données projet'!$E$13+1,1))-AVERAGE(OFFSET($H$3,0,0,'Données projet'!$E$13+1,1))</f>
        <v>150.78964413039063</v>
      </c>
      <c r="CZ72" s="59">
        <f t="shared" si="96"/>
        <v>131.90332435966184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4.0423876302974229</v>
      </c>
      <c r="DG72" s="21">
        <f>EXP(-LN(2)/25)*DG71+(1-EXP(-LN(2)/25))/(LN(2)/25)*Calculateur!DB72*Calculateur!DD72*VLOOKUP('Données projet'!$B$13,Paramètres!$A$1:$I$89,3,0)*0.475*44/12</f>
        <v>2.6618516444791451</v>
      </c>
      <c r="DH72" s="21">
        <f>EXP(-LN(2)/2)*DH71+(1-EXP(-LN(2)/2))/(LN(2)/2)*DB72*DE72*VLOOKUP('Données projet'!$B$13,Paramètres!$A$1:$I$89,3,0)*0.475*44/12</f>
        <v>7.9738226969678222E-2</v>
      </c>
      <c r="DI72" s="22">
        <f t="shared" si="69"/>
        <v>6.7839775017462465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1.9230769230769227</v>
      </c>
      <c r="DO72" s="12">
        <f>IF('Données projet'!$A$166&gt;35,DO71+DN72-DW71,IF(A72&lt;'Données projet'!$A$166,$DL$205^A72,IF(A72='Données projet'!$A$166,'Données projet'!$B$166,DO71+DN72-DW71)))</f>
        <v>94.871794871794876</v>
      </c>
      <c r="DP72" s="17">
        <f>DO72*VLOOKUP('Données projet'!$B$14,Paramètres!$A$1:$I$89,3,0)*VLOOKUP('Données projet'!$B$14,Paramètres!$A$1:$I$89,5,0)</f>
        <v>99.160000000000011</v>
      </c>
      <c r="DQ72" s="13">
        <f t="shared" si="97"/>
        <v>26.761780990588875</v>
      </c>
      <c r="DR72" s="20">
        <f t="shared" si="70"/>
        <v>219.31376855860893</v>
      </c>
      <c r="DS72" s="59">
        <f t="shared" si="71"/>
        <v>512.64710189194227</v>
      </c>
      <c r="DT72" s="59">
        <f ca="1">AVERAGE(OFFSET($DS$3,0,0,'Données projet'!$E$14+1,1))-AVERAGE(OFFSET($H$3,0,0,'Données projet'!$E$14+1,1))</f>
        <v>110.10595934547638</v>
      </c>
      <c r="DU72" s="59">
        <f t="shared" si="98"/>
        <v>131.10971921141493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9.3971051240226675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9.3971051240226675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190.79</v>
      </c>
      <c r="EH72" s="12">
        <f>VLOOKUP(A72,'Données projet'!$A$191:$I$211,9,0)</f>
        <v>6.8933333333333326</v>
      </c>
      <c r="EI72" s="12">
        <f t="array" ref="EI72">INDEX(EH:EH,MIN(IF(ISNUMBER(EH72:EH268),ROW(EH72:EH268),"")))</f>
        <v>6.8933333333333326</v>
      </c>
      <c r="EJ72" s="12">
        <f>IF('Données projet'!$A$192&gt;35,EJ71+EI72-ER71,IF(A72&lt;'Données projet'!$A$192,$EG$205^A72,IF(A72='Données projet'!$A$192,'Données projet'!$B$192,EJ71+EI72-ER71)))</f>
        <v>190.79</v>
      </c>
      <c r="EK72" s="17">
        <f>EJ72*VLOOKUP('Données projet'!$B$15,Paramètres!$A$1:$I$89,3,0)*VLOOKUP('Données projet'!$B$15,Paramètres!$A$1:$I$89,5,0)</f>
        <v>193.46106</v>
      </c>
      <c r="EL72" s="13">
        <f t="shared" si="99"/>
        <v>48.304338284801261</v>
      </c>
      <c r="EM72" s="20">
        <f t="shared" si="73"/>
        <v>421.07473534602883</v>
      </c>
      <c r="EN72" s="59">
        <f t="shared" si="74"/>
        <v>714.40806867936215</v>
      </c>
      <c r="EO72" s="59">
        <f ca="1">AVERAGE(OFFSET($EN$3,0,0,'Données projet'!$E$15+1,1))-AVERAGE(OFFSET($H$3,0,0,'Données projet'!$E$15+1,1))</f>
        <v>420.38735944595965</v>
      </c>
      <c r="EP72" s="59">
        <f t="shared" si="100"/>
        <v>200.0823542414671</v>
      </c>
      <c r="EQ72" s="15">
        <f>IF(ISNA(VLOOKUP(A72,'Données projet'!$A$191:$I$211,3,0)),0,VLOOKUP(A72,'Données projet'!$A$191:$I$211,3,0))</f>
        <v>2</v>
      </c>
      <c r="ER72" s="15">
        <f>IF(ISNA(VLOOKUP(A72,'Données projet'!$A$191:$I$211,4,0)),0,VLOOKUP(A72,'Données projet'!$A$191:$I$211,4,0))</f>
        <v>42.22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0.34400000000000003</v>
      </c>
      <c r="EU72" s="16">
        <f>IF(ISNA(VLOOKUP(A72,'Données projet'!$A$191:$I$211,7,0)),0%,VLOOKUP(A72,'Données projet'!$A$191:$I$211,7,0))</f>
        <v>0.2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38.02378583479539</v>
      </c>
      <c r="EX72" s="21">
        <f>EXP(-LN(2)/2)*EX71+(1-EXP(-LN(2)/2))/(LN(2)/2)*ER72*EU72*VLOOKUP('Données projet'!$B$15,Paramètres!$A$1:$I$89,3,0)*0.475*44/12</f>
        <v>8.6949015897559168</v>
      </c>
      <c r="EY72" s="22">
        <f t="shared" si="75"/>
        <v>46.718687424551305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9.65625</v>
      </c>
      <c r="FE72" s="12">
        <f>IF('Données projet'!$A$218&gt;35,FE71+FD72-FM71,IF(A72&lt;'Données projet'!$A$218,$FB$205^A72,IF(A72='Données projet'!$A$218,'Données projet'!$B$218,FE71+FD72-FM71)))</f>
        <v>215.82249999999996</v>
      </c>
      <c r="FF72" s="17">
        <f>FE72*VLOOKUP('Données projet'!$B$16,Paramètres!$A$1:$I$89,3,0)*VLOOKUP('Données projet'!$B$16,Paramètres!$A$1:$I$89,5,0)</f>
        <v>232.31133899999995</v>
      </c>
      <c r="FG72" s="13">
        <f t="shared" si="101"/>
        <v>56.782155851882791</v>
      </c>
      <c r="FH72" s="20">
        <f t="shared" si="76"/>
        <v>503.50450353369575</v>
      </c>
      <c r="FI72" s="59">
        <f t="shared" si="77"/>
        <v>796.83783686702907</v>
      </c>
      <c r="FJ72" s="59">
        <f ca="1">AVERAGE(OFFSET($FI$3,0,0,'Données projet'!$E$16+1,1))-AVERAGE(OFFSET($H$3,0,0,'Données projet'!$E$16+1,1))</f>
        <v>415.8741608506952</v>
      </c>
      <c r="FK72" s="59">
        <f t="shared" si="102"/>
        <v>259.15848913719356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19.144781141745781</v>
      </c>
      <c r="FR72" s="21">
        <f>EXP(-LN(2)/25)*FR71+(1-EXP(-LN(2)/25))/(LN(2)/25)*Calculateur!FM72*Calculateur!FO72*VLOOKUP('Données projet'!$B$16,Paramètres!$A$1:$I$89,3,0)*0.475*44/12</f>
        <v>31.250079757964073</v>
      </c>
      <c r="FS72" s="21">
        <f>EXP(-LN(2)/2)*FS71+(1-EXP(-LN(2)/2))/(LN(2)/2)*FM72*FP72*VLOOKUP('Données projet'!$B$16,Paramètres!$A$1:$I$89,3,0)*0.475*44/12</f>
        <v>2.3082479070748221</v>
      </c>
      <c r="FT72" s="22">
        <f t="shared" si="78"/>
        <v>52.703108806784677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9.65625</v>
      </c>
      <c r="FZ72" s="12">
        <f>IF('Données projet'!$A$244&gt;35,FZ71+FY72-GH71,IF(A72&lt;'Données projet'!$A$244,$FW$205^A72,IF(A72='Données projet'!$A$244,'Données projet'!$B$244,FZ71+FY72-GH71)))</f>
        <v>215.82249999999996</v>
      </c>
      <c r="GA72" s="17">
        <f>FZ72*VLOOKUP('Données projet'!$B$17,Paramètres!$A$1:$I$89,3,0)*VLOOKUP('Données projet'!$B$17,Paramètres!$A$1:$I$89,5,0)</f>
        <v>185.17570499999999</v>
      </c>
      <c r="GB72" s="13">
        <f t="shared" si="103"/>
        <v>46.471778475523884</v>
      </c>
      <c r="GC72" s="20">
        <f t="shared" si="79"/>
        <v>403.4527003865374</v>
      </c>
      <c r="GD72" s="59">
        <f t="shared" si="80"/>
        <v>696.78603371987072</v>
      </c>
      <c r="GE72" s="59">
        <f ca="1">AVERAGE(OFFSET($GD$3,0,0,'Données projet'!$E$17+1,1))-AVERAGE(OFFSET($H$3,0,0,'Données projet'!$E$17+1,1))</f>
        <v>322.39807389980882</v>
      </c>
      <c r="GF72" s="59">
        <f t="shared" si="104"/>
        <v>202.59410055732792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18.80924739743477</v>
      </c>
      <c r="GM72" s="21">
        <f>EXP(-LN(2)/25)*GM71+(1-EXP(-LN(2)/25))/(LN(2)/25)*Calculateur!GH72*Calculateur!GJ72*VLOOKUP('Données projet'!$B$17,Paramètres!$A$1:$I$89,3,0)*0.475*44/12</f>
        <v>30.702387089472619</v>
      </c>
      <c r="GN72" s="21">
        <f>EXP(-LN(2)/2)*GN71+(1-EXP(-LN(2)/2))/(LN(2)/2)*GH72*GK72*VLOOKUP('Données projet'!$B$17,Paramètres!$A$1:$I$89,3,0)*0.475*44/12</f>
        <v>1.8399077520161629</v>
      </c>
      <c r="GO72" s="21">
        <f t="shared" si="81"/>
        <v>51.35154223892355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25.661999999999953</v>
      </c>
      <c r="D73" s="11">
        <f t="shared" si="86"/>
        <v>8.1058983118767944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260.66447819694332</v>
      </c>
      <c r="H73" s="67">
        <f t="shared" si="56"/>
        <v>352.14575622651864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11.327500000000001</v>
      </c>
      <c r="N73" s="13">
        <f>IF('Données projet'!$A$36&gt;35,N72+M73-V72,IF(A73&lt;'Données projet'!$A$36,$K$205^A73,IF(A73='Données projet'!$A$36,'Données projet'!$B$36,N72+M73-V72)))</f>
        <v>338.87249999999995</v>
      </c>
      <c r="O73" s="13">
        <f>N73*VLOOKUP('Données projet'!$B$9,Paramètres!$A$1:$I$89,3,0)*VLOOKUP('Données projet'!$B$9,Paramètres!$A$1:$I$89,5,0)</f>
        <v>158.59232999999998</v>
      </c>
      <c r="P73" s="13">
        <f t="shared" si="87"/>
        <v>40.524848399473683</v>
      </c>
      <c r="Q73" s="20">
        <f t="shared" si="54"/>
        <v>346.7957523790833</v>
      </c>
      <c r="R73" s="59">
        <f t="shared" si="55"/>
        <v>640.12908571241655</v>
      </c>
      <c r="S73" s="59">
        <f ca="1">AVERAGE(OFFSET($R$3,0,0,'Données projet'!$E$9+1,1))-AVERAGE(OFFSET($H$3,0,0,'Données projet'!$E$9+1,1))</f>
        <v>215.77907571824977</v>
      </c>
      <c r="T73" s="59">
        <f t="shared" si="88"/>
        <v>174.69390149594869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26.567986461765305</v>
      </c>
      <c r="AA73" s="21">
        <f>EXP(-LN(2)/25)*AA72+(1-EXP(-LN(2)/25))/(LN(2)/25)*Calculateur!V73*Calculateur!X73*VLOOKUP('Données projet'!$B$9,Paramètres!$A$1:$I$89,3,0)*0.475*44/12</f>
        <v>14.024006817807951</v>
      </c>
      <c r="AB73" s="21">
        <f>EXP(-LN(2)/2)*AB72+(1-EXP(-LN(2)/2))/(LN(2)/2)*V73*Y73*VLOOKUP('Données projet'!$B$9,Paramètres!$A$1:$I$89,3,0)*0.475*44/12</f>
        <v>1.1109942313575998</v>
      </c>
      <c r="AC73" s="22">
        <f t="shared" si="57"/>
        <v>41.702987510930861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-1.0197709343628959E-13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171.701352621833</v>
      </c>
      <c r="AO73" s="59">
        <f t="shared" si="90"/>
        <v>195.58435749168586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87.245022043415261</v>
      </c>
      <c r="AV73" s="21">
        <f>EXP(-LN(2)/25)*AV72+(1-EXP(-LN(2)/25))/(LN(2)/25)*Calculateur!AQ73*Calculateur!AS73*VLOOKUP('Données projet'!$B$10,Paramètres!$A$1:$I$89,3,0)*0.475*44/12</f>
        <v>29.943622092437472</v>
      </c>
      <c r="AW73" s="21">
        <f>EXP(-LN(2)/2)*AW72+(1-EXP(-LN(2)/2))/(LN(2)/2)*AQ73*AT73*VLOOKUP('Données projet'!$B$10,Paramètres!$A$1:$I$89,3,0)*0.475*44/12</f>
        <v>2.7949328899005335</v>
      </c>
      <c r="AX73" s="21">
        <f t="shared" si="60"/>
        <v>119.98357702575328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647</v>
      </c>
      <c r="BB73" s="12">
        <f>VLOOKUP(A73,'Données projet'!$A$87:$I$107,9,0)</f>
        <v>16</v>
      </c>
      <c r="BC73" s="12">
        <f t="array" ref="BC73">INDEX(BB:BB,MIN(IF(ISNUMBER(BB73:BB269),ROW(BB73:BB269),"")))</f>
        <v>16</v>
      </c>
      <c r="BD73" s="12">
        <f>IF('Données projet'!$A$88&gt;35,BD72+BC73-BL72,IF(A73&lt;'Données projet'!$A$88,$BA$205^A73,IF(A73='Données projet'!$A$88,'Données projet'!$B$88,BD72+BC73-BL72)))</f>
        <v>646.99999999999955</v>
      </c>
      <c r="BE73" s="13">
        <f>BD73*VLOOKUP('Données projet'!$B$11,Paramètres!$A$1:$I$89,3,0)*VLOOKUP('Données projet'!$B$11,Paramètres!$A$1:$I$89,5,0)</f>
        <v>336.43999999999983</v>
      </c>
      <c r="BF73" s="13">
        <f t="shared" si="91"/>
        <v>78.763977909658166</v>
      </c>
      <c r="BG73" s="20">
        <f t="shared" si="61"/>
        <v>723.14692819265429</v>
      </c>
      <c r="BH73" s="59">
        <f t="shared" si="62"/>
        <v>1016.4802615259875</v>
      </c>
      <c r="BI73" s="59">
        <f ca="1">AVERAGE(OFFSET($BH$3,0,0,'Données projet'!$E$11+1,1))-AVERAGE(OFFSET($H$3,0,0,'Données projet'!$E$11+1,1))</f>
        <v>348.29124901999882</v>
      </c>
      <c r="BJ73" s="59">
        <f t="shared" si="92"/>
        <v>284.30034973939053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41</v>
      </c>
      <c r="BM73" s="16">
        <f>IF(ISNA(VLOOKUP(A73,'Données projet'!$A$87:$I$107,5,0)),0%,VLOOKUP(A73,'Données projet'!$A$87:$I$107,5,0)*VLOOKUP('Données projet'!$B$11,Paramètres!$A$1:$I$89,7,0))</f>
        <v>0.33</v>
      </c>
      <c r="BN73" s="16">
        <f>IF(ISNA(VLOOKUP(A73,'Données projet'!$A$87:$I$107,6,0)),0%,VLOOKUP(A73,'Données projet'!$A$87:$I$107,6,0)*VLOOKUP('Données projet'!$B$11,Paramètres!$A$1:$I$89,7,0))</f>
        <v>0.11000000000000001</v>
      </c>
      <c r="BO73" s="16">
        <f>IF(ISNA(VLOOKUP(A73,'Données projet'!$A$87:$I$107,7,0)),0%,VLOOKUP(A73,'Données projet'!$A$87:$I$107,7,0))</f>
        <v>0.2</v>
      </c>
      <c r="BP73" s="21">
        <f>EXP(-LN(2)/35)*BP72+(1-EXP(-LN(2)/35))/(LN(2)/35)*BL73*BM73*VLOOKUP('Données projet'!$B$11,Paramètres!$A$1:$I$89,3,0)*0.475*44/12</f>
        <v>58.656945635753878</v>
      </c>
      <c r="BQ73" s="21">
        <f>EXP(-LN(2)/25)*BQ72+(1-EXP(-LN(2)/25))/(LN(2)/25)*Calculateur!BL73*Calculateur!BN73*VLOOKUP('Données projet'!$B$11,Paramètres!$A$1:$I$89,3,0)*0.475*44/12</f>
        <v>28.641103357464594</v>
      </c>
      <c r="BR73" s="21">
        <f>EXP(-LN(2)/2)*BR72+(1-EXP(-LN(2)/2))/(LN(2)/2)*BL73*BO73*VLOOKUP('Données projet'!$B$11,Paramètres!$A$1:$I$89,3,0)*0.475*44/12</f>
        <v>5.9732167710422992</v>
      </c>
      <c r="BS73" s="22">
        <f t="shared" si="63"/>
        <v>93.271265764260775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6.8386666666666658</v>
      </c>
      <c r="BY73" s="12">
        <f>IF('Données projet'!$A$114&gt;35,BY72+BX73-CG72,IF(A73&lt;'Données projet'!$A$114,$BV$205^A73,IF(A73='Données projet'!$A$114,'Données projet'!$B$114,BY72+BX73-CG72)))</f>
        <v>240.33666666666647</v>
      </c>
      <c r="BZ73" s="13">
        <f>BY73*VLOOKUP('Données projet'!$B$12,Paramètres!$A$1:$I$89,3,0)*VLOOKUP('Données projet'!$B$12,Paramètres!$A$1:$I$89,5,0)</f>
        <v>143.72132666666656</v>
      </c>
      <c r="CA73" s="13">
        <f t="shared" si="93"/>
        <v>37.148203212090905</v>
      </c>
      <c r="CB73" s="20">
        <f t="shared" si="64"/>
        <v>315.0144312055026</v>
      </c>
      <c r="CC73" s="59">
        <f t="shared" si="65"/>
        <v>608.34776453883592</v>
      </c>
      <c r="CD73" s="59">
        <f ca="1">AVERAGE(OFFSET($CC$3,0,0,'Données projet'!$E$12+1,1))-AVERAGE(OFFSET($H$3,0,0,'Données projet'!$E$12+1,1))</f>
        <v>185.82627135915504</v>
      </c>
      <c r="CE73" s="59">
        <f t="shared" si="94"/>
        <v>155.46126452522037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16.685563984591777</v>
      </c>
      <c r="CL73" s="21">
        <f>EXP(-LN(2)/25)*CL72+(1-EXP(-LN(2)/25))/(LN(2)/25)*Calculateur!CG73*Calculateur!CI73*VLOOKUP('Données projet'!$B$12,Paramètres!$A$1:$I$89,3,0)*0.475*44/12</f>
        <v>8.7629270880566246</v>
      </c>
      <c r="CM73" s="21">
        <f>EXP(-LN(2)/2)*CM72+(1-EXP(-LN(2)/2))/(LN(2)/2)*CG73*CJ73*VLOOKUP('Données projet'!$B$12,Paramètres!$A$1:$I$89,3,0)*0.475*44/12</f>
        <v>0.30789656576157703</v>
      </c>
      <c r="CN73" s="22">
        <f t="shared" si="66"/>
        <v>25.756387638409979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102.46153846153845</v>
      </c>
      <c r="CR73" s="12">
        <f>VLOOKUP(A73,'Données projet'!$A$139:$I$159,9,0)</f>
        <v>1.8384615384615373</v>
      </c>
      <c r="CS73" s="12">
        <f t="array" ref="CS73">INDEX(CR:CR,MIN(IF(ISNUMBER(CR73:CR269),ROW(CR73:CR269),"")))</f>
        <v>1.8384615384615373</v>
      </c>
      <c r="CT73" s="12">
        <f>IF('Données projet'!$A$140&gt;35,CT72+CS73-DB72,IF(A73&lt;'Données projet'!$A$140,$CQ$205^A73,IF(A73='Données projet'!$A$140,'Données projet'!$B$140,CT72+CS73-DB72)))</f>
        <v>102.46153846153837</v>
      </c>
      <c r="CU73" s="17">
        <f>CT73*VLOOKUP('Données projet'!$B$13,Paramètres!$A$1:$I$89,3,0)*VLOOKUP('Données projet'!$B$13,Paramètres!$A$1:$I$89,5,0)</f>
        <v>118.03569230769219</v>
      </c>
      <c r="CV73" s="13">
        <f t="shared" si="95"/>
        <v>31.216417633027273</v>
      </c>
      <c r="CW73" s="20">
        <f t="shared" si="67"/>
        <v>259.94742481341973</v>
      </c>
      <c r="CX73" s="59">
        <f t="shared" si="68"/>
        <v>553.28075814675299</v>
      </c>
      <c r="CY73" s="59">
        <f ca="1">AVERAGE(OFFSET($CX$3,0,0,'Données projet'!$E$13+1,1))-AVERAGE(OFFSET($H$3,0,0,'Données projet'!$E$13+1,1))</f>
        <v>150.78964413039063</v>
      </c>
      <c r="CZ73" s="59">
        <f t="shared" si="96"/>
        <v>131.90332435966184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12.076923076923077</v>
      </c>
      <c r="DC73" s="16">
        <f>IF(ISNA(VLOOKUP(A73,'Données projet'!$A$139:$I$159,5,0)),0%,VLOOKUP(A73,'Données projet'!$A$139:$I$159,5,0)*VLOOKUP('Données projet'!$B$13,Paramètres!$A$1:$I$89,7,0))</f>
        <v>0.18000000000000002</v>
      </c>
      <c r="DD73" s="16">
        <f>IF(ISNA(VLOOKUP(A73,'Données projet'!$A$139:$I$159,6,0)),0%,VLOOKUP(A73,'Données projet'!$A$139:$I$159,6,0)*VLOOKUP('Données projet'!$B$13,Paramètres!$A$1:$I$89,7,0))</f>
        <v>9.0000000000000011E-2</v>
      </c>
      <c r="DE73" s="16">
        <f>IF(ISNA(VLOOKUP(A73,'Données projet'!$A$139:$I$159,7,0)),0%,VLOOKUP(A73,'Données projet'!$A$139:$I$159,7,0))</f>
        <v>0.2</v>
      </c>
      <c r="DF73" s="21">
        <f>EXP(-LN(2)/35)*DF72+(1-EXP(-LN(2)/35))/(LN(2)/35)*DB73*DC73*VLOOKUP('Données projet'!$B$13,Paramètres!$A$1:$I$89,3,0)*0.475*44/12</f>
        <v>5.7625770269949133</v>
      </c>
      <c r="DG73" s="21">
        <f>EXP(-LN(2)/25)*DG72+(1-EXP(-LN(2)/25))/(LN(2)/25)*Calculateur!DB73*Calculateur!DD73*VLOOKUP('Données projet'!$B$13,Paramètres!$A$1:$I$89,3,0)*0.475*44/12</f>
        <v>3.4852496713406023</v>
      </c>
      <c r="DH73" s="21">
        <f>EXP(-LN(2)/2)*DH72+(1-EXP(-LN(2)/2))/(LN(2)/2)*DB73*DE73*VLOOKUP('Données projet'!$B$13,Paramètres!$A$1:$I$89,3,0)*0.475*44/12</f>
        <v>1.762883959841941</v>
      </c>
      <c r="DI73" s="22">
        <f t="shared" si="69"/>
        <v>11.010710658177457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96.794871794871796</v>
      </c>
      <c r="DM73" s="12">
        <f>VLOOKUP(A73,'Données projet'!$A$165:$I$185,9,0)</f>
        <v>1.9230769230769227</v>
      </c>
      <c r="DN73" s="12">
        <f t="array" ref="DN73">INDEX(DM:DM,MIN(IF(ISNUMBER(DM73:DM269),ROW(DM73:DM269),"")))</f>
        <v>1.9230769230769227</v>
      </c>
      <c r="DO73" s="12">
        <f>IF('Données projet'!$A$166&gt;35,DO72+DN73-DW72,IF(A73&lt;'Données projet'!$A$166,$DL$205^A73,IF(A73='Données projet'!$A$166,'Données projet'!$B$166,DO72+DN73-DW72)))</f>
        <v>96.794871794871796</v>
      </c>
      <c r="DP73" s="17">
        <f>DO73*VLOOKUP('Données projet'!$B$14,Paramètres!$A$1:$I$89,3,0)*VLOOKUP('Données projet'!$B$14,Paramètres!$A$1:$I$89,5,0)</f>
        <v>101.17</v>
      </c>
      <c r="DQ73" s="13">
        <f t="shared" si="97"/>
        <v>27.240544933019216</v>
      </c>
      <c r="DR73" s="20">
        <f t="shared" si="70"/>
        <v>223.64836575834181</v>
      </c>
      <c r="DS73" s="59">
        <f t="shared" si="71"/>
        <v>516.98169909167518</v>
      </c>
      <c r="DT73" s="59">
        <f ca="1">AVERAGE(OFFSET($DS$3,0,0,'Données projet'!$E$14+1,1))-AVERAGE(OFFSET($H$3,0,0,'Données projet'!$E$14+1,1))</f>
        <v>110.10595934547638</v>
      </c>
      <c r="DU73" s="59">
        <f t="shared" si="98"/>
        <v>131.10971921141493</v>
      </c>
      <c r="DV73" s="15">
        <f>IF(ISNA(VLOOKUP(A73,'Données projet'!$A$165:$I$185,3,0)),0,VLOOKUP(A73,'Données projet'!$A$165:$I$185,3,0))</f>
        <v>9</v>
      </c>
      <c r="DW73" s="15">
        <f>IF(ISNA(VLOOKUP(A73,'Données projet'!$A$165:$I$185,4,0)),0,VLOOKUP(A73,'Données projet'!$A$165:$I$185,4,0))</f>
        <v>5.7692307692307692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0.215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10.567684860183844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10.567684860183844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6.7437500000000021</v>
      </c>
      <c r="EJ73" s="12">
        <f>IF('Données projet'!$A$192&gt;35,EJ72+EI73-ER72,IF(A73&lt;'Données projet'!$A$192,$EG$205^A73,IF(A73='Données projet'!$A$192,'Données projet'!$B$192,EJ72+EI73-ER72)))</f>
        <v>155.31375</v>
      </c>
      <c r="EK73" s="17">
        <f>EJ73*VLOOKUP('Données projet'!$B$15,Paramètres!$A$1:$I$89,3,0)*VLOOKUP('Données projet'!$B$15,Paramètres!$A$1:$I$89,5,0)</f>
        <v>157.48814250000001</v>
      </c>
      <c r="EL73" s="13">
        <f t="shared" si="99"/>
        <v>40.275438230597821</v>
      </c>
      <c r="EM73" s="20">
        <f t="shared" si="73"/>
        <v>344.43823643912452</v>
      </c>
      <c r="EN73" s="59">
        <f t="shared" si="74"/>
        <v>637.77156977245784</v>
      </c>
      <c r="EO73" s="59">
        <f ca="1">AVERAGE(OFFSET($EN$3,0,0,'Données projet'!$E$15+1,1))-AVERAGE(OFFSET($H$3,0,0,'Données projet'!$E$15+1,1))</f>
        <v>420.38735944595965</v>
      </c>
      <c r="EP73" s="59">
        <f t="shared" si="100"/>
        <v>200.0823542414671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36.984023411558915</v>
      </c>
      <c r="EX73" s="21">
        <f>EXP(-LN(2)/2)*EX72+(1-EXP(-LN(2)/2))/(LN(2)/2)*ER73*EU73*VLOOKUP('Données projet'!$B$15,Paramètres!$A$1:$I$89,3,0)*0.475*44/12</f>
        <v>6.1482238758661021</v>
      </c>
      <c r="EY73" s="22">
        <f t="shared" si="75"/>
        <v>43.132247287425017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9.65625</v>
      </c>
      <c r="FE73" s="12">
        <f>IF('Données projet'!$A$218&gt;35,FE72+FD73-FM72,IF(A73&lt;'Données projet'!$A$218,$FB$205^A73,IF(A73='Données projet'!$A$218,'Données projet'!$B$218,FE72+FD73-FM72)))</f>
        <v>225.47874999999996</v>
      </c>
      <c r="FF73" s="17">
        <f>FE73*VLOOKUP('Données projet'!$B$16,Paramètres!$A$1:$I$89,3,0)*VLOOKUP('Données projet'!$B$16,Paramètres!$A$1:$I$89,5,0)</f>
        <v>242.70532649999993</v>
      </c>
      <c r="FG73" s="13">
        <f t="shared" si="101"/>
        <v>59.021214391355279</v>
      </c>
      <c r="FH73" s="20">
        <f t="shared" si="76"/>
        <v>525.50705871911032</v>
      </c>
      <c r="FI73" s="59">
        <f t="shared" si="77"/>
        <v>818.84039205244358</v>
      </c>
      <c r="FJ73" s="59">
        <f ca="1">AVERAGE(OFFSET($FI$3,0,0,'Données projet'!$E$16+1,1))-AVERAGE(OFFSET($H$3,0,0,'Données projet'!$E$16+1,1))</f>
        <v>415.8741608506952</v>
      </c>
      <c r="FK73" s="59">
        <f t="shared" si="102"/>
        <v>259.15848913719356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18.76936366071962</v>
      </c>
      <c r="FR73" s="21">
        <f>EXP(-LN(2)/25)*FR72+(1-EXP(-LN(2)/25))/(LN(2)/25)*Calculateur!FM73*Calculateur!FO73*VLOOKUP('Données projet'!$B$16,Paramètres!$A$1:$I$89,3,0)*0.475*44/12</f>
        <v>30.395544683612275</v>
      </c>
      <c r="FS73" s="21">
        <f>EXP(-LN(2)/2)*FS72+(1-EXP(-LN(2)/2))/(LN(2)/2)*FM73*FP73*VLOOKUP('Données projet'!$B$16,Paramètres!$A$1:$I$89,3,0)*0.475*44/12</f>
        <v>1.6321777477522625</v>
      </c>
      <c r="FT73" s="22">
        <f t="shared" si="78"/>
        <v>50.797086092084157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9.65625</v>
      </c>
      <c r="FZ73" s="12">
        <f>IF('Données projet'!$A$244&gt;35,FZ72+FY73-GH72,IF(A73&lt;'Données projet'!$A$244,$FW$205^A73,IF(A73='Données projet'!$A$244,'Données projet'!$B$244,FZ72+FY73-GH72)))</f>
        <v>225.47874999999996</v>
      </c>
      <c r="GA73" s="17">
        <f>FZ73*VLOOKUP('Données projet'!$B$17,Paramètres!$A$1:$I$89,3,0)*VLOOKUP('Données projet'!$B$17,Paramètres!$A$1:$I$89,5,0)</f>
        <v>193.46076749999997</v>
      </c>
      <c r="GB73" s="13">
        <f t="shared" si="103"/>
        <v>48.304273752940254</v>
      </c>
      <c r="GC73" s="20">
        <f t="shared" si="79"/>
        <v>421.07411351553748</v>
      </c>
      <c r="GD73" s="59">
        <f t="shared" si="80"/>
        <v>714.40744684887079</v>
      </c>
      <c r="GE73" s="59">
        <f ca="1">AVERAGE(OFFSET($GD$3,0,0,'Données projet'!$E$17+1,1))-AVERAGE(OFFSET($H$3,0,0,'Données projet'!$E$17+1,1))</f>
        <v>322.39807389980882</v>
      </c>
      <c r="GF73" s="59">
        <f t="shared" si="104"/>
        <v>202.59410055732792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18.440409528479172</v>
      </c>
      <c r="GM73" s="21">
        <f>EXP(-LN(2)/25)*GM72+(1-EXP(-LN(2)/25))/(LN(2)/25)*Calculateur!GH73*Calculateur!GJ73*VLOOKUP('Données projet'!$B$17,Paramètres!$A$1:$I$89,3,0)*0.475*44/12</f>
        <v>29.862828699942625</v>
      </c>
      <c r="GN73" s="21">
        <f>EXP(-LN(2)/2)*GN72+(1-EXP(-LN(2)/2))/(LN(2)/2)*GH73*GK73*VLOOKUP('Données projet'!$B$17,Paramètres!$A$1:$I$89,3,0)*0.475*44/12</f>
        <v>1.3010112482083256</v>
      </c>
      <c r="GO73" s="21">
        <f t="shared" si="81"/>
        <v>49.604249476630123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26.028599999999951</v>
      </c>
      <c r="D74" s="11">
        <f t="shared" si="86"/>
        <v>8.2081332857139664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264.28355518796707</v>
      </c>
      <c r="H74" s="67">
        <f t="shared" si="56"/>
        <v>352.96231047261836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11.327500000000001</v>
      </c>
      <c r="N74" s="13">
        <f>IF('Données projet'!$A$36&gt;35,N73+M74-V73,IF(A74&lt;'Données projet'!$A$36,$K$205^A74,IF(A74='Données projet'!$A$36,'Données projet'!$B$36,N73+M74-V73)))</f>
        <v>350.19999999999993</v>
      </c>
      <c r="O74" s="13">
        <f>N74*VLOOKUP('Données projet'!$B$9,Paramètres!$A$1:$I$89,3,0)*VLOOKUP('Données projet'!$B$9,Paramètres!$A$1:$I$89,5,0)</f>
        <v>163.89359999999996</v>
      </c>
      <c r="P74" s="13">
        <f t="shared" si="87"/>
        <v>41.71949506642347</v>
      </c>
      <c r="Q74" s="20">
        <f t="shared" si="54"/>
        <v>358.10947390735413</v>
      </c>
      <c r="R74" s="59">
        <f t="shared" si="55"/>
        <v>651.44280724068744</v>
      </c>
      <c r="S74" s="59">
        <f ca="1">AVERAGE(OFFSET($R$3,0,0,'Données projet'!$E$9+1,1))-AVERAGE(OFFSET($H$3,0,0,'Données projet'!$E$9+1,1))</f>
        <v>215.77907571824977</v>
      </c>
      <c r="T74" s="59">
        <f t="shared" si="88"/>
        <v>174.69390149594869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26.04700445212173</v>
      </c>
      <c r="AA74" s="21">
        <f>EXP(-LN(2)/25)*AA73+(1-EXP(-LN(2)/25))/(LN(2)/25)*Calculateur!V74*Calculateur!X74*VLOOKUP('Données projet'!$B$9,Paramètres!$A$1:$I$89,3,0)*0.475*44/12</f>
        <v>13.640519613884527</v>
      </c>
      <c r="AB74" s="21">
        <f>EXP(-LN(2)/2)*AB73+(1-EXP(-LN(2)/2))/(LN(2)/2)*V74*Y74*VLOOKUP('Données projet'!$B$9,Paramètres!$A$1:$I$89,3,0)*0.475*44/12</f>
        <v>0.78559155485209486</v>
      </c>
      <c r="AC74" s="22">
        <f t="shared" si="57"/>
        <v>40.473115620858351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-1.0197709343628959E-13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171.701352621833</v>
      </c>
      <c r="AO74" s="59">
        <f t="shared" si="90"/>
        <v>195.58435749168586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85.534200375352867</v>
      </c>
      <c r="AV74" s="21">
        <f>EXP(-LN(2)/25)*AV73+(1-EXP(-LN(2)/25))/(LN(2)/25)*Calculateur!AQ74*Calculateur!AS74*VLOOKUP('Données projet'!$B$10,Paramètres!$A$1:$I$89,3,0)*0.475*44/12</f>
        <v>29.124812171653122</v>
      </c>
      <c r="AW74" s="21">
        <f>EXP(-LN(2)/2)*AW73+(1-EXP(-LN(2)/2))/(LN(2)/2)*AQ74*AT74*VLOOKUP('Données projet'!$B$10,Paramètres!$A$1:$I$89,3,0)*0.475*44/12</f>
        <v>1.9763159994099815</v>
      </c>
      <c r="AX74" s="21">
        <f t="shared" si="60"/>
        <v>116.63532854641596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15</v>
      </c>
      <c r="BD74" s="12">
        <f>IF('Données projet'!$A$88&gt;35,BD73+BC74-BL73,IF(A74&lt;'Données projet'!$A$88,$BA$205^A74,IF(A74='Données projet'!$A$88,'Données projet'!$B$88,BD73+BC74-BL73)))</f>
        <v>620.99999999999955</v>
      </c>
      <c r="BE74" s="13">
        <f>BD74*VLOOKUP('Données projet'!$B$11,Paramètres!$A$1:$I$89,3,0)*VLOOKUP('Données projet'!$B$11,Paramètres!$A$1:$I$89,5,0)</f>
        <v>322.91999999999979</v>
      </c>
      <c r="BF74" s="13">
        <f t="shared" si="91"/>
        <v>75.960594879408688</v>
      </c>
      <c r="BG74" s="20">
        <f t="shared" si="61"/>
        <v>694.71703608163637</v>
      </c>
      <c r="BH74" s="59">
        <f t="shared" si="62"/>
        <v>988.05036941496974</v>
      </c>
      <c r="BI74" s="59">
        <f ca="1">AVERAGE(OFFSET($BH$3,0,0,'Données projet'!$E$11+1,1))-AVERAGE(OFFSET($H$3,0,0,'Données projet'!$E$11+1,1))</f>
        <v>348.29124901999882</v>
      </c>
      <c r="BJ74" s="59">
        <f t="shared" si="92"/>
        <v>284.30034973939053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57.506718709040875</v>
      </c>
      <c r="BQ74" s="21">
        <f>EXP(-LN(2)/25)*BQ73+(1-EXP(-LN(2)/25))/(LN(2)/25)*Calculateur!BL74*Calculateur!BN74*VLOOKUP('Données projet'!$B$11,Paramètres!$A$1:$I$89,3,0)*0.475*44/12</f>
        <v>27.857910879984559</v>
      </c>
      <c r="BR74" s="21">
        <f>EXP(-LN(2)/2)*BR73+(1-EXP(-LN(2)/2))/(LN(2)/2)*BL74*BO74*VLOOKUP('Données projet'!$B$11,Paramètres!$A$1:$I$89,3,0)*0.475*44/12</f>
        <v>4.2237020843012232</v>
      </c>
      <c r="BS74" s="22">
        <f t="shared" si="63"/>
        <v>89.588331673326664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6.8386666666666658</v>
      </c>
      <c r="BY74" s="12">
        <f>IF('Données projet'!$A$114&gt;35,BY73+BX74-CG73,IF(A74&lt;'Données projet'!$A$114,$BV$205^A74,IF(A74='Données projet'!$A$114,'Données projet'!$B$114,BY73+BX74-CG73)))</f>
        <v>247.17533333333313</v>
      </c>
      <c r="BZ74" s="13">
        <f>BY74*VLOOKUP('Données projet'!$B$12,Paramètres!$A$1:$I$89,3,0)*VLOOKUP('Données projet'!$B$12,Paramètres!$A$1:$I$89,5,0)</f>
        <v>147.81084933333324</v>
      </c>
      <c r="CA74" s="13">
        <f t="shared" si="93"/>
        <v>38.080668398280899</v>
      </c>
      <c r="CB74" s="20">
        <f t="shared" si="64"/>
        <v>323.76106004922798</v>
      </c>
      <c r="CC74" s="59">
        <f t="shared" si="65"/>
        <v>617.09439338256129</v>
      </c>
      <c r="CD74" s="59">
        <f ca="1">AVERAGE(OFFSET($CC$3,0,0,'Données projet'!$E$12+1,1))-AVERAGE(OFFSET($H$3,0,0,'Données projet'!$E$12+1,1))</f>
        <v>185.82627135915504</v>
      </c>
      <c r="CE74" s="59">
        <f t="shared" si="94"/>
        <v>155.46126452522037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16.358370252043049</v>
      </c>
      <c r="CL74" s="21">
        <f>EXP(-LN(2)/25)*CL73+(1-EXP(-LN(2)/25))/(LN(2)/25)*Calculateur!CG74*Calculateur!CI74*VLOOKUP('Données projet'!$B$12,Paramètres!$A$1:$I$89,3,0)*0.475*44/12</f>
        <v>8.5233043860114091</v>
      </c>
      <c r="CM74" s="21">
        <f>EXP(-LN(2)/2)*CM73+(1-EXP(-LN(2)/2))/(LN(2)/2)*CG74*CJ74*VLOOKUP('Données projet'!$B$12,Paramètres!$A$1:$I$89,3,0)*0.475*44/12</f>
        <v>0.21771574955406089</v>
      </c>
      <c r="CN74" s="22">
        <f t="shared" si="66"/>
        <v>25.099390387608516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1.6384615384615402</v>
      </c>
      <c r="CT74" s="12">
        <f>IF('Données projet'!$A$140&gt;35,CT73+CS74-DB73,IF(A74&lt;'Données projet'!$A$140,$CQ$205^A74,IF(A74='Données projet'!$A$140,'Données projet'!$B$140,CT73+CS74-DB73)))</f>
        <v>92.023076923076829</v>
      </c>
      <c r="CU74" s="17">
        <f>CT74*VLOOKUP('Données projet'!$B$13,Paramètres!$A$1:$I$89,3,0)*VLOOKUP('Données projet'!$B$13,Paramètres!$A$1:$I$89,5,0)</f>
        <v>106.0105846153845</v>
      </c>
      <c r="CV74" s="13">
        <f t="shared" si="95"/>
        <v>28.389035904002448</v>
      </c>
      <c r="CW74" s="20">
        <f t="shared" si="67"/>
        <v>234.07933907126559</v>
      </c>
      <c r="CX74" s="59">
        <f t="shared" si="68"/>
        <v>527.41267240459888</v>
      </c>
      <c r="CY74" s="59">
        <f ca="1">AVERAGE(OFFSET($CX$3,0,0,'Données projet'!$E$13+1,1))-AVERAGE(OFFSET($H$3,0,0,'Données projet'!$E$13+1,1))</f>
        <v>150.78964413039063</v>
      </c>
      <c r="CZ74" s="59">
        <f t="shared" si="96"/>
        <v>131.90332435966184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5.6495764063204694</v>
      </c>
      <c r="DG74" s="21">
        <f>EXP(-LN(2)/25)*DG73+(1-EXP(-LN(2)/25))/(LN(2)/25)*Calculateur!DB74*Calculateur!DD74*VLOOKUP('Données projet'!$B$13,Paramètres!$A$1:$I$89,3,0)*0.475*44/12</f>
        <v>3.3899453357964791</v>
      </c>
      <c r="DH74" s="21">
        <f>EXP(-LN(2)/2)*DH73+(1-EXP(-LN(2)/2))/(LN(2)/2)*DB74*DE74*VLOOKUP('Données projet'!$B$13,Paramètres!$A$1:$I$89,3,0)*0.475*44/12</f>
        <v>1.2465472024492299</v>
      </c>
      <c r="DI74" s="22">
        <f t="shared" si="69"/>
        <v>10.286068944566178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1.7948717948717927</v>
      </c>
      <c r="DO74" s="12">
        <f>IF('Données projet'!$A$166&gt;35,DO73+DN74-DW73,IF(A74&lt;'Données projet'!$A$166,$DL$205^A74,IF(A74='Données projet'!$A$166,'Données projet'!$B$166,DO73+DN74-DW73)))</f>
        <v>92.820512820512818</v>
      </c>
      <c r="DP74" s="17">
        <f>DO74*VLOOKUP('Données projet'!$B$14,Paramètres!$A$1:$I$89,3,0)*VLOOKUP('Données projet'!$B$14,Paramètres!$A$1:$I$89,5,0)</f>
        <v>97.016000000000005</v>
      </c>
      <c r="DQ74" s="13">
        <f t="shared" si="97"/>
        <v>26.249852160479215</v>
      </c>
      <c r="DR74" s="20">
        <f t="shared" si="70"/>
        <v>214.68802584616799</v>
      </c>
      <c r="DS74" s="59">
        <f t="shared" si="71"/>
        <v>508.0213591795013</v>
      </c>
      <c r="DT74" s="59">
        <f ca="1">AVERAGE(OFFSET($DS$3,0,0,'Données projet'!$E$14+1,1))-AVERAGE(OFFSET($H$3,0,0,'Données projet'!$E$14+1,1))</f>
        <v>110.10595934547638</v>
      </c>
      <c r="DU74" s="59">
        <f t="shared" si="98"/>
        <v>131.10971921141493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10.278710961951722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10.278710961951722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6.7437500000000021</v>
      </c>
      <c r="EJ74" s="12">
        <f>IF('Données projet'!$A$192&gt;35,EJ73+EI74-ER73,IF(A74&lt;'Données projet'!$A$192,$EG$205^A74,IF(A74='Données projet'!$A$192,'Données projet'!$B$192,EJ73+EI74-ER73)))</f>
        <v>162.0575</v>
      </c>
      <c r="EK74" s="17">
        <f>EJ74*VLOOKUP('Données projet'!$B$15,Paramètres!$A$1:$I$89,3,0)*VLOOKUP('Données projet'!$B$15,Paramètres!$A$1:$I$89,5,0)</f>
        <v>164.32630500000002</v>
      </c>
      <c r="EL74" s="13">
        <f t="shared" si="99"/>
        <v>41.816805184010924</v>
      </c>
      <c r="EM74" s="20">
        <f t="shared" si="73"/>
        <v>359.03258357048571</v>
      </c>
      <c r="EN74" s="59">
        <f t="shared" si="74"/>
        <v>652.36591690381897</v>
      </c>
      <c r="EO74" s="59">
        <f ca="1">AVERAGE(OFFSET($EN$3,0,0,'Données projet'!$E$15+1,1))-AVERAGE(OFFSET($H$3,0,0,'Données projet'!$E$15+1,1))</f>
        <v>420.38735944595965</v>
      </c>
      <c r="EP74" s="59">
        <f t="shared" si="100"/>
        <v>200.0823542414671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35.972693346464574</v>
      </c>
      <c r="EX74" s="21">
        <f>EXP(-LN(2)/2)*EX73+(1-EXP(-LN(2)/2))/(LN(2)/2)*ER74*EU74*VLOOKUP('Données projet'!$B$15,Paramètres!$A$1:$I$89,3,0)*0.475*44/12</f>
        <v>4.3474507948779593</v>
      </c>
      <c r="EY74" s="22">
        <f t="shared" si="75"/>
        <v>40.320144141342531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9.65625</v>
      </c>
      <c r="FE74" s="12">
        <f>IF('Données projet'!$A$218&gt;35,FE73+FD74-FM73,IF(A74&lt;'Données projet'!$A$218,$FB$205^A74,IF(A74='Données projet'!$A$218,'Données projet'!$B$218,FE73+FD74-FM73)))</f>
        <v>235.13499999999996</v>
      </c>
      <c r="FF74" s="17">
        <f>FE74*VLOOKUP('Données projet'!$B$16,Paramètres!$A$1:$I$89,3,0)*VLOOKUP('Données projet'!$B$16,Paramètres!$A$1:$I$89,5,0)</f>
        <v>253.09931399999994</v>
      </c>
      <c r="FG74" s="13">
        <f t="shared" si="101"/>
        <v>61.249135641102818</v>
      </c>
      <c r="FH74" s="20">
        <f t="shared" si="76"/>
        <v>547.49021645825394</v>
      </c>
      <c r="FI74" s="59">
        <f t="shared" si="77"/>
        <v>840.82354979158731</v>
      </c>
      <c r="FJ74" s="59">
        <f ca="1">AVERAGE(OFFSET($FI$3,0,0,'Données projet'!$E$16+1,1))-AVERAGE(OFFSET($H$3,0,0,'Données projet'!$E$16+1,1))</f>
        <v>415.8741608506952</v>
      </c>
      <c r="FK74" s="59">
        <f t="shared" si="102"/>
        <v>259.15848913719356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18.401307887514328</v>
      </c>
      <c r="FR74" s="21">
        <f>EXP(-LN(2)/25)*FR73+(1-EXP(-LN(2)/25))/(LN(2)/25)*Calculateur!FM74*Calculateur!FO74*VLOOKUP('Données projet'!$B$16,Paramètres!$A$1:$I$89,3,0)*0.475*44/12</f>
        <v>29.564376915806672</v>
      </c>
      <c r="FS74" s="21">
        <f>EXP(-LN(2)/2)*FS73+(1-EXP(-LN(2)/2))/(LN(2)/2)*FM74*FP74*VLOOKUP('Données projet'!$B$16,Paramètres!$A$1:$I$89,3,0)*0.475*44/12</f>
        <v>1.154123953537411</v>
      </c>
      <c r="FT74" s="22">
        <f t="shared" si="78"/>
        <v>49.119808756858404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9.65625</v>
      </c>
      <c r="FZ74" s="12">
        <f>IF('Données projet'!$A$244&gt;35,FZ73+FY74-GH73,IF(A74&lt;'Données projet'!$A$244,$FW$205^A74,IF(A74='Données projet'!$A$244,'Données projet'!$B$244,FZ73+FY74-GH73)))</f>
        <v>235.13499999999996</v>
      </c>
      <c r="GA74" s="17">
        <f>FZ74*VLOOKUP('Données projet'!$B$17,Paramètres!$A$1:$I$89,3,0)*VLOOKUP('Données projet'!$B$17,Paramètres!$A$1:$I$89,5,0)</f>
        <v>201.74582999999998</v>
      </c>
      <c r="GB74" s="13">
        <f t="shared" si="103"/>
        <v>50.127654024891427</v>
      </c>
      <c r="GC74" s="20">
        <f t="shared" si="79"/>
        <v>438.67965134335253</v>
      </c>
      <c r="GD74" s="59">
        <f t="shared" si="80"/>
        <v>732.01298467668585</v>
      </c>
      <c r="GE74" s="59">
        <f ca="1">AVERAGE(OFFSET($GD$3,0,0,'Données projet'!$E$17+1,1))-AVERAGE(OFFSET($H$3,0,0,'Données projet'!$E$17+1,1))</f>
        <v>322.39807389980882</v>
      </c>
      <c r="GF74" s="59">
        <f t="shared" si="104"/>
        <v>202.59410055732792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18.078804345164905</v>
      </c>
      <c r="GM74" s="21">
        <f>EXP(-LN(2)/25)*GM73+(1-EXP(-LN(2)/25))/(LN(2)/25)*Calculateur!GH74*Calculateur!GJ74*VLOOKUP('Données projet'!$B$17,Paramètres!$A$1:$I$89,3,0)*0.475*44/12</f>
        <v>29.046228078724784</v>
      </c>
      <c r="GN74" s="21">
        <f>EXP(-LN(2)/2)*GN73+(1-EXP(-LN(2)/2))/(LN(2)/2)*GH74*GK74*VLOOKUP('Données projet'!$B$17,Paramètres!$A$1:$I$89,3,0)*0.475*44/12</f>
        <v>0.91995387600808165</v>
      </c>
      <c r="GO74" s="21">
        <f t="shared" si="81"/>
        <v>48.044986299897772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26.395199999999949</v>
      </c>
      <c r="D75" s="11">
        <f t="shared" si="86"/>
        <v>8.3102007832524301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267.90133937949207</v>
      </c>
      <c r="H75" s="67">
        <f t="shared" si="56"/>
        <v>353.77857303083118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11.327500000000001</v>
      </c>
      <c r="N75" s="13">
        <f>IF('Données projet'!$A$36&gt;35,N74+M75-V74,IF(A75&lt;'Données projet'!$A$36,$K$205^A75,IF(A75='Données projet'!$A$36,'Données projet'!$B$36,N74+M75-V74)))</f>
        <v>361.52749999999992</v>
      </c>
      <c r="O75" s="13">
        <f>N75*VLOOKUP('Données projet'!$B$9,Paramètres!$A$1:$I$89,3,0)*VLOOKUP('Données projet'!$B$9,Paramètres!$A$1:$I$89,5,0)</f>
        <v>169.19486999999998</v>
      </c>
      <c r="P75" s="13">
        <f t="shared" si="87"/>
        <v>42.909651456861525</v>
      </c>
      <c r="Q75" s="20">
        <f t="shared" si="54"/>
        <v>369.41537487070042</v>
      </c>
      <c r="R75" s="59">
        <f t="shared" si="55"/>
        <v>662.74870820403373</v>
      </c>
      <c r="S75" s="59">
        <f ca="1">AVERAGE(OFFSET($R$3,0,0,'Données projet'!$E$9+1,1))-AVERAGE(OFFSET($H$3,0,0,'Données projet'!$E$9+1,1))</f>
        <v>215.77907571824977</v>
      </c>
      <c r="T75" s="59">
        <f t="shared" si="88"/>
        <v>174.69390149594869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25.536238581919616</v>
      </c>
      <c r="AA75" s="21">
        <f>EXP(-LN(2)/25)*AA74+(1-EXP(-LN(2)/25))/(LN(2)/25)*Calculateur!V75*Calculateur!X75*VLOOKUP('Données projet'!$B$9,Paramètres!$A$1:$I$89,3,0)*0.475*44/12</f>
        <v>13.267518887719104</v>
      </c>
      <c r="AB75" s="21">
        <f>EXP(-LN(2)/2)*AB74+(1-EXP(-LN(2)/2))/(LN(2)/2)*V75*Y75*VLOOKUP('Données projet'!$B$9,Paramètres!$A$1:$I$89,3,0)*0.475*44/12</f>
        <v>0.55549711567879989</v>
      </c>
      <c r="AC75" s="22">
        <f t="shared" si="57"/>
        <v>39.359254585317515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-1.0197709343628959E-13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171.701352621833</v>
      </c>
      <c r="AO75" s="59">
        <f t="shared" si="90"/>
        <v>195.58435749168586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83.856926876703</v>
      </c>
      <c r="AV75" s="21">
        <f>EXP(-LN(2)/25)*AV74+(1-EXP(-LN(2)/25))/(LN(2)/25)*Calculateur!AQ75*Calculateur!AS75*VLOOKUP('Données projet'!$B$10,Paramètres!$A$1:$I$89,3,0)*0.475*44/12</f>
        <v>28.32839265121196</v>
      </c>
      <c r="AW75" s="21">
        <f>EXP(-LN(2)/2)*AW74+(1-EXP(-LN(2)/2))/(LN(2)/2)*AQ75*AT75*VLOOKUP('Données projet'!$B$10,Paramètres!$A$1:$I$89,3,0)*0.475*44/12</f>
        <v>1.397466444950267</v>
      </c>
      <c r="AX75" s="21">
        <f t="shared" si="60"/>
        <v>113.58278597286522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15</v>
      </c>
      <c r="BD75" s="12">
        <f>IF('Données projet'!$A$88&gt;35,BD74+BC75-BL74,IF(A75&lt;'Données projet'!$A$88,$BA$205^A75,IF(A75='Données projet'!$A$88,'Données projet'!$B$88,BD74+BC75-BL74)))</f>
        <v>635.99999999999955</v>
      </c>
      <c r="BE75" s="13">
        <f>BD75*VLOOKUP('Données projet'!$B$11,Paramètres!$A$1:$I$89,3,0)*VLOOKUP('Données projet'!$B$11,Paramètres!$A$1:$I$89,5,0)</f>
        <v>330.7199999999998</v>
      </c>
      <c r="BF75" s="13">
        <f t="shared" si="91"/>
        <v>77.579562601700573</v>
      </c>
      <c r="BG75" s="20">
        <f t="shared" si="61"/>
        <v>711.12173819796135</v>
      </c>
      <c r="BH75" s="59">
        <f t="shared" si="62"/>
        <v>1004.4550715312946</v>
      </c>
      <c r="BI75" s="59">
        <f ca="1">AVERAGE(OFFSET($BH$3,0,0,'Données projet'!$E$11+1,1))-AVERAGE(OFFSET($H$3,0,0,'Données projet'!$E$11+1,1))</f>
        <v>348.29124901999882</v>
      </c>
      <c r="BJ75" s="59">
        <f t="shared" si="92"/>
        <v>284.30034973939053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56.379047030791568</v>
      </c>
      <c r="BQ75" s="21">
        <f>EXP(-LN(2)/25)*BQ74+(1-EXP(-LN(2)/25))/(LN(2)/25)*Calculateur!BL75*Calculateur!BN75*VLOOKUP('Données projet'!$B$11,Paramètres!$A$1:$I$89,3,0)*0.475*44/12</f>
        <v>27.096134841987517</v>
      </c>
      <c r="BR75" s="21">
        <f>EXP(-LN(2)/2)*BR74+(1-EXP(-LN(2)/2))/(LN(2)/2)*BL75*BO75*VLOOKUP('Données projet'!$B$11,Paramètres!$A$1:$I$89,3,0)*0.475*44/12</f>
        <v>2.98660838552115</v>
      </c>
      <c r="BS75" s="22">
        <f t="shared" si="63"/>
        <v>86.46179025830024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6.8386666666666658</v>
      </c>
      <c r="BY75" s="12">
        <f>IF('Données projet'!$A$114&gt;35,BY74+BX75-CG74,IF(A75&lt;'Données projet'!$A$114,$BV$205^A75,IF(A75='Données projet'!$A$114,'Données projet'!$B$114,BY74+BX75-CG74)))</f>
        <v>254.01399999999978</v>
      </c>
      <c r="BZ75" s="13">
        <f>BY75*VLOOKUP('Données projet'!$B$12,Paramètres!$A$1:$I$89,3,0)*VLOOKUP('Données projet'!$B$12,Paramètres!$A$1:$I$89,5,0)</f>
        <v>151.90037199999989</v>
      </c>
      <c r="CA75" s="13">
        <f t="shared" si="93"/>
        <v>39.010135034177218</v>
      </c>
      <c r="CB75" s="20">
        <f t="shared" si="64"/>
        <v>332.50246641785844</v>
      </c>
      <c r="CC75" s="59">
        <f t="shared" si="65"/>
        <v>625.83579975119176</v>
      </c>
      <c r="CD75" s="59">
        <f ca="1">AVERAGE(OFFSET($CC$3,0,0,'Données projet'!$E$12+1,1))-AVERAGE(OFFSET($H$3,0,0,'Données projet'!$E$12+1,1))</f>
        <v>185.82627135915504</v>
      </c>
      <c r="CE75" s="59">
        <f t="shared" si="94"/>
        <v>155.46126452522037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16.037592589021131</v>
      </c>
      <c r="CL75" s="21">
        <f>EXP(-LN(2)/25)*CL74+(1-EXP(-LN(2)/25))/(LN(2)/25)*Calculateur!CG75*Calculateur!CI75*VLOOKUP('Données projet'!$B$12,Paramètres!$A$1:$I$89,3,0)*0.475*44/12</f>
        <v>8.2902341793548295</v>
      </c>
      <c r="CM75" s="21">
        <f>EXP(-LN(2)/2)*CM74+(1-EXP(-LN(2)/2))/(LN(2)/2)*CG75*CJ75*VLOOKUP('Données projet'!$B$12,Paramètres!$A$1:$I$89,3,0)*0.475*44/12</f>
        <v>0.15394828288078852</v>
      </c>
      <c r="CN75" s="22">
        <f t="shared" si="66"/>
        <v>24.481775051256747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1.6384615384615402</v>
      </c>
      <c r="CT75" s="12">
        <f>IF('Données projet'!$A$140&gt;35,CT74+CS75-DB74,IF(A75&lt;'Données projet'!$A$140,$CQ$205^A75,IF(A75='Données projet'!$A$140,'Données projet'!$B$140,CT74+CS75-DB74)))</f>
        <v>93.66153846153837</v>
      </c>
      <c r="CU75" s="17">
        <f>CT75*VLOOKUP('Données projet'!$B$13,Paramètres!$A$1:$I$89,3,0)*VLOOKUP('Données projet'!$B$13,Paramètres!$A$1:$I$89,5,0)</f>
        <v>107.89809230769221</v>
      </c>
      <c r="CV75" s="13">
        <f t="shared" si="95"/>
        <v>28.835204028899486</v>
      </c>
      <c r="CW75" s="20">
        <f t="shared" si="67"/>
        <v>238.14382445289721</v>
      </c>
      <c r="CX75" s="59">
        <f t="shared" si="68"/>
        <v>531.47715778623046</v>
      </c>
      <c r="CY75" s="59">
        <f ca="1">AVERAGE(OFFSET($CX$3,0,0,'Données projet'!$E$13+1,1))-AVERAGE(OFFSET($H$3,0,0,'Données projet'!$E$13+1,1))</f>
        <v>150.78964413039063</v>
      </c>
      <c r="CZ75" s="59">
        <f t="shared" si="96"/>
        <v>131.90332435966184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5.5387916588938788</v>
      </c>
      <c r="DG75" s="21">
        <f>EXP(-LN(2)/25)*DG74+(1-EXP(-LN(2)/25))/(LN(2)/25)*Calculateur!DB75*Calculateur!DD75*VLOOKUP('Données projet'!$B$13,Paramètres!$A$1:$I$89,3,0)*0.475*44/12</f>
        <v>3.297247102319647</v>
      </c>
      <c r="DH75" s="21">
        <f>EXP(-LN(2)/2)*DH74+(1-EXP(-LN(2)/2))/(LN(2)/2)*DB75*DE75*VLOOKUP('Données projet'!$B$13,Paramètres!$A$1:$I$89,3,0)*0.475*44/12</f>
        <v>0.88144197992097062</v>
      </c>
      <c r="DI75" s="22">
        <f t="shared" si="69"/>
        <v>9.7174807411344961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1.7948717948717927</v>
      </c>
      <c r="DO75" s="12">
        <f>IF('Données projet'!$A$166&gt;35,DO74+DN75-DW74,IF(A75&lt;'Données projet'!$A$166,$DL$205^A75,IF(A75='Données projet'!$A$166,'Données projet'!$B$166,DO74+DN75-DW74)))</f>
        <v>94.615384615384613</v>
      </c>
      <c r="DP75" s="17">
        <f>DO75*VLOOKUP('Données projet'!$B$14,Paramètres!$A$1:$I$89,3,0)*VLOOKUP('Données projet'!$B$14,Paramètres!$A$1:$I$89,5,0)</f>
        <v>98.89200000000001</v>
      </c>
      <c r="DQ75" s="13">
        <f t="shared" si="97"/>
        <v>26.697860901418135</v>
      </c>
      <c r="DR75" s="20">
        <f t="shared" si="70"/>
        <v>218.73567440330328</v>
      </c>
      <c r="DS75" s="59">
        <f t="shared" si="71"/>
        <v>512.06900773663665</v>
      </c>
      <c r="DT75" s="59">
        <f ca="1">AVERAGE(OFFSET($DS$3,0,0,'Données projet'!$E$14+1,1))-AVERAGE(OFFSET($H$3,0,0,'Données projet'!$E$14+1,1))</f>
        <v>110.10595934547638</v>
      </c>
      <c r="DU75" s="59">
        <f t="shared" si="98"/>
        <v>131.10971921141493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9.9976390701632347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9.9976390701632347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6.7437500000000021</v>
      </c>
      <c r="EJ75" s="12">
        <f>IF('Données projet'!$A$192&gt;35,EJ74+EI75-ER74,IF(A75&lt;'Données projet'!$A$192,$EG$205^A75,IF(A75='Données projet'!$A$192,'Données projet'!$B$192,EJ74+EI75-ER74)))</f>
        <v>168.80125000000001</v>
      </c>
      <c r="EK75" s="17">
        <f>EJ75*VLOOKUP('Données projet'!$B$15,Paramètres!$A$1:$I$89,3,0)*VLOOKUP('Données projet'!$B$15,Paramètres!$A$1:$I$89,5,0)</f>
        <v>171.16446750000003</v>
      </c>
      <c r="EL75" s="13">
        <f t="shared" si="99"/>
        <v>43.350721861592397</v>
      </c>
      <c r="EM75" s="20">
        <f t="shared" si="73"/>
        <v>373.61395480477341</v>
      </c>
      <c r="EN75" s="59">
        <f t="shared" si="74"/>
        <v>666.94728813810673</v>
      </c>
      <c r="EO75" s="59">
        <f ca="1">AVERAGE(OFFSET($EN$3,0,0,'Données projet'!$E$15+1,1))-AVERAGE(OFFSET($H$3,0,0,'Données projet'!$E$15+1,1))</f>
        <v>420.38735944595965</v>
      </c>
      <c r="EP75" s="59">
        <f t="shared" si="100"/>
        <v>200.0823542414671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34.989018155183771</v>
      </c>
      <c r="EX75" s="21">
        <f>EXP(-LN(2)/2)*EX74+(1-EXP(-LN(2)/2))/(LN(2)/2)*ER75*EU75*VLOOKUP('Données projet'!$B$15,Paramètres!$A$1:$I$89,3,0)*0.475*44/12</f>
        <v>3.0741119379330515</v>
      </c>
      <c r="EY75" s="22">
        <f t="shared" si="75"/>
        <v>38.063130093116825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9.65625</v>
      </c>
      <c r="FE75" s="12">
        <f>IF('Données projet'!$A$218&gt;35,FE74+FD75-FM74,IF(A75&lt;'Données projet'!$A$218,$FB$205^A75,IF(A75='Données projet'!$A$218,'Données projet'!$B$218,FE74+FD75-FM74)))</f>
        <v>244.79124999999996</v>
      </c>
      <c r="FF75" s="17">
        <f>FE75*VLOOKUP('Données projet'!$B$16,Paramètres!$A$1:$I$89,3,0)*VLOOKUP('Données projet'!$B$16,Paramètres!$A$1:$I$89,5,0)</f>
        <v>263.49330149999992</v>
      </c>
      <c r="FG75" s="13">
        <f t="shared" si="101"/>
        <v>63.466429286235211</v>
      </c>
      <c r="FH75" s="20">
        <f t="shared" si="76"/>
        <v>569.45486445269285</v>
      </c>
      <c r="FI75" s="59">
        <f t="shared" si="77"/>
        <v>862.7881977860261</v>
      </c>
      <c r="FJ75" s="59">
        <f ca="1">AVERAGE(OFFSET($FI$3,0,0,'Données projet'!$E$16+1,1))-AVERAGE(OFFSET($H$3,0,0,'Données projet'!$E$16+1,1))</f>
        <v>415.8741608506952</v>
      </c>
      <c r="FK75" s="59">
        <f t="shared" si="102"/>
        <v>259.15848913719356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18.040469463529735</v>
      </c>
      <c r="FR75" s="21">
        <f>EXP(-LN(2)/25)*FR74+(1-EXP(-LN(2)/25))/(LN(2)/25)*Calculateur!FM75*Calculateur!FO75*VLOOKUP('Données projet'!$B$16,Paramètres!$A$1:$I$89,3,0)*0.475*44/12</f>
        <v>28.755937474320927</v>
      </c>
      <c r="FS75" s="21">
        <f>EXP(-LN(2)/2)*FS74+(1-EXP(-LN(2)/2))/(LN(2)/2)*FM75*FP75*VLOOKUP('Données projet'!$B$16,Paramètres!$A$1:$I$89,3,0)*0.475*44/12</f>
        <v>0.81608887387613127</v>
      </c>
      <c r="FT75" s="22">
        <f t="shared" si="78"/>
        <v>47.612495811726795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9.65625</v>
      </c>
      <c r="FZ75" s="12">
        <f>IF('Données projet'!$A$244&gt;35,FZ74+FY75-GH74,IF(A75&lt;'Données projet'!$A$244,$FW$205^A75,IF(A75='Données projet'!$A$244,'Données projet'!$B$244,FZ74+FY75-GH74)))</f>
        <v>244.79124999999996</v>
      </c>
      <c r="GA75" s="17">
        <f>FZ75*VLOOKUP('Données projet'!$B$17,Paramètres!$A$1:$I$89,3,0)*VLOOKUP('Données projet'!$B$17,Paramètres!$A$1:$I$89,5,0)</f>
        <v>210.03089250000002</v>
      </c>
      <c r="GB75" s="13">
        <f t="shared" si="103"/>
        <v>51.942336429000299</v>
      </c>
      <c r="GC75" s="20">
        <f t="shared" si="79"/>
        <v>456.2700403846755</v>
      </c>
      <c r="GD75" s="59">
        <f t="shared" si="80"/>
        <v>749.60337371800881</v>
      </c>
      <c r="GE75" s="59">
        <f ca="1">AVERAGE(OFFSET($GD$3,0,0,'Données projet'!$E$17+1,1))-AVERAGE(OFFSET($H$3,0,0,'Données projet'!$E$17+1,1))</f>
        <v>322.39807389980882</v>
      </c>
      <c r="GF75" s="59">
        <f t="shared" si="104"/>
        <v>202.59410055732792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17.724290018938046</v>
      </c>
      <c r="GM75" s="21">
        <f>EXP(-LN(2)/25)*GM74+(1-EXP(-LN(2)/25))/(LN(2)/25)*Calculateur!GH75*Calculateur!GJ75*VLOOKUP('Données projet'!$B$17,Paramètres!$A$1:$I$89,3,0)*0.475*44/12</f>
        <v>28.251957444437306</v>
      </c>
      <c r="GN75" s="21">
        <f>EXP(-LN(2)/2)*GN74+(1-EXP(-LN(2)/2))/(LN(2)/2)*GH75*GK75*VLOOKUP('Données projet'!$B$17,Paramètres!$A$1:$I$89,3,0)*0.475*44/12</f>
        <v>0.65050562410416291</v>
      </c>
      <c r="GO75" s="21">
        <f t="shared" si="81"/>
        <v>46.626753087479514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26.761799999999948</v>
      </c>
      <c r="D76" s="11">
        <f t="shared" si="86"/>
        <v>8.4121033993751801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271.517850802194</v>
      </c>
      <c r="H76" s="67">
        <f t="shared" si="56"/>
        <v>354.59454842057835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11.327500000000001</v>
      </c>
      <c r="N76" s="13">
        <f>IF('Données projet'!$A$36&gt;35,N75+M76-V75,IF(A76&lt;'Données projet'!$A$36,$K$205^A76,IF(A76='Données projet'!$A$36,'Données projet'!$B$36,N75+M76-V75)))</f>
        <v>372.8549999999999</v>
      </c>
      <c r="O76" s="13">
        <f>N76*VLOOKUP('Données projet'!$B$9,Paramètres!$A$1:$I$89,3,0)*VLOOKUP('Données projet'!$B$9,Paramètres!$A$1:$I$89,5,0)</f>
        <v>174.49613999999997</v>
      </c>
      <c r="P76" s="13">
        <f t="shared" si="87"/>
        <v>44.095474404040012</v>
      </c>
      <c r="Q76" s="20">
        <f t="shared" si="54"/>
        <v>380.71372842036959</v>
      </c>
      <c r="R76" s="59">
        <f t="shared" si="55"/>
        <v>674.04706175370291</v>
      </c>
      <c r="S76" s="59">
        <f ca="1">AVERAGE(OFFSET($R$3,0,0,'Données projet'!$E$9+1,1))-AVERAGE(OFFSET($H$3,0,0,'Données projet'!$E$9+1,1))</f>
        <v>215.77907571824977</v>
      </c>
      <c r="T76" s="59">
        <f t="shared" si="88"/>
        <v>174.69390149594869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25.035488518895747</v>
      </c>
      <c r="AA76" s="21">
        <f>EXP(-LN(2)/25)*AA75+(1-EXP(-LN(2)/25))/(LN(2)/25)*Calculateur!V76*Calculateur!X76*VLOOKUP('Données projet'!$B$9,Paramètres!$A$1:$I$89,3,0)*0.475*44/12</f>
        <v>12.90471788602593</v>
      </c>
      <c r="AB76" s="21">
        <f>EXP(-LN(2)/2)*AB75+(1-EXP(-LN(2)/2))/(LN(2)/2)*V76*Y76*VLOOKUP('Données projet'!$B$9,Paramètres!$A$1:$I$89,3,0)*0.475*44/12</f>
        <v>0.39279577742604743</v>
      </c>
      <c r="AC76" s="22">
        <f t="shared" si="57"/>
        <v>38.33300218234772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-1.0197709343628959E-13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171.701352621833</v>
      </c>
      <c r="AO76" s="59">
        <f t="shared" si="90"/>
        <v>195.58435749168586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82.212543688325837</v>
      </c>
      <c r="AV76" s="21">
        <f>EXP(-LN(2)/25)*AV75+(1-EXP(-LN(2)/25))/(LN(2)/25)*Calculateur!AQ76*Calculateur!AS76*VLOOKUP('Données projet'!$B$10,Paramètres!$A$1:$I$89,3,0)*0.475*44/12</f>
        <v>27.553751264439146</v>
      </c>
      <c r="AW76" s="21">
        <f>EXP(-LN(2)/2)*AW75+(1-EXP(-LN(2)/2))/(LN(2)/2)*AQ76*AT76*VLOOKUP('Données projet'!$B$10,Paramètres!$A$1:$I$89,3,0)*0.475*44/12</f>
        <v>0.98815799970499096</v>
      </c>
      <c r="AX76" s="21">
        <f t="shared" si="60"/>
        <v>110.75445295246998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15</v>
      </c>
      <c r="BD76" s="12">
        <f>IF('Données projet'!$A$88&gt;35,BD75+BC76-BL75,IF(A76&lt;'Données projet'!$A$88,$BA$205^A76,IF(A76='Données projet'!$A$88,'Données projet'!$B$88,BD75+BC76-BL75)))</f>
        <v>650.99999999999955</v>
      </c>
      <c r="BE76" s="13">
        <f>BD76*VLOOKUP('Données projet'!$B$11,Paramètres!$A$1:$I$89,3,0)*VLOOKUP('Données projet'!$B$11,Paramètres!$A$1:$I$89,5,0)</f>
        <v>338.51999999999975</v>
      </c>
      <c r="BF76" s="13">
        <f t="shared" si="91"/>
        <v>79.194091459626705</v>
      </c>
      <c r="BG76" s="20">
        <f t="shared" si="61"/>
        <v>727.51870929218273</v>
      </c>
      <c r="BH76" s="59">
        <f t="shared" si="62"/>
        <v>1020.8520426255161</v>
      </c>
      <c r="BI76" s="59">
        <f ca="1">AVERAGE(OFFSET($BH$3,0,0,'Données projet'!$E$11+1,1))-AVERAGE(OFFSET($H$3,0,0,'Données projet'!$E$11+1,1))</f>
        <v>348.29124901999882</v>
      </c>
      <c r="BJ76" s="59">
        <f t="shared" si="92"/>
        <v>284.30034973939053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55.273488306340916</v>
      </c>
      <c r="BQ76" s="21">
        <f>EXP(-LN(2)/25)*BQ75+(1-EXP(-LN(2)/25))/(LN(2)/25)*Calculateur!BL76*Calculateur!BN76*VLOOKUP('Données projet'!$B$11,Paramètres!$A$1:$I$89,3,0)*0.475*44/12</f>
        <v>26.355189609809567</v>
      </c>
      <c r="BR76" s="21">
        <f>EXP(-LN(2)/2)*BR75+(1-EXP(-LN(2)/2))/(LN(2)/2)*BL76*BO76*VLOOKUP('Données projet'!$B$11,Paramètres!$A$1:$I$89,3,0)*0.475*44/12</f>
        <v>2.111851042150612</v>
      </c>
      <c r="BS76" s="22">
        <f t="shared" si="63"/>
        <v>83.740528958301098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6.8386666666666658</v>
      </c>
      <c r="BY76" s="12">
        <f>IF('Données projet'!$A$114&gt;35,BY75+BX76-CG75,IF(A76&lt;'Données projet'!$A$114,$BV$205^A76,IF(A76='Données projet'!$A$114,'Données projet'!$B$114,BY75+BX76-CG75)))</f>
        <v>260.85266666666644</v>
      </c>
      <c r="BZ76" s="13">
        <f>BY76*VLOOKUP('Données projet'!$B$12,Paramètres!$A$1:$I$89,3,0)*VLOOKUP('Données projet'!$B$12,Paramètres!$A$1:$I$89,5,0)</f>
        <v>155.98989466666654</v>
      </c>
      <c r="CA76" s="13">
        <f t="shared" si="93"/>
        <v>39.936693125659751</v>
      </c>
      <c r="CB76" s="20">
        <f t="shared" si="64"/>
        <v>341.23880707163499</v>
      </c>
      <c r="CC76" s="59">
        <f t="shared" si="65"/>
        <v>634.57214040496831</v>
      </c>
      <c r="CD76" s="59">
        <f ca="1">AVERAGE(OFFSET($CC$3,0,0,'Données projet'!$E$12+1,1))-AVERAGE(OFFSET($H$3,0,0,'Données projet'!$E$12+1,1))</f>
        <v>185.82627135915504</v>
      </c>
      <c r="CE76" s="59">
        <f t="shared" si="94"/>
        <v>155.46126452522037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15.723105180316017</v>
      </c>
      <c r="CL76" s="21">
        <f>EXP(-LN(2)/25)*CL75+(1-EXP(-LN(2)/25))/(LN(2)/25)*Calculateur!CG76*Calculateur!CI76*VLOOKUP('Données projet'!$B$12,Paramètres!$A$1:$I$89,3,0)*0.475*44/12</f>
        <v>8.063537289755903</v>
      </c>
      <c r="CM76" s="21">
        <f>EXP(-LN(2)/2)*CM75+(1-EXP(-LN(2)/2))/(LN(2)/2)*CG76*CJ76*VLOOKUP('Données projet'!$B$12,Paramètres!$A$1:$I$89,3,0)*0.475*44/12</f>
        <v>0.10885787477703045</v>
      </c>
      <c r="CN76" s="22">
        <f t="shared" si="66"/>
        <v>23.895500344848948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1.6384615384615402</v>
      </c>
      <c r="CT76" s="12">
        <f>IF('Données projet'!$A$140&gt;35,CT75+CS76-DB75,IF(A76&lt;'Données projet'!$A$140,$CQ$205^A76,IF(A76='Données projet'!$A$140,'Données projet'!$B$140,CT75+CS76-DB75)))</f>
        <v>95.299999999999912</v>
      </c>
      <c r="CU76" s="17">
        <f>CT76*VLOOKUP('Données projet'!$B$13,Paramètres!$A$1:$I$89,3,0)*VLOOKUP('Données projet'!$B$13,Paramètres!$A$1:$I$89,5,0)</f>
        <v>109.78559999999989</v>
      </c>
      <c r="CV76" s="13">
        <f t="shared" si="95"/>
        <v>29.280464525943618</v>
      </c>
      <c r="CW76" s="20">
        <f t="shared" si="67"/>
        <v>242.20672904935159</v>
      </c>
      <c r="CX76" s="59">
        <f t="shared" si="68"/>
        <v>535.54006238268494</v>
      </c>
      <c r="CY76" s="59">
        <f ca="1">AVERAGE(OFFSET($CX$3,0,0,'Données projet'!$E$13+1,1))-AVERAGE(OFFSET($H$3,0,0,'Données projet'!$E$13+1,1))</f>
        <v>150.78964413039063</v>
      </c>
      <c r="CZ76" s="59">
        <f t="shared" si="96"/>
        <v>131.90332435966184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5.4301793327922994</v>
      </c>
      <c r="DG76" s="21">
        <f>EXP(-LN(2)/25)*DG75+(1-EXP(-LN(2)/25))/(LN(2)/25)*Calculateur!DB76*Calculateur!DD76*VLOOKUP('Données projet'!$B$13,Paramètres!$A$1:$I$89,3,0)*0.475*44/12</f>
        <v>3.207083706912027</v>
      </c>
      <c r="DH76" s="21">
        <f>EXP(-LN(2)/2)*DH75+(1-EXP(-LN(2)/2))/(LN(2)/2)*DB76*DE76*VLOOKUP('Données projet'!$B$13,Paramètres!$A$1:$I$89,3,0)*0.475*44/12</f>
        <v>0.62327360122461506</v>
      </c>
      <c r="DI76" s="22">
        <f t="shared" si="69"/>
        <v>9.2605366409289402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1.7948717948717927</v>
      </c>
      <c r="DO76" s="12">
        <f>IF('Données projet'!$A$166&gt;35,DO75+DN76-DW75,IF(A76&lt;'Données projet'!$A$166,$DL$205^A76,IF(A76='Données projet'!$A$166,'Données projet'!$B$166,DO75+DN76-DW75)))</f>
        <v>96.410256410256409</v>
      </c>
      <c r="DP76" s="17">
        <f>DO76*VLOOKUP('Données projet'!$B$14,Paramètres!$A$1:$I$89,3,0)*VLOOKUP('Données projet'!$B$14,Paramètres!$A$1:$I$89,5,0)</f>
        <v>100.768</v>
      </c>
      <c r="DQ76" s="13">
        <f t="shared" si="97"/>
        <v>27.144881409527077</v>
      </c>
      <c r="DR76" s="20">
        <f t="shared" si="70"/>
        <v>222.78160178825965</v>
      </c>
      <c r="DS76" s="59">
        <f t="shared" si="71"/>
        <v>516.11493512159291</v>
      </c>
      <c r="DT76" s="59">
        <f ca="1">AVERAGE(OFFSET($DS$3,0,0,'Données projet'!$E$14+1,1))-AVERAGE(OFFSET($H$3,0,0,'Données projet'!$E$14+1,1))</f>
        <v>110.10595934547638</v>
      </c>
      <c r="DU76" s="59">
        <f t="shared" si="98"/>
        <v>131.10971921141493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9.7242531040366327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9.7242531040366327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6.7437500000000021</v>
      </c>
      <c r="EJ76" s="12">
        <f>IF('Données projet'!$A$192&gt;35,EJ75+EI76-ER75,IF(A76&lt;'Données projet'!$A$192,$EG$205^A76,IF(A76='Données projet'!$A$192,'Données projet'!$B$192,EJ75+EI76-ER75)))</f>
        <v>175.54500000000002</v>
      </c>
      <c r="EK76" s="17">
        <f>EJ76*VLOOKUP('Données projet'!$B$15,Paramètres!$A$1:$I$89,3,0)*VLOOKUP('Données projet'!$B$15,Paramètres!$A$1:$I$89,5,0)</f>
        <v>178.00263000000001</v>
      </c>
      <c r="EL76" s="13">
        <f t="shared" si="99"/>
        <v>44.877519962268245</v>
      </c>
      <c r="EM76" s="20">
        <f t="shared" si="73"/>
        <v>388.18292785095059</v>
      </c>
      <c r="EN76" s="59">
        <f t="shared" si="74"/>
        <v>681.51626118428385</v>
      </c>
      <c r="EO76" s="59">
        <f ca="1">AVERAGE(OFFSET($EN$3,0,0,'Données projet'!$E$15+1,1))-AVERAGE(OFFSET($H$3,0,0,'Données projet'!$E$15+1,1))</f>
        <v>420.38735944595965</v>
      </c>
      <c r="EP76" s="59">
        <f t="shared" si="100"/>
        <v>200.0823542414671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34.032241613737774</v>
      </c>
      <c r="EX76" s="21">
        <f>EXP(-LN(2)/2)*EX75+(1-EXP(-LN(2)/2))/(LN(2)/2)*ER76*EU76*VLOOKUP('Données projet'!$B$15,Paramètres!$A$1:$I$89,3,0)*0.475*44/12</f>
        <v>2.1737253974389801</v>
      </c>
      <c r="EY76" s="22">
        <f t="shared" si="75"/>
        <v>36.205967011176753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9.65625</v>
      </c>
      <c r="FE76" s="12">
        <f>IF('Données projet'!$A$218&gt;35,FE75+FD76-FM75,IF(A76&lt;'Données projet'!$A$218,$FB$205^A76,IF(A76='Données projet'!$A$218,'Données projet'!$B$218,FE75+FD76-FM75)))</f>
        <v>254.44749999999996</v>
      </c>
      <c r="FF76" s="17">
        <f>FE76*VLOOKUP('Données projet'!$B$16,Paramètres!$A$1:$I$89,3,0)*VLOOKUP('Données projet'!$B$16,Paramètres!$A$1:$I$89,5,0)</f>
        <v>273.88728899999995</v>
      </c>
      <c r="FG76" s="13">
        <f t="shared" si="101"/>
        <v>65.673562524429713</v>
      </c>
      <c r="FH76" s="20">
        <f t="shared" si="76"/>
        <v>591.40181640504818</v>
      </c>
      <c r="FI76" s="59">
        <f t="shared" si="77"/>
        <v>884.73514973838155</v>
      </c>
      <c r="FJ76" s="59">
        <f ca="1">AVERAGE(OFFSET($FI$3,0,0,'Données projet'!$E$16+1,1))-AVERAGE(OFFSET($H$3,0,0,'Données projet'!$E$16+1,1))</f>
        <v>415.8741608506952</v>
      </c>
      <c r="FK76" s="59">
        <f t="shared" si="102"/>
        <v>259.15848913719356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17.686706860949776</v>
      </c>
      <c r="FR76" s="21">
        <f>EXP(-LN(2)/25)*FR75+(1-EXP(-LN(2)/25))/(LN(2)/25)*Calculateur!FM76*Calculateur!FO76*VLOOKUP('Données projet'!$B$16,Paramètres!$A$1:$I$89,3,0)*0.475*44/12</f>
        <v>27.969604851876593</v>
      </c>
      <c r="FS76" s="21">
        <f>EXP(-LN(2)/2)*FS75+(1-EXP(-LN(2)/2))/(LN(2)/2)*FM76*FP76*VLOOKUP('Données projet'!$B$16,Paramètres!$A$1:$I$89,3,0)*0.475*44/12</f>
        <v>0.57706197676870552</v>
      </c>
      <c r="FT76" s="22">
        <f t="shared" si="78"/>
        <v>46.233373689595069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9.65625</v>
      </c>
      <c r="FZ76" s="12">
        <f>IF('Données projet'!$A$244&gt;35,FZ75+FY76-GH75,IF(A76&lt;'Données projet'!$A$244,$FW$205^A76,IF(A76='Données projet'!$A$244,'Données projet'!$B$244,FZ75+FY76-GH75)))</f>
        <v>254.44749999999996</v>
      </c>
      <c r="GA76" s="17">
        <f>FZ76*VLOOKUP('Données projet'!$B$17,Paramètres!$A$1:$I$89,3,0)*VLOOKUP('Données projet'!$B$17,Paramètres!$A$1:$I$89,5,0)</f>
        <v>218.315955</v>
      </c>
      <c r="GB76" s="13">
        <f t="shared" si="103"/>
        <v>53.74870333023059</v>
      </c>
      <c r="GC76" s="20">
        <f t="shared" si="79"/>
        <v>473.84594659181829</v>
      </c>
      <c r="GD76" s="59">
        <f t="shared" si="80"/>
        <v>767.1792799251516</v>
      </c>
      <c r="GE76" s="59">
        <f ca="1">AVERAGE(OFFSET($GD$3,0,0,'Données projet'!$E$17+1,1))-AVERAGE(OFFSET($H$3,0,0,'Données projet'!$E$17+1,1))</f>
        <v>322.39807389980882</v>
      </c>
      <c r="GF76" s="59">
        <f t="shared" si="104"/>
        <v>202.59410055732792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17.376727502416109</v>
      </c>
      <c r="GM76" s="21">
        <f>EXP(-LN(2)/25)*GM75+(1-EXP(-LN(2)/25))/(LN(2)/25)*Calculateur!GH76*Calculateur!GJ76*VLOOKUP('Données projet'!$B$17,Paramètres!$A$1:$I$89,3,0)*0.475*44/12</f>
        <v>27.479406182413296</v>
      </c>
      <c r="GN76" s="21">
        <f>EXP(-LN(2)/2)*GN75+(1-EXP(-LN(2)/2))/(LN(2)/2)*GH76*GK76*VLOOKUP('Données projet'!$B$17,Paramètres!$A$1:$I$89,3,0)*0.475*44/12</f>
        <v>0.45997693800404088</v>
      </c>
      <c r="GO76" s="21">
        <f t="shared" si="81"/>
        <v>45.316110622833442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27.128399999999946</v>
      </c>
      <c r="D77" s="11">
        <f t="shared" si="86"/>
        <v>8.5138436537878679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275.13310890643226</v>
      </c>
      <c r="H77" s="67">
        <f t="shared" si="56"/>
        <v>355.41024103034709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11.327500000000001</v>
      </c>
      <c r="N77" s="13">
        <f>IF('Données projet'!$A$36&gt;35,N76+M77-V76,IF(A77&lt;'Données projet'!$A$36,$K$205^A77,IF(A77='Données projet'!$A$36,'Données projet'!$B$36,N76+M77-V76)))</f>
        <v>384.18249999999989</v>
      </c>
      <c r="O77" s="13">
        <f>N77*VLOOKUP('Données projet'!$B$9,Paramètres!$A$1:$I$89,3,0)*VLOOKUP('Données projet'!$B$9,Paramètres!$A$1:$I$89,5,0)</f>
        <v>179.79740999999993</v>
      </c>
      <c r="P77" s="13">
        <f t="shared" si="87"/>
        <v>45.277110670389604</v>
      </c>
      <c r="Q77" s="20">
        <f t="shared" si="54"/>
        <v>392.00479016759505</v>
      </c>
      <c r="R77" s="59">
        <f t="shared" si="55"/>
        <v>685.3381235009283</v>
      </c>
      <c r="S77" s="59">
        <f ca="1">AVERAGE(OFFSET($R$3,0,0,'Données projet'!$E$9+1,1))-AVERAGE(OFFSET($H$3,0,0,'Données projet'!$E$9+1,1))</f>
        <v>215.77907571824977</v>
      </c>
      <c r="T77" s="59">
        <f t="shared" si="88"/>
        <v>174.69390149594869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24.544557859180397</v>
      </c>
      <c r="AA77" s="21">
        <f>EXP(-LN(2)/25)*AA76+(1-EXP(-LN(2)/25))/(LN(2)/25)*Calculateur!V77*Calculateur!X77*VLOOKUP('Données projet'!$B$9,Paramètres!$A$1:$I$89,3,0)*0.475*44/12</f>
        <v>12.551837696802931</v>
      </c>
      <c r="AB77" s="21">
        <f>EXP(-LN(2)/2)*AB76+(1-EXP(-LN(2)/2))/(LN(2)/2)*V77*Y77*VLOOKUP('Données projet'!$B$9,Paramètres!$A$1:$I$89,3,0)*0.475*44/12</f>
        <v>0.27774855783939995</v>
      </c>
      <c r="AC77" s="22">
        <f t="shared" si="57"/>
        <v>37.37414411382273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-1.0197709343628959E-13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171.701352621833</v>
      </c>
      <c r="AO77" s="59">
        <f t="shared" si="90"/>
        <v>195.58435749168586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80.600405851298035</v>
      </c>
      <c r="AV77" s="21">
        <f>EXP(-LN(2)/25)*AV76+(1-EXP(-LN(2)/25))/(LN(2)/25)*Calculateur!AQ77*Calculateur!AS77*VLOOKUP('Données projet'!$B$10,Paramètres!$A$1:$I$89,3,0)*0.475*44/12</f>
        <v>26.800292487124253</v>
      </c>
      <c r="AW77" s="21">
        <f>EXP(-LN(2)/2)*AW76+(1-EXP(-LN(2)/2))/(LN(2)/2)*AQ77*AT77*VLOOKUP('Données projet'!$B$10,Paramètres!$A$1:$I$89,3,0)*0.475*44/12</f>
        <v>0.69873322247513359</v>
      </c>
      <c r="AX77" s="21">
        <f t="shared" si="60"/>
        <v>108.09943156089741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15</v>
      </c>
      <c r="BD77" s="12">
        <f>IF('Données projet'!$A$88&gt;35,BD76+BC77-BL76,IF(A77&lt;'Données projet'!$A$88,$BA$205^A77,IF(A77='Données projet'!$A$88,'Données projet'!$B$88,BD76+BC77-BL76)))</f>
        <v>665.99999999999955</v>
      </c>
      <c r="BE77" s="13">
        <f>BD77*VLOOKUP('Données projet'!$B$11,Paramètres!$A$1:$I$89,3,0)*VLOOKUP('Données projet'!$B$11,Paramètres!$A$1:$I$89,5,0)</f>
        <v>346.31999999999977</v>
      </c>
      <c r="BF77" s="13">
        <f t="shared" si="91"/>
        <v>80.804295503737379</v>
      </c>
      <c r="BG77" s="20">
        <f t="shared" si="61"/>
        <v>743.90814800234227</v>
      </c>
      <c r="BH77" s="59">
        <f t="shared" si="62"/>
        <v>1037.2414813356756</v>
      </c>
      <c r="BI77" s="59">
        <f ca="1">AVERAGE(OFFSET($BH$3,0,0,'Données projet'!$E$11+1,1))-AVERAGE(OFFSET($H$3,0,0,'Données projet'!$E$11+1,1))</f>
        <v>348.29124901999882</v>
      </c>
      <c r="BJ77" s="59">
        <f t="shared" si="92"/>
        <v>284.30034973939053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54.189608914152508</v>
      </c>
      <c r="BQ77" s="21">
        <f>EXP(-LN(2)/25)*BQ76+(1-EXP(-LN(2)/25))/(LN(2)/25)*Calculateur!BL77*Calculateur!BN77*VLOOKUP('Données projet'!$B$11,Paramètres!$A$1:$I$89,3,0)*0.475*44/12</f>
        <v>25.634505563970137</v>
      </c>
      <c r="BR77" s="21">
        <f>EXP(-LN(2)/2)*BR76+(1-EXP(-LN(2)/2))/(LN(2)/2)*BL77*BO77*VLOOKUP('Données projet'!$B$11,Paramètres!$A$1:$I$89,3,0)*0.475*44/12</f>
        <v>1.4933041927605752</v>
      </c>
      <c r="BS77" s="22">
        <f t="shared" si="63"/>
        <v>81.317418670883228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6.8386666666666658</v>
      </c>
      <c r="BY77" s="12">
        <f>IF('Données projet'!$A$114&gt;35,BY76+BX77-CG76,IF(A77&lt;'Données projet'!$A$114,$BV$205^A77,IF(A77='Données projet'!$A$114,'Données projet'!$B$114,BY76+BX77-CG76)))</f>
        <v>267.69133333333309</v>
      </c>
      <c r="BZ77" s="13">
        <f>BY77*VLOOKUP('Données projet'!$B$12,Paramètres!$A$1:$I$89,3,0)*VLOOKUP('Données projet'!$B$12,Paramètres!$A$1:$I$89,5,0)</f>
        <v>160.0794173333332</v>
      </c>
      <c r="CA77" s="13">
        <f t="shared" si="93"/>
        <v>40.860427690538963</v>
      </c>
      <c r="CB77" s="20">
        <f t="shared" si="64"/>
        <v>349.97023008324396</v>
      </c>
      <c r="CC77" s="59">
        <f t="shared" si="65"/>
        <v>643.30356341657728</v>
      </c>
      <c r="CD77" s="59">
        <f ca="1">AVERAGE(OFFSET($CC$3,0,0,'Données projet'!$E$12+1,1))-AVERAGE(OFFSET($H$3,0,0,'Données projet'!$E$12+1,1))</f>
        <v>185.82627135915504</v>
      </c>
      <c r="CE77" s="59">
        <f t="shared" si="94"/>
        <v>155.46126452522037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15.414784677877231</v>
      </c>
      <c r="CL77" s="21">
        <f>EXP(-LN(2)/25)*CL76+(1-EXP(-LN(2)/25))/(LN(2)/25)*Calculateur!CG77*Calculateur!CI77*VLOOKUP('Données projet'!$B$12,Paramètres!$A$1:$I$89,3,0)*0.475*44/12</f>
        <v>7.8430394385245314</v>
      </c>
      <c r="CM77" s="21">
        <f>EXP(-LN(2)/2)*CM76+(1-EXP(-LN(2)/2))/(LN(2)/2)*CG77*CJ77*VLOOKUP('Données projet'!$B$12,Paramètres!$A$1:$I$89,3,0)*0.475*44/12</f>
        <v>7.6974141440394259E-2</v>
      </c>
      <c r="CN77" s="22">
        <f t="shared" si="66"/>
        <v>23.334798257842159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1.6384615384615402</v>
      </c>
      <c r="CT77" s="12">
        <f>IF('Données projet'!$A$140&gt;35,CT76+CS77-DB76,IF(A77&lt;'Données projet'!$A$140,$CQ$205^A77,IF(A77='Données projet'!$A$140,'Données projet'!$B$140,CT76+CS77-DB76)))</f>
        <v>96.938461538461453</v>
      </c>
      <c r="CU77" s="17">
        <f>CT77*VLOOKUP('Données projet'!$B$13,Paramètres!$A$1:$I$89,3,0)*VLOOKUP('Données projet'!$B$13,Paramètres!$A$1:$I$89,5,0)</f>
        <v>111.67310769230758</v>
      </c>
      <c r="CV77" s="13">
        <f t="shared" si="95"/>
        <v>29.724834800359417</v>
      </c>
      <c r="CW77" s="20">
        <f t="shared" si="67"/>
        <v>246.26808317472839</v>
      </c>
      <c r="CX77" s="59">
        <f t="shared" si="68"/>
        <v>539.60141650806167</v>
      </c>
      <c r="CY77" s="59">
        <f ca="1">AVERAGE(OFFSET($CX$3,0,0,'Données projet'!$E$13+1,1))-AVERAGE(OFFSET($H$3,0,0,'Données projet'!$E$13+1,1))</f>
        <v>150.78964413039063</v>
      </c>
      <c r="CZ77" s="59">
        <f t="shared" si="96"/>
        <v>131.90332435966184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5.3236968281585941</v>
      </c>
      <c r="DG77" s="21">
        <f>EXP(-LN(2)/25)*DG76+(1-EXP(-LN(2)/25))/(LN(2)/25)*Calculateur!DB77*Calculateur!DD77*VLOOKUP('Données projet'!$B$13,Paramètres!$A$1:$I$89,3,0)*0.475*44/12</f>
        <v>3.1193858342933156</v>
      </c>
      <c r="DH77" s="21">
        <f>EXP(-LN(2)/2)*DH76+(1-EXP(-LN(2)/2))/(LN(2)/2)*DB77*DE77*VLOOKUP('Données projet'!$B$13,Paramètres!$A$1:$I$89,3,0)*0.475*44/12</f>
        <v>0.44072098996048537</v>
      </c>
      <c r="DI77" s="22">
        <f t="shared" si="69"/>
        <v>8.8838036524123964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1.7948717948717927</v>
      </c>
      <c r="DO77" s="12">
        <f>IF('Données projet'!$A$166&gt;35,DO76+DN77-DW76,IF(A77&lt;'Données projet'!$A$166,$DL$205^A77,IF(A77='Données projet'!$A$166,'Données projet'!$B$166,DO76+DN77-DW76)))</f>
        <v>98.205128205128204</v>
      </c>
      <c r="DP77" s="17">
        <f>DO77*VLOOKUP('Données projet'!$B$14,Paramètres!$A$1:$I$89,3,0)*VLOOKUP('Données projet'!$B$14,Paramètres!$A$1:$I$89,5,0)</f>
        <v>102.64400000000002</v>
      </c>
      <c r="DQ77" s="13">
        <f t="shared" si="97"/>
        <v>27.590934204431214</v>
      </c>
      <c r="DR77" s="20">
        <f t="shared" si="70"/>
        <v>226.82584373938437</v>
      </c>
      <c r="DS77" s="59">
        <f t="shared" si="71"/>
        <v>520.15917707271774</v>
      </c>
      <c r="DT77" s="59">
        <f ca="1">AVERAGE(OFFSET($DS$3,0,0,'Données projet'!$E$14+1,1))-AVERAGE(OFFSET($H$3,0,0,'Données projet'!$E$14+1,1))</f>
        <v>110.10595934547638</v>
      </c>
      <c r="DU77" s="59">
        <f t="shared" si="98"/>
        <v>131.10971921141493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9.4583428915305046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9.4583428915305046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6.7437500000000021</v>
      </c>
      <c r="EJ77" s="12">
        <f>IF('Données projet'!$A$192&gt;35,EJ76+EI77-ER76,IF(A77&lt;'Données projet'!$A$192,$EG$205^A77,IF(A77='Données projet'!$A$192,'Données projet'!$B$192,EJ76+EI77-ER76)))</f>
        <v>182.28875000000002</v>
      </c>
      <c r="EK77" s="17">
        <f>EJ77*VLOOKUP('Données projet'!$B$15,Paramètres!$A$1:$I$89,3,0)*VLOOKUP('Données projet'!$B$15,Paramètres!$A$1:$I$89,5,0)</f>
        <v>184.84079250000005</v>
      </c>
      <c r="EL77" s="13">
        <f t="shared" si="99"/>
        <v>46.397504256544451</v>
      </c>
      <c r="EM77" s="20">
        <f t="shared" si="73"/>
        <v>402.74003351764833</v>
      </c>
      <c r="EN77" s="59">
        <f t="shared" si="74"/>
        <v>696.07336685098164</v>
      </c>
      <c r="EO77" s="59">
        <f ca="1">AVERAGE(OFFSET($EN$3,0,0,'Données projet'!$E$15+1,1))-AVERAGE(OFFSET($H$3,0,0,'Données projet'!$E$15+1,1))</f>
        <v>420.38735944595965</v>
      </c>
      <c r="EP77" s="59">
        <f t="shared" si="100"/>
        <v>200.0823542414671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33.101628177132312</v>
      </c>
      <c r="EX77" s="21">
        <f>EXP(-LN(2)/2)*EX76+(1-EXP(-LN(2)/2))/(LN(2)/2)*ER77*EU77*VLOOKUP('Données projet'!$B$15,Paramètres!$A$1:$I$89,3,0)*0.475*44/12</f>
        <v>1.537055968966526</v>
      </c>
      <c r="EY77" s="22">
        <f t="shared" si="75"/>
        <v>34.638684146098839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9.65625</v>
      </c>
      <c r="FE77" s="12">
        <f>IF('Données projet'!$A$218&gt;35,FE76+FD77-FM76,IF(A77&lt;'Données projet'!$A$218,$FB$205^A77,IF(A77='Données projet'!$A$218,'Données projet'!$B$218,FE76+FD77-FM76)))</f>
        <v>264.10374999999999</v>
      </c>
      <c r="FF77" s="17">
        <f>FE77*VLOOKUP('Données projet'!$B$16,Paramètres!$A$1:$I$89,3,0)*VLOOKUP('Données projet'!$B$16,Paramètres!$A$1:$I$89,5,0)</f>
        <v>284.28127649999999</v>
      </c>
      <c r="FG77" s="13">
        <f t="shared" si="101"/>
        <v>67.870965084671752</v>
      </c>
      <c r="FH77" s="20">
        <f t="shared" si="76"/>
        <v>613.3318207599699</v>
      </c>
      <c r="FI77" s="59">
        <f t="shared" si="77"/>
        <v>906.66515409330327</v>
      </c>
      <c r="FJ77" s="59">
        <f ca="1">AVERAGE(OFFSET($FI$3,0,0,'Données projet'!$E$16+1,1))-AVERAGE(OFFSET($H$3,0,0,'Données projet'!$E$16+1,1))</f>
        <v>415.8741608506952</v>
      </c>
      <c r="FK77" s="59">
        <f t="shared" si="102"/>
        <v>259.15848913719356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17.339881327232526</v>
      </c>
      <c r="FR77" s="21">
        <f>EXP(-LN(2)/25)*FR76+(1-EXP(-LN(2)/25))/(LN(2)/25)*Calculateur!FM77*Calculateur!FO77*VLOOKUP('Données projet'!$B$16,Paramètres!$A$1:$I$89,3,0)*0.475*44/12</f>
        <v>27.204774536344434</v>
      </c>
      <c r="FS77" s="21">
        <f>EXP(-LN(2)/2)*FS76+(1-EXP(-LN(2)/2))/(LN(2)/2)*FM77*FP77*VLOOKUP('Données projet'!$B$16,Paramètres!$A$1:$I$89,3,0)*0.475*44/12</f>
        <v>0.40804443693806564</v>
      </c>
      <c r="FT77" s="22">
        <f t="shared" si="78"/>
        <v>44.952700300515026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9.65625</v>
      </c>
      <c r="FZ77" s="12">
        <f>IF('Données projet'!$A$244&gt;35,FZ76+FY77-GH76,IF(A77&lt;'Données projet'!$A$244,$FW$205^A77,IF(A77='Données projet'!$A$244,'Données projet'!$B$244,FZ76+FY77-GH76)))</f>
        <v>264.10374999999999</v>
      </c>
      <c r="GA77" s="17">
        <f>FZ77*VLOOKUP('Données projet'!$B$17,Paramètres!$A$1:$I$89,3,0)*VLOOKUP('Données projet'!$B$17,Paramètres!$A$1:$I$89,5,0)</f>
        <v>226.60101750000004</v>
      </c>
      <c r="GB77" s="13">
        <f t="shared" si="103"/>
        <v>55.547106428335717</v>
      </c>
      <c r="GC77" s="20">
        <f t="shared" si="79"/>
        <v>491.40798250851805</v>
      </c>
      <c r="GD77" s="59">
        <f t="shared" si="80"/>
        <v>784.74131584185136</v>
      </c>
      <c r="GE77" s="59">
        <f ca="1">AVERAGE(OFFSET($GD$3,0,0,'Données projet'!$E$17+1,1))-AVERAGE(OFFSET($H$3,0,0,'Données projet'!$E$17+1,1))</f>
        <v>322.39807389980882</v>
      </c>
      <c r="GF77" s="59">
        <f t="shared" si="104"/>
        <v>202.59410055732792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17.035980474850966</v>
      </c>
      <c r="GM77" s="21">
        <f>EXP(-LN(2)/25)*GM76+(1-EXP(-LN(2)/25))/(LN(2)/25)*Calculateur!GH77*Calculateur!GJ77*VLOOKUP('Données projet'!$B$17,Paramètres!$A$1:$I$89,3,0)*0.475*44/12</f>
        <v>26.72798037527604</v>
      </c>
      <c r="GN77" s="21">
        <f>EXP(-LN(2)/2)*GN76+(1-EXP(-LN(2)/2))/(LN(2)/2)*GH77*GK77*VLOOKUP('Données projet'!$B$17,Paramètres!$A$1:$I$89,3,0)*0.475*44/12</f>
        <v>0.32525281205208151</v>
      </c>
      <c r="GO77" s="21">
        <f t="shared" si="81"/>
        <v>44.089213662179091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27.494999999999944</v>
      </c>
      <c r="D78" s="11">
        <f t="shared" si="86"/>
        <v>8.6154239941826773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278.74713258667288</v>
      </c>
      <c r="H78" s="67">
        <f t="shared" si="56"/>
        <v>356.22565512320136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395.51</v>
      </c>
      <c r="L78" s="12">
        <f>VLOOKUP(A78,'Données projet'!$A$35:$I$55,9,0)</f>
        <v>11.327500000000001</v>
      </c>
      <c r="M78" s="12">
        <f t="array" ref="M78">INDEX(L:L,MIN(IF(ISNUMBER(L78:L274),ROW(L78:L274),"")))</f>
        <v>11.327500000000001</v>
      </c>
      <c r="N78" s="13">
        <f>IF('Données projet'!$A$36&gt;35,N77+M78-V77,IF(A78&lt;'Données projet'!$A$36,$K$205^A78,IF(A78='Données projet'!$A$36,'Données projet'!$B$36,N77+M78-V77)))</f>
        <v>395.50999999999988</v>
      </c>
      <c r="O78" s="13">
        <f>N78*VLOOKUP('Données projet'!$B$9,Paramètres!$A$1:$I$89,3,0)*VLOOKUP('Données projet'!$B$9,Paramètres!$A$1:$I$89,5,0)</f>
        <v>185.09867999999994</v>
      </c>
      <c r="P78" s="13">
        <f t="shared" si="87"/>
        <v>46.454697871845575</v>
      </c>
      <c r="Q78" s="20">
        <f t="shared" si="54"/>
        <v>403.28879979346425</v>
      </c>
      <c r="R78" s="59">
        <f t="shared" si="55"/>
        <v>696.62213312679751</v>
      </c>
      <c r="S78" s="59">
        <f ca="1">AVERAGE(OFFSET($R$3,0,0,'Données projet'!$E$9+1,1))-AVERAGE(OFFSET($H$3,0,0,'Données projet'!$E$9+1,1))</f>
        <v>215.77907571824977</v>
      </c>
      <c r="T78" s="59">
        <f t="shared" si="88"/>
        <v>174.69390149594869</v>
      </c>
      <c r="U78" s="15">
        <f>IF(ISNA(VLOOKUP(A78,'Données projet'!$A$35:$I$55,3,0)),0,VLOOKUP(A78,'Données projet'!$A$35:$I$55,3,0))</f>
        <v>3</v>
      </c>
      <c r="V78" s="15">
        <f>IF(ISNA(VLOOKUP(A78,'Données projet'!$A$35:$I$55,4,0)),0,VLOOKUP(A78,'Données projet'!$A$35:$I$55,4,0))</f>
        <v>93.759999999999991</v>
      </c>
      <c r="W78" s="16">
        <f>IF(ISNA(VLOOKUP(A78,'Données projet'!$A$35:$I$55,5,0)),0%,VLOOKUP(A78,'Données projet'!$A$35:$I$55,5,0)*VLOOKUP('Données projet'!$B$9,Paramètres!$A$1:$I$89,7,0))</f>
        <v>0.33</v>
      </c>
      <c r="X78" s="16">
        <f>IF(ISNA(VLOOKUP(A78,'Données projet'!$A$35:$I$55,6,0)),0%,VLOOKUP(A78,'Données projet'!$A$35:$I$55,6,0)*VLOOKUP('Données projet'!$B$9,Paramètres!$A$1:$I$89,7,0))</f>
        <v>0.11000000000000001</v>
      </c>
      <c r="Y78" s="16">
        <f>IF(ISNA(VLOOKUP(A78,'Données projet'!$A$35:$I$55,7,0)),0%,VLOOKUP(A78,'Données projet'!$A$35:$I$55,7,0))</f>
        <v>0.2</v>
      </c>
      <c r="Z78" s="21">
        <f>EXP(-LN(2)/35)*Z77+(1-EXP(-LN(2)/35))/(LN(2)/35)*V78*W78*VLOOKUP('Données projet'!$B$9,Paramètres!$A$1:$I$89,3,0)*0.475*44/12</f>
        <v>43.272297905604148</v>
      </c>
      <c r="AA78" s="21">
        <f>EXP(-LN(2)/25)*AA77+(1-EXP(-LN(2)/25))/(LN(2)/25)*Calculateur!V78*Calculateur!X78*VLOOKUP('Données projet'!$B$9,Paramètres!$A$1:$I$89,3,0)*0.475*44/12</f>
        <v>18.586410545065469</v>
      </c>
      <c r="AB78" s="21">
        <f>EXP(-LN(2)/2)*AB77+(1-EXP(-LN(2)/2))/(LN(2)/2)*V78*Y78*VLOOKUP('Données projet'!$B$9,Paramètres!$A$1:$I$89,3,0)*0.475*44/12</f>
        <v>10.132796068938246</v>
      </c>
      <c r="AC78" s="22">
        <f t="shared" si="57"/>
        <v>71.991504519607858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-1.0197709343628959E-13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171.701352621833</v>
      </c>
      <c r="AO78" s="59">
        <f t="shared" si="90"/>
        <v>195.58435749168586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79.019881053947358</v>
      </c>
      <c r="AV78" s="21">
        <f>EXP(-LN(2)/25)*AV77+(1-EXP(-LN(2)/25))/(LN(2)/25)*Calculateur!AQ78*Calculateur!AS78*VLOOKUP('Données projet'!$B$10,Paramètres!$A$1:$I$89,3,0)*0.475*44/12</f>
        <v>26.067437079697712</v>
      </c>
      <c r="AW78" s="21">
        <f>EXP(-LN(2)/2)*AW77+(1-EXP(-LN(2)/2))/(LN(2)/2)*AQ78*AT78*VLOOKUP('Données projet'!$B$10,Paramètres!$A$1:$I$89,3,0)*0.475*44/12</f>
        <v>0.49407899985249554</v>
      </c>
      <c r="AX78" s="21">
        <f t="shared" si="60"/>
        <v>105.58139713349756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681</v>
      </c>
      <c r="BB78" s="12">
        <f>VLOOKUP(A78,'Données projet'!$A$87:$I$107,9,0)</f>
        <v>15</v>
      </c>
      <c r="BC78" s="12">
        <f t="array" ref="BC78">INDEX(BB:BB,MIN(IF(ISNUMBER(BB78:BB274),ROW(BB78:BB274),"")))</f>
        <v>15</v>
      </c>
      <c r="BD78" s="12">
        <f>IF('Données projet'!$A$88&gt;35,BD77+BC78-BL77,IF(A78&lt;'Données projet'!$A$88,$BA$205^A78,IF(A78='Données projet'!$A$88,'Données projet'!$B$88,BD77+BC78-BL77)))</f>
        <v>680.99999999999955</v>
      </c>
      <c r="BE78" s="13">
        <f>BD78*VLOOKUP('Données projet'!$B$11,Paramètres!$A$1:$I$89,3,0)*VLOOKUP('Données projet'!$B$11,Paramètres!$A$1:$I$89,5,0)</f>
        <v>354.11999999999978</v>
      </c>
      <c r="BF78" s="13">
        <f t="shared" si="91"/>
        <v>82.410283353912476</v>
      </c>
      <c r="BG78" s="20">
        <f t="shared" si="61"/>
        <v>760.29024350806378</v>
      </c>
      <c r="BH78" s="59">
        <f t="shared" si="62"/>
        <v>1053.6235768413972</v>
      </c>
      <c r="BI78" s="59">
        <f ca="1">AVERAGE(OFFSET($BH$3,0,0,'Données projet'!$E$11+1,1))-AVERAGE(OFFSET($H$3,0,0,'Données projet'!$E$11+1,1))</f>
        <v>348.29124901999882</v>
      </c>
      <c r="BJ78" s="59">
        <f t="shared" si="92"/>
        <v>284.30034973939053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39</v>
      </c>
      <c r="BM78" s="16">
        <f>IF(ISNA(VLOOKUP(A78,'Données projet'!$A$87:$I$107,5,0)),0%,VLOOKUP(A78,'Données projet'!$A$87:$I$107,5,0)*VLOOKUP('Données projet'!$B$11,Paramètres!$A$1:$I$89,7,0))</f>
        <v>0.33</v>
      </c>
      <c r="BN78" s="16">
        <f>IF(ISNA(VLOOKUP(A78,'Données projet'!$A$87:$I$107,6,0)),0%,VLOOKUP(A78,'Données projet'!$A$87:$I$107,6,0)*VLOOKUP('Données projet'!$B$11,Paramètres!$A$1:$I$89,7,0))</f>
        <v>0.11000000000000001</v>
      </c>
      <c r="BO78" s="16">
        <f>IF(ISNA(VLOOKUP(A78,'Données projet'!$A$87:$I$107,7,0)),0%,VLOOKUP(A78,'Données projet'!$A$87:$I$107,7,0))</f>
        <v>0.2</v>
      </c>
      <c r="BP78" s="21">
        <f>EXP(-LN(2)/35)*BP77+(1-EXP(-LN(2)/35))/(LN(2)/35)*BL78*BM78*VLOOKUP('Données projet'!$B$11,Paramètres!$A$1:$I$89,3,0)*0.475*44/12</f>
        <v>62.004883697327344</v>
      </c>
      <c r="BQ78" s="21">
        <f>EXP(-LN(2)/25)*BQ77+(1-EXP(-LN(2)/25))/(LN(2)/25)*Calculateur!BL78*Calculateur!BN78*VLOOKUP('Données projet'!$B$11,Paramètres!$A$1:$I$89,3,0)*0.475*44/12</f>
        <v>27.881176756826559</v>
      </c>
      <c r="BR78" s="21">
        <f>EXP(-LN(2)/2)*BR77+(1-EXP(-LN(2)/2))/(LN(2)/2)*BL78*BO78*VLOOKUP('Données projet'!$B$11,Paramètres!$A$1:$I$89,3,0)*0.475*44/12</f>
        <v>5.6482597198426525</v>
      </c>
      <c r="BS78" s="22">
        <f t="shared" si="63"/>
        <v>95.534320173996562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274.52999999999997</v>
      </c>
      <c r="BW78" s="12">
        <f>VLOOKUP(A78,'Données projet'!$A$113:$I$133,9,0)</f>
        <v>6.8386666666666658</v>
      </c>
      <c r="BX78" s="12">
        <f t="array" ref="BX78">INDEX(BW:BW,MIN(IF(ISNUMBER(BW78:BW274),ROW(BW78:BW274),"")))</f>
        <v>6.8386666666666658</v>
      </c>
      <c r="BY78" s="12">
        <f>IF('Données projet'!$A$114&gt;35,BY77+BX78-CG77,IF(A78&lt;'Données projet'!$A$114,$BV$205^A78,IF(A78='Données projet'!$A$114,'Données projet'!$B$114,BY77+BX78-CG77)))</f>
        <v>274.52999999999975</v>
      </c>
      <c r="BZ78" s="13">
        <f>BY78*VLOOKUP('Données projet'!$B$12,Paramètres!$A$1:$I$89,3,0)*VLOOKUP('Données projet'!$B$12,Paramètres!$A$1:$I$89,5,0)</f>
        <v>164.16893999999985</v>
      </c>
      <c r="CA78" s="13">
        <f t="shared" si="93"/>
        <v>41.781419155260934</v>
      </c>
      <c r="CB78" s="20">
        <f t="shared" si="64"/>
        <v>358.69687552874581</v>
      </c>
      <c r="CC78" s="59">
        <f t="shared" si="65"/>
        <v>652.03020886207912</v>
      </c>
      <c r="CD78" s="59">
        <f ca="1">AVERAGE(OFFSET($CC$3,0,0,'Données projet'!$E$12+1,1))-AVERAGE(OFFSET($H$3,0,0,'Données projet'!$E$12+1,1))</f>
        <v>185.82627135915504</v>
      </c>
      <c r="CE78" s="59">
        <f t="shared" si="94"/>
        <v>155.46126452522037</v>
      </c>
      <c r="CF78" s="15">
        <f>IF(ISNA(VLOOKUP(A78,'Données projet'!$A$113:$I$133,3,0)),0,VLOOKUP(A78,'Données projet'!$A$113:$I$133,3,0))</f>
        <v>3</v>
      </c>
      <c r="CG78" s="15">
        <f>IF(ISNA(VLOOKUP(A78,'Données projet'!$A$113:$I$133,4,0)),0,VLOOKUP(A78,'Données projet'!$A$113:$I$133,4,0))</f>
        <v>75.489999999999981</v>
      </c>
      <c r="CH78" s="16">
        <f>IF(ISNA(VLOOKUP(A78,'Données projet'!$A$113:$I$133,5,0)),0%,VLOOKUP(A78,'Données projet'!$A$113:$I$133,5,0)*VLOOKUP('Données projet'!$B$12,Paramètres!$A$1:$I$89,7,0))</f>
        <v>0.27</v>
      </c>
      <c r="CI78" s="16">
        <f>IF(ISNA(VLOOKUP(A78,'Données projet'!$A$113:$I$133,6,0)),0%,VLOOKUP(A78,'Données projet'!$A$113:$I$133,6,0)*VLOOKUP('Données projet'!$B$12,Paramètres!$A$1:$I$89,7,0))</f>
        <v>9.0000000000000011E-2</v>
      </c>
      <c r="CJ78" s="16">
        <f>IF(ISNA(VLOOKUP(A78,'Données projet'!$A$113:$I$133,7,0)),0%,VLOOKUP(A78,'Données projet'!$A$113:$I$133,7,0))</f>
        <v>0.2</v>
      </c>
      <c r="CK78" s="21">
        <f>EXP(-LN(2)/35)*CK77+(1-EXP(-LN(2)/35))/(LN(2)/35)*CG78*CH78*VLOOKUP('Données projet'!$B$12,Paramètres!$A$1:$I$89,3,0)*0.475*44/12</f>
        <v>31.281494103097323</v>
      </c>
      <c r="CL78" s="21">
        <f>EXP(-LN(2)/25)*CL77+(1-EXP(-LN(2)/25))/(LN(2)/25)*Calculateur!CG78*Calculateur!CI78*VLOOKUP('Données projet'!$B$12,Paramètres!$A$1:$I$89,3,0)*0.475*44/12</f>
        <v>12.997011279291673</v>
      </c>
      <c r="CM78" s="21">
        <f>EXP(-LN(2)/2)*CM77+(1-EXP(-LN(2)/2))/(LN(2)/2)*CG78*CJ78*VLOOKUP('Données projet'!$B$12,Paramètres!$A$1:$I$89,3,0)*0.475*44/12</f>
        <v>10.276905987765153</v>
      </c>
      <c r="CN78" s="22">
        <f t="shared" si="66"/>
        <v>54.555411370154154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1.6384615384615402</v>
      </c>
      <c r="CT78" s="12">
        <f>IF('Données projet'!$A$140&gt;35,CT77+CS78-DB77,IF(A78&lt;'Données projet'!$A$140,$CQ$205^A78,IF(A78='Données projet'!$A$140,'Données projet'!$B$140,CT77+CS78-DB77)))</f>
        <v>98.576923076922995</v>
      </c>
      <c r="CU78" s="17">
        <f>CT78*VLOOKUP('Données projet'!$B$13,Paramètres!$A$1:$I$89,3,0)*VLOOKUP('Données projet'!$B$13,Paramètres!$A$1:$I$89,5,0)</f>
        <v>113.56061538461528</v>
      </c>
      <c r="CV78" s="13">
        <f t="shared" si="95"/>
        <v>30.168331635282943</v>
      </c>
      <c r="CW78" s="20">
        <f t="shared" si="67"/>
        <v>250.32791605965608</v>
      </c>
      <c r="CX78" s="59">
        <f t="shared" si="68"/>
        <v>543.66124939298936</v>
      </c>
      <c r="CY78" s="59">
        <f ca="1">AVERAGE(OFFSET($CX$3,0,0,'Données projet'!$E$13+1,1))-AVERAGE(OFFSET($H$3,0,0,'Données projet'!$E$13+1,1))</f>
        <v>150.78964413039063</v>
      </c>
      <c r="CZ78" s="59">
        <f t="shared" si="96"/>
        <v>131.90332435966184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5.2193023804928416</v>
      </c>
      <c r="DG78" s="21">
        <f>EXP(-LN(2)/25)*DG77+(1-EXP(-LN(2)/25))/(LN(2)/25)*Calculateur!DB78*Calculateur!DD78*VLOOKUP('Données projet'!$B$13,Paramètres!$A$1:$I$89,3,0)*0.475*44/12</f>
        <v>3.0340860646131933</v>
      </c>
      <c r="DH78" s="21">
        <f>EXP(-LN(2)/2)*DH77+(1-EXP(-LN(2)/2))/(LN(2)/2)*DB78*DE78*VLOOKUP('Données projet'!$B$13,Paramètres!$A$1:$I$89,3,0)*0.475*44/12</f>
        <v>0.31163680061230753</v>
      </c>
      <c r="DI78" s="22">
        <f t="shared" si="69"/>
        <v>8.565025245718342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99.999999999999986</v>
      </c>
      <c r="DM78" s="12">
        <f>VLOOKUP(A78,'Données projet'!$A$165:$I$185,9,0)</f>
        <v>1.7948717948717927</v>
      </c>
      <c r="DN78" s="12">
        <f t="array" ref="DN78">INDEX(DM:DM,MIN(IF(ISNUMBER(DM78:DM274),ROW(DM78:DM274),"")))</f>
        <v>1.7948717948717927</v>
      </c>
      <c r="DO78" s="12">
        <f>IF('Données projet'!$A$166&gt;35,DO77+DN78-DW77,IF(A78&lt;'Données projet'!$A$166,$DL$205^A78,IF(A78='Données projet'!$A$166,'Données projet'!$B$166,DO77+DN78-DW77)))</f>
        <v>100</v>
      </c>
      <c r="DP78" s="17">
        <f>DO78*VLOOKUP('Données projet'!$B$14,Paramètres!$A$1:$I$89,3,0)*VLOOKUP('Données projet'!$B$14,Paramètres!$A$1:$I$89,5,0)</f>
        <v>104.52000000000001</v>
      </c>
      <c r="DQ78" s="13">
        <f t="shared" si="97"/>
        <v>28.036039012748962</v>
      </c>
      <c r="DR78" s="20">
        <f t="shared" si="70"/>
        <v>230.86843461387113</v>
      </c>
      <c r="DS78" s="59">
        <f t="shared" si="71"/>
        <v>524.20176794720442</v>
      </c>
      <c r="DT78" s="59">
        <f ca="1">AVERAGE(OFFSET($DS$3,0,0,'Données projet'!$E$14+1,1))-AVERAGE(OFFSET($H$3,0,0,'Données projet'!$E$14+1,1))</f>
        <v>110.10595934547638</v>
      </c>
      <c r="DU78" s="59">
        <f t="shared" si="98"/>
        <v>131.10971921141493</v>
      </c>
      <c r="DV78" s="15">
        <f>IF(ISNA(VLOOKUP(A78,'Données projet'!$A$165:$I$185,3,0)),0,VLOOKUP(A78,'Données projet'!$A$165:$I$185,3,0))</f>
        <v>10</v>
      </c>
      <c r="DW78" s="15">
        <f>IF(ISNA(VLOOKUP(A78,'Données projet'!$A$165:$I$185,4,0)),0,VLOOKUP(A78,'Données projet'!$A$165:$I$185,4,0))</f>
        <v>5.1282051282051277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0.215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10.468632069946619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10.468632069946619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6.7437500000000021</v>
      </c>
      <c r="EJ78" s="12">
        <f>IF('Données projet'!$A$192&gt;35,EJ77+EI78-ER77,IF(A78&lt;'Données projet'!$A$192,$EG$205^A78,IF(A78='Données projet'!$A$192,'Données projet'!$B$192,EJ77+EI78-ER77)))</f>
        <v>189.03250000000003</v>
      </c>
      <c r="EK78" s="17">
        <f>EJ78*VLOOKUP('Données projet'!$B$15,Paramètres!$A$1:$I$89,3,0)*VLOOKUP('Données projet'!$B$15,Paramètres!$A$1:$I$89,5,0)</f>
        <v>191.67895500000003</v>
      </c>
      <c r="EL78" s="13">
        <f t="shared" si="99"/>
        <v>47.910955687340916</v>
      </c>
      <c r="EM78" s="20">
        <f t="shared" si="73"/>
        <v>417.28576111378544</v>
      </c>
      <c r="EN78" s="59">
        <f t="shared" si="74"/>
        <v>710.61909444711875</v>
      </c>
      <c r="EO78" s="59">
        <f ca="1">AVERAGE(OFFSET($EN$3,0,0,'Données projet'!$E$15+1,1))-AVERAGE(OFFSET($H$3,0,0,'Données projet'!$E$15+1,1))</f>
        <v>420.38735944595965</v>
      </c>
      <c r="EP78" s="59">
        <f t="shared" si="100"/>
        <v>200.0823542414671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32.196462413889655</v>
      </c>
      <c r="EX78" s="21">
        <f>EXP(-LN(2)/2)*EX77+(1-EXP(-LN(2)/2))/(LN(2)/2)*ER78*EU78*VLOOKUP('Données projet'!$B$15,Paramètres!$A$1:$I$89,3,0)*0.475*44/12</f>
        <v>1.08686269871949</v>
      </c>
      <c r="EY78" s="22">
        <f t="shared" si="75"/>
        <v>33.283325112609148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273.76</v>
      </c>
      <c r="FC78" s="12">
        <f>VLOOKUP(A78,'Données projet'!$A$217:$I$237,9,0)</f>
        <v>9.65625</v>
      </c>
      <c r="FD78" s="12">
        <f t="array" ref="FD78">INDEX(FC:FC,MIN(IF(ISNUMBER(FC78:FC274),ROW(FC78:FC274),"")))</f>
        <v>9.65625</v>
      </c>
      <c r="FE78" s="12">
        <f>IF('Données projet'!$A$218&gt;35,FE77+FD78-FM77,IF(A78&lt;'Données projet'!$A$218,$FB$205^A78,IF(A78='Données projet'!$A$218,'Données projet'!$B$218,FE77+FD78-FM77)))</f>
        <v>273.76</v>
      </c>
      <c r="FF78" s="17">
        <f>FE78*VLOOKUP('Données projet'!$B$16,Paramètres!$A$1:$I$89,3,0)*VLOOKUP('Données projet'!$B$16,Paramètres!$A$1:$I$89,5,0)</f>
        <v>294.67526399999997</v>
      </c>
      <c r="FG78" s="13">
        <f t="shared" si="101"/>
        <v>70.059033491377406</v>
      </c>
      <c r="FH78" s="20">
        <f t="shared" si="76"/>
        <v>635.24556813081563</v>
      </c>
      <c r="FI78" s="59">
        <f t="shared" si="77"/>
        <v>928.57890146414888</v>
      </c>
      <c r="FJ78" s="59">
        <f ca="1">AVERAGE(OFFSET($FI$3,0,0,'Données projet'!$E$16+1,1))-AVERAGE(OFFSET($H$3,0,0,'Données projet'!$E$16+1,1))</f>
        <v>415.8741608506952</v>
      </c>
      <c r="FK78" s="59">
        <f t="shared" si="102"/>
        <v>259.15848913719356</v>
      </c>
      <c r="FL78" s="15">
        <f>IF(ISNA(VLOOKUP(A78,'Données projet'!$A$217:$I$237,3,0)),0,VLOOKUP(A78,'Données projet'!$A$217:$I$237,3,0))</f>
        <v>6</v>
      </c>
      <c r="FM78" s="15">
        <f>IF(ISNA(VLOOKUP(A78,'Données projet'!$A$217:$I$237,4,0)),0,VLOOKUP(A78,'Données projet'!$A$217:$I$237,4,0))</f>
        <v>43.519999999999982</v>
      </c>
      <c r="FN78" s="16">
        <f>IF(ISNA(VLOOKUP(A78,'Données projet'!$A$217:$I$237,5,0)),0%,VLOOKUP(A78,'Données projet'!$A$217:$I$237,5,0)*VLOOKUP('Données projet'!$B$16,Paramètres!$A$1:$I$89,7,0))</f>
        <v>0.15049999999999999</v>
      </c>
      <c r="FO78" s="16">
        <f>IF(ISNA(VLOOKUP(A78,'Données projet'!$A$217:$I$237,6,0)),0%,VLOOKUP(A78,'Données projet'!$A$217:$I$237,6,0)*VLOOKUP('Données projet'!$B$16,Paramètres!$A$1:$I$89,7,0))</f>
        <v>8.6000000000000007E-2</v>
      </c>
      <c r="FP78" s="16">
        <f>IF(ISNA(VLOOKUP(A78,'Données projet'!$A$217:$I$237,7,0)),0%,VLOOKUP(A78,'Données projet'!$A$217:$I$237,7,0))</f>
        <v>0.1</v>
      </c>
      <c r="FQ78" s="21">
        <f>EXP(-LN(2)/35)*FQ77+(1-EXP(-LN(2)/35))/(LN(2)/35)*FM78*FN78*VLOOKUP('Données projet'!$B$16,Paramètres!$A$1:$I$89,3,0)*0.475*44/12</f>
        <v>24.793601721159515</v>
      </c>
      <c r="FR78" s="21">
        <f>EXP(-LN(2)/25)*FR77+(1-EXP(-LN(2)/25))/(LN(2)/25)*Calculateur!FM78*Calculateur!FO78*VLOOKUP('Données projet'!$B$16,Paramètres!$A$1:$I$89,3,0)*0.475*44/12</f>
        <v>30.896891658689654</v>
      </c>
      <c r="FS78" s="21">
        <f>EXP(-LN(2)/2)*FS77+(1-EXP(-LN(2)/2))/(LN(2)/2)*FM78*FP78*VLOOKUP('Données projet'!$B$16,Paramètres!$A$1:$I$89,3,0)*0.475*44/12</f>
        <v>4.7084760264595058</v>
      </c>
      <c r="FT78" s="22">
        <f t="shared" si="78"/>
        <v>60.39896940630868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273.76</v>
      </c>
      <c r="FX78" s="12">
        <f>VLOOKUP(A78,'Données projet'!$A$243:$I$263,9,0)</f>
        <v>9.65625</v>
      </c>
      <c r="FY78" s="12">
        <f t="array" ref="FY78">INDEX(FX:FX,MIN(IF(ISNUMBER(FX78:FX274),ROW(FX78:FX274),"")))</f>
        <v>9.65625</v>
      </c>
      <c r="FZ78" s="12">
        <f>IF('Données projet'!$A$244&gt;35,FZ77+FY78-GH77,IF(A78&lt;'Données projet'!$A$244,$FW$205^A78,IF(A78='Données projet'!$A$244,'Données projet'!$B$244,FZ77+FY78-GH77)))</f>
        <v>273.76</v>
      </c>
      <c r="GA78" s="17">
        <f>FZ78*VLOOKUP('Données projet'!$B$17,Paramètres!$A$1:$I$89,3,0)*VLOOKUP('Données projet'!$B$17,Paramètres!$A$1:$I$89,5,0)</f>
        <v>234.88608000000002</v>
      </c>
      <c r="GB78" s="13">
        <f t="shared" si="103"/>
        <v>57.337870247711656</v>
      </c>
      <c r="GC78" s="20">
        <f t="shared" si="79"/>
        <v>508.95671334809776</v>
      </c>
      <c r="GD78" s="59">
        <f t="shared" si="80"/>
        <v>802.29004668143102</v>
      </c>
      <c r="GE78" s="59">
        <f ca="1">AVERAGE(OFFSET($GD$3,0,0,'Données projet'!$E$17+1,1))-AVERAGE(OFFSET($H$3,0,0,'Données projet'!$E$17+1,1))</f>
        <v>322.39807389980882</v>
      </c>
      <c r="GF78" s="59">
        <f t="shared" si="104"/>
        <v>202.59410055732792</v>
      </c>
      <c r="GG78" s="15">
        <f>IF(ISNA(VLOOKUP(A78,'Données projet'!$A$243:$I$263,3,0)),0,VLOOKUP(A78,'Données projet'!$A$243:$I$263,3,0))</f>
        <v>6</v>
      </c>
      <c r="GH78" s="15">
        <f>IF(ISNA(VLOOKUP(A78,'Données projet'!$A$243:$I$263,4,0)),0,VLOOKUP(A78,'Données projet'!$A$243:$I$263,4,0))</f>
        <v>43.519999999999982</v>
      </c>
      <c r="GI78" s="16">
        <f>IF(ISNA(VLOOKUP(A78,'Données projet'!$A$243:$I$263,5,0)),0%,VLOOKUP(A78,'Données projet'!$A$243:$I$263,5,0)*VLOOKUP('Données projet'!$B$17,Paramètres!$A$1:$I$89,7,0))</f>
        <v>0.1855</v>
      </c>
      <c r="GJ78" s="16">
        <f>IF(ISNA(VLOOKUP(A78,'Données projet'!$A$243:$I$263,6,0)),0%,VLOOKUP(A78,'Données projet'!$A$243:$I$263,6,0)*VLOOKUP('Données projet'!$B$17,Paramètres!$A$1:$I$89,7,0))</f>
        <v>0.10600000000000001</v>
      </c>
      <c r="GK78" s="16">
        <f>IF(ISNA(VLOOKUP(A78,'Données projet'!$A$243:$I$263,7,0)),0%,VLOOKUP(A78,'Données projet'!$A$243:$I$263,7,0))</f>
        <v>0.1</v>
      </c>
      <c r="GL78" s="21">
        <f>EXP(-LN(2)/35)*GL77+(1-EXP(-LN(2)/35))/(LN(2)/35)*GH78*GI78*VLOOKUP('Données projet'!$B$17,Paramètres!$A$1:$I$89,3,0)*0.475*44/12</f>
        <v>24.359066065783615</v>
      </c>
      <c r="GM78" s="21">
        <f>EXP(-LN(2)/25)*GM77+(1-EXP(-LN(2)/25))/(LN(2)/25)*Calculateur!GH78*Calculateur!GJ78*VLOOKUP('Données projet'!$B$17,Paramètres!$A$1:$I$89,3,0)*0.475*44/12</f>
        <v>30.355389007441971</v>
      </c>
      <c r="GN78" s="21">
        <f>EXP(-LN(2)/2)*GN77+(1-EXP(-LN(2)/2))/(LN(2)/2)*GH78*GK78*VLOOKUP('Données projet'!$B$17,Paramètres!$A$1:$I$89,3,0)*0.475*44/12</f>
        <v>3.7531330645691723</v>
      </c>
      <c r="GO78" s="21">
        <f t="shared" si="81"/>
        <v>58.467588137794756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27.861599999999942</v>
      </c>
      <c r="D79" s="11">
        <f t="shared" si="86"/>
        <v>8.7168467992286534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282.35994020457161</v>
      </c>
      <c r="H79" s="67">
        <f t="shared" si="56"/>
        <v>357.04079484198979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10.417499999999999</v>
      </c>
      <c r="N79" s="13">
        <f>IF('Données projet'!$A$36&gt;35,N78+M79-V78,IF(A79&lt;'Données projet'!$A$36,$K$205^A79,IF(A79='Données projet'!$A$36,'Données projet'!$B$36,N78+M79-V78)))</f>
        <v>312.1674999999999</v>
      </c>
      <c r="O79" s="13">
        <f>N79*VLOOKUP('Données projet'!$B$9,Paramètres!$A$1:$I$89,3,0)*VLOOKUP('Données projet'!$B$9,Paramètres!$A$1:$I$89,5,0)</f>
        <v>146.09438999999995</v>
      </c>
      <c r="P79" s="13">
        <f t="shared" si="87"/>
        <v>37.689663525323951</v>
      </c>
      <c r="Q79" s="20">
        <f t="shared" si="54"/>
        <v>320.09055988993907</v>
      </c>
      <c r="R79" s="59">
        <f t="shared" si="55"/>
        <v>613.42389322327244</v>
      </c>
      <c r="S79" s="59">
        <f ca="1">AVERAGE(OFFSET($R$3,0,0,'Données projet'!$E$9+1,1))-AVERAGE(OFFSET($H$3,0,0,'Données projet'!$E$9+1,1))</f>
        <v>215.77907571824977</v>
      </c>
      <c r="T79" s="59">
        <f t="shared" si="88"/>
        <v>174.69390149594869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42.423754537170829</v>
      </c>
      <c r="AA79" s="21">
        <f>EXP(-LN(2)/25)*AA78+(1-EXP(-LN(2)/25))/(LN(2)/25)*Calculateur!V79*Calculateur!X79*VLOOKUP('Données projet'!$B$9,Paramètres!$A$1:$I$89,3,0)*0.475*44/12</f>
        <v>18.078164171293803</v>
      </c>
      <c r="AB79" s="21">
        <f>EXP(-LN(2)/2)*AB78+(1-EXP(-LN(2)/2))/(LN(2)/2)*V79*Y79*VLOOKUP('Données projet'!$B$9,Paramètres!$A$1:$I$89,3,0)*0.475*44/12</f>
        <v>7.1649688127266256</v>
      </c>
      <c r="AC79" s="22">
        <f t="shared" si="57"/>
        <v>67.666887521191256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-1.0197709343628959E-13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171.701352621833</v>
      </c>
      <c r="AO79" s="59">
        <f t="shared" si="90"/>
        <v>195.58435749168586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77.470349383847804</v>
      </c>
      <c r="AV79" s="21">
        <f>EXP(-LN(2)/25)*AV78+(1-EXP(-LN(2)/25))/(LN(2)/25)*Calculateur!AQ79*Calculateur!AS79*VLOOKUP('Données projet'!$B$10,Paramètres!$A$1:$I$89,3,0)*0.475*44/12</f>
        <v>25.354621641926439</v>
      </c>
      <c r="AW79" s="21">
        <f>EXP(-LN(2)/2)*AW78+(1-EXP(-LN(2)/2))/(LN(2)/2)*AQ79*AT79*VLOOKUP('Données projet'!$B$10,Paramètres!$A$1:$I$89,3,0)*0.475*44/12</f>
        <v>0.34936661123756685</v>
      </c>
      <c r="AX79" s="21">
        <f t="shared" si="60"/>
        <v>103.17433763701182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13.2</v>
      </c>
      <c r="BD79" s="12">
        <f>IF('Données projet'!$A$88&gt;35,BD78+BC79-BL78,IF(A79&lt;'Données projet'!$A$88,$BA$205^A79,IF(A79='Données projet'!$A$88,'Données projet'!$B$88,BD78+BC79-BL78)))</f>
        <v>655.19999999999959</v>
      </c>
      <c r="BE79" s="13">
        <f>BD79*VLOOKUP('Données projet'!$B$11,Paramètres!$A$1:$I$89,3,0)*VLOOKUP('Données projet'!$B$11,Paramètres!$A$1:$I$89,5,0)</f>
        <v>340.70399999999984</v>
      </c>
      <c r="BF79" s="13">
        <f t="shared" si="91"/>
        <v>79.64537976452938</v>
      </c>
      <c r="BG79" s="20">
        <f t="shared" si="61"/>
        <v>732.10850308988836</v>
      </c>
      <c r="BH79" s="59">
        <f t="shared" si="62"/>
        <v>1025.4418364232217</v>
      </c>
      <c r="BI79" s="59">
        <f ca="1">AVERAGE(OFFSET($BH$3,0,0,'Données projet'!$E$11+1,1))-AVERAGE(OFFSET($H$3,0,0,'Données projet'!$E$11+1,1))</f>
        <v>348.29124901999882</v>
      </c>
      <c r="BJ79" s="59">
        <f t="shared" si="92"/>
        <v>284.30034973939053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60.789005747267467</v>
      </c>
      <c r="BQ79" s="21">
        <f>EXP(-LN(2)/25)*BQ78+(1-EXP(-LN(2)/25))/(LN(2)/25)*Calculateur!BL79*Calculateur!BN79*VLOOKUP('Données projet'!$B$11,Paramètres!$A$1:$I$89,3,0)*0.475*44/12</f>
        <v>27.118764512203775</v>
      </c>
      <c r="BR79" s="21">
        <f>EXP(-LN(2)/2)*BR78+(1-EXP(-LN(2)/2))/(LN(2)/2)*BL79*BO79*VLOOKUP('Données projet'!$B$11,Paramètres!$A$1:$I$89,3,0)*0.475*44/12</f>
        <v>3.993922749803569</v>
      </c>
      <c r="BS79" s="22">
        <f t="shared" si="63"/>
        <v>91.901693009274823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6.3513333333333337</v>
      </c>
      <c r="BY79" s="12">
        <f>IF('Données projet'!$A$114&gt;35,BY78+BX79-CG78,IF(A79&lt;'Données projet'!$A$114,$BV$205^A79,IF(A79='Données projet'!$A$114,'Données projet'!$B$114,BY78+BX79-CG78)))</f>
        <v>205.39133333333311</v>
      </c>
      <c r="BZ79" s="13">
        <f>BY79*VLOOKUP('Données projet'!$B$12,Paramètres!$A$1:$I$89,3,0)*VLOOKUP('Données projet'!$B$12,Paramètres!$A$1:$I$89,5,0)</f>
        <v>122.8240173333332</v>
      </c>
      <c r="CA79" s="13">
        <f t="shared" si="93"/>
        <v>32.332760638312322</v>
      </c>
      <c r="CB79" s="20">
        <f t="shared" si="64"/>
        <v>270.23138830061589</v>
      </c>
      <c r="CC79" s="59">
        <f t="shared" si="65"/>
        <v>563.56472163394915</v>
      </c>
      <c r="CD79" s="59">
        <f ca="1">AVERAGE(OFFSET($CC$3,0,0,'Données projet'!$E$12+1,1))-AVERAGE(OFFSET($H$3,0,0,'Données projet'!$E$12+1,1))</f>
        <v>185.82627135915504</v>
      </c>
      <c r="CE79" s="59">
        <f t="shared" si="94"/>
        <v>155.46126452522037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30.668083083563012</v>
      </c>
      <c r="CL79" s="21">
        <f>EXP(-LN(2)/25)*CL78+(1-EXP(-LN(2)/25))/(LN(2)/25)*Calculateur!CG79*Calculateur!CI79*VLOOKUP('Données projet'!$B$12,Paramètres!$A$1:$I$89,3,0)*0.475*44/12</f>
        <v>12.641607322376323</v>
      </c>
      <c r="CM79" s="21">
        <f>EXP(-LN(2)/2)*CM78+(1-EXP(-LN(2)/2))/(LN(2)/2)*CG79*CJ79*VLOOKUP('Données projet'!$B$12,Paramètres!$A$1:$I$89,3,0)*0.475*44/12</f>
        <v>7.2668699135653743</v>
      </c>
      <c r="CN79" s="22">
        <f t="shared" si="66"/>
        <v>50.576560319504708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1.6384615384615402</v>
      </c>
      <c r="CT79" s="12">
        <f>IF('Données projet'!$A$140&gt;35,CT78+CS79-DB78,IF(A79&lt;'Données projet'!$A$140,$CQ$205^A79,IF(A79='Données projet'!$A$140,'Données projet'!$B$140,CT78+CS79-DB78)))</f>
        <v>100.21538461538454</v>
      </c>
      <c r="CU79" s="17">
        <f>CT79*VLOOKUP('Données projet'!$B$13,Paramètres!$A$1:$I$89,3,0)*VLOOKUP('Données projet'!$B$13,Paramètres!$A$1:$I$89,5,0)</f>
        <v>115.44812307692298</v>
      </c>
      <c r="CV79" s="13">
        <f t="shared" si="95"/>
        <v>30.610971223959485</v>
      </c>
      <c r="CW79" s="20">
        <f t="shared" si="67"/>
        <v>254.38625590737027</v>
      </c>
      <c r="CX79" s="59">
        <f t="shared" si="68"/>
        <v>547.71958924070361</v>
      </c>
      <c r="CY79" s="59">
        <f ca="1">AVERAGE(OFFSET($CX$3,0,0,'Données projet'!$E$13+1,1))-AVERAGE(OFFSET($H$3,0,0,'Données projet'!$E$13+1,1))</f>
        <v>150.78964413039063</v>
      </c>
      <c r="CZ79" s="59">
        <f t="shared" si="96"/>
        <v>131.90332435966184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5.1169550442714886</v>
      </c>
      <c r="DG79" s="21">
        <f>EXP(-LN(2)/25)*DG78+(1-EXP(-LN(2)/25))/(LN(2)/25)*Calculateur!DB79*Calculateur!DD79*VLOOKUP('Données projet'!$B$13,Paramètres!$A$1:$I$89,3,0)*0.475*44/12</f>
        <v>2.9511188216206938</v>
      </c>
      <c r="DH79" s="21">
        <f>EXP(-LN(2)/2)*DH78+(1-EXP(-LN(2)/2))/(LN(2)/2)*DB79*DE79*VLOOKUP('Données projet'!$B$13,Paramètres!$A$1:$I$89,3,0)*0.475*44/12</f>
        <v>0.22036049498024268</v>
      </c>
      <c r="DI79" s="22">
        <f t="shared" si="69"/>
        <v>8.2884343608724258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1.5384615384615388</v>
      </c>
      <c r="DO79" s="12">
        <f>IF('Données projet'!$A$166&gt;35,DO78+DN79-DW78,IF(A79&lt;'Données projet'!$A$166,$DL$205^A79,IF(A79='Données projet'!$A$166,'Données projet'!$B$166,DO78+DN79-DW78)))</f>
        <v>96.410256410256409</v>
      </c>
      <c r="DP79" s="17">
        <f>DO79*VLOOKUP('Données projet'!$B$14,Paramètres!$A$1:$I$89,3,0)*VLOOKUP('Données projet'!$B$14,Paramètres!$A$1:$I$89,5,0)</f>
        <v>100.768</v>
      </c>
      <c r="DQ79" s="13">
        <f t="shared" si="97"/>
        <v>27.144881409527077</v>
      </c>
      <c r="DR79" s="20">
        <f t="shared" si="70"/>
        <v>222.78160178825965</v>
      </c>
      <c r="DS79" s="59">
        <f t="shared" si="71"/>
        <v>516.11493512159291</v>
      </c>
      <c r="DT79" s="59">
        <f ca="1">AVERAGE(OFFSET($DS$3,0,0,'Données projet'!$E$14+1,1))-AVERAGE(OFFSET($H$3,0,0,'Données projet'!$E$14+1,1))</f>
        <v>110.10595934547638</v>
      </c>
      <c r="DU79" s="59">
        <f t="shared" si="98"/>
        <v>131.10971921141493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10.182366775472493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10.182366775472493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6.7437500000000021</v>
      </c>
      <c r="EJ79" s="12">
        <f>IF('Données projet'!$A$192&gt;35,EJ78+EI79-ER78,IF(A79&lt;'Données projet'!$A$192,$EG$205^A79,IF(A79='Données projet'!$A$192,'Données projet'!$B$192,EJ78+EI79-ER78)))</f>
        <v>195.77625000000003</v>
      </c>
      <c r="EK79" s="17">
        <f>EJ79*VLOOKUP('Données projet'!$B$15,Paramètres!$A$1:$I$89,3,0)*VLOOKUP('Données projet'!$B$15,Paramètres!$A$1:$I$89,5,0)</f>
        <v>198.51711750000004</v>
      </c>
      <c r="EL79" s="13">
        <f t="shared" si="99"/>
        <v>49.41813401590116</v>
      </c>
      <c r="EM79" s="20">
        <f t="shared" si="73"/>
        <v>431.8205630568612</v>
      </c>
      <c r="EN79" s="59">
        <f t="shared" si="74"/>
        <v>725.15389639019452</v>
      </c>
      <c r="EO79" s="59">
        <f ca="1">AVERAGE(OFFSET($EN$3,0,0,'Données projet'!$E$15+1,1))-AVERAGE(OFFSET($H$3,0,0,'Données projet'!$E$15+1,1))</f>
        <v>420.38735944595965</v>
      </c>
      <c r="EP79" s="59">
        <f t="shared" si="100"/>
        <v>200.0823542414671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31.316048456043472</v>
      </c>
      <c r="EX79" s="21">
        <f>EXP(-LN(2)/2)*EX78+(1-EXP(-LN(2)/2))/(LN(2)/2)*ER79*EU79*VLOOKUP('Données projet'!$B$15,Paramètres!$A$1:$I$89,3,0)*0.475*44/12</f>
        <v>0.76852798448326298</v>
      </c>
      <c r="EY79" s="22">
        <f t="shared" si="75"/>
        <v>32.084576440526732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9.4837500000000006</v>
      </c>
      <c r="FE79" s="12">
        <f>IF('Données projet'!$A$218&gt;35,FE78+FD79-FM78,IF(A79&lt;'Données projet'!$A$218,$FB$205^A79,IF(A79='Données projet'!$A$218,'Données projet'!$B$218,FE78+FD79-FM78)))</f>
        <v>239.72375</v>
      </c>
      <c r="FF79" s="17">
        <f>FE79*VLOOKUP('Données projet'!$B$16,Paramètres!$A$1:$I$89,3,0)*VLOOKUP('Données projet'!$B$16,Paramètres!$A$1:$I$89,5,0)</f>
        <v>258.03864449999998</v>
      </c>
      <c r="FG79" s="13">
        <f t="shared" si="101"/>
        <v>62.304112150988615</v>
      </c>
      <c r="FH79" s="20">
        <f t="shared" si="76"/>
        <v>557.9303011671384</v>
      </c>
      <c r="FI79" s="59">
        <f t="shared" si="77"/>
        <v>851.26363450047165</v>
      </c>
      <c r="FJ79" s="59">
        <f ca="1">AVERAGE(OFFSET($FI$3,0,0,'Données projet'!$E$16+1,1))-AVERAGE(OFFSET($H$3,0,0,'Données projet'!$E$16+1,1))</f>
        <v>415.8741608506952</v>
      </c>
      <c r="FK79" s="59">
        <f t="shared" si="102"/>
        <v>259.15848913719356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24.307414314011393</v>
      </c>
      <c r="FR79" s="21">
        <f>EXP(-LN(2)/25)*FR78+(1-EXP(-LN(2)/25))/(LN(2)/25)*Calculateur!FM79*Calculateur!FO79*VLOOKUP('Données projet'!$B$16,Paramètres!$A$1:$I$89,3,0)*0.475*44/12</f>
        <v>30.05201453148587</v>
      </c>
      <c r="FS79" s="21">
        <f>EXP(-LN(2)/2)*FS78+(1-EXP(-LN(2)/2))/(LN(2)/2)*FM79*FP79*VLOOKUP('Données projet'!$B$16,Paramètres!$A$1:$I$89,3,0)*0.475*44/12</f>
        <v>3.3293953273638066</v>
      </c>
      <c r="FT79" s="22">
        <f t="shared" si="78"/>
        <v>57.688824172861068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9.4837500000000006</v>
      </c>
      <c r="FZ79" s="12">
        <f>IF('Données projet'!$A$244&gt;35,FZ78+FY79-GH78,IF(A79&lt;'Données projet'!$A$244,$FW$205^A79,IF(A79='Données projet'!$A$244,'Données projet'!$B$244,FZ78+FY79-GH78)))</f>
        <v>239.72375</v>
      </c>
      <c r="GA79" s="17">
        <f>FZ79*VLOOKUP('Données projet'!$B$17,Paramètres!$A$1:$I$89,3,0)*VLOOKUP('Données projet'!$B$17,Paramètres!$A$1:$I$89,5,0)</f>
        <v>205.68297749999999</v>
      </c>
      <c r="GB79" s="13">
        <f t="shared" si="103"/>
        <v>50.991070250090381</v>
      </c>
      <c r="GC79" s="20">
        <f t="shared" si="79"/>
        <v>447.04063316474071</v>
      </c>
      <c r="GD79" s="59">
        <f t="shared" si="80"/>
        <v>740.37396649807397</v>
      </c>
      <c r="GE79" s="59">
        <f ca="1">AVERAGE(OFFSET($GD$3,0,0,'Données projet'!$E$17+1,1))-AVERAGE(OFFSET($H$3,0,0,'Données projet'!$E$17+1,1))</f>
        <v>322.39807389980882</v>
      </c>
      <c r="GF79" s="59">
        <f t="shared" si="104"/>
        <v>202.59410055732792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23.881399637796836</v>
      </c>
      <c r="GM79" s="21">
        <f>EXP(-LN(2)/25)*GM78+(1-EXP(-LN(2)/25))/(LN(2)/25)*Calculateur!GH79*Calculateur!GJ79*VLOOKUP('Données projet'!$B$17,Paramètres!$A$1:$I$89,3,0)*0.475*44/12</f>
        <v>29.52531929871294</v>
      </c>
      <c r="GN79" s="21">
        <f>EXP(-LN(2)/2)*GN78+(1-EXP(-LN(2)/2))/(LN(2)/2)*GH79*GK79*VLOOKUP('Données projet'!$B$17,Paramètres!$A$1:$I$89,3,0)*0.475*44/12</f>
        <v>2.6538658406523106</v>
      </c>
      <c r="GO79" s="21">
        <f t="shared" si="81"/>
        <v>56.060584777162084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28.228199999999941</v>
      </c>
      <c r="D80" s="11">
        <f t="shared" si="86"/>
        <v>8.8181143814001928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285.9715496108081</v>
      </c>
      <c r="H80" s="67">
        <f t="shared" si="56"/>
        <v>357.85566421427188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10.417499999999999</v>
      </c>
      <c r="N80" s="13">
        <f>IF('Données projet'!$A$36&gt;35,N79+M80-V79,IF(A80&lt;'Données projet'!$A$36,$K$205^A80,IF(A80='Données projet'!$A$36,'Données projet'!$B$36,N79+M80-V79)))</f>
        <v>322.58499999999992</v>
      </c>
      <c r="O80" s="13">
        <f>N80*VLOOKUP('Données projet'!$B$9,Paramètres!$A$1:$I$89,3,0)*VLOOKUP('Données projet'!$B$9,Paramètres!$A$1:$I$89,5,0)</f>
        <v>150.96977999999996</v>
      </c>
      <c r="P80" s="13">
        <f t="shared" si="87"/>
        <v>38.798888878952567</v>
      </c>
      <c r="Q80" s="20">
        <f t="shared" si="54"/>
        <v>330.51376496417566</v>
      </c>
      <c r="R80" s="59">
        <f t="shared" si="55"/>
        <v>623.84709829750898</v>
      </c>
      <c r="S80" s="59">
        <f ca="1">AVERAGE(OFFSET($R$3,0,0,'Données projet'!$E$9+1,1))-AVERAGE(OFFSET($H$3,0,0,'Données projet'!$E$9+1,1))</f>
        <v>215.77907571824977</v>
      </c>
      <c r="T80" s="59">
        <f t="shared" si="88"/>
        <v>174.69390149594869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41.591850586632141</v>
      </c>
      <c r="AA80" s="21">
        <f>EXP(-LN(2)/25)*AA79+(1-EXP(-LN(2)/25))/(LN(2)/25)*Calculateur!V80*Calculateur!X80*VLOOKUP('Données projet'!$B$9,Paramètres!$A$1:$I$89,3,0)*0.475*44/12</f>
        <v>17.583815821340437</v>
      </c>
      <c r="AB80" s="21">
        <f>EXP(-LN(2)/2)*AB79+(1-EXP(-LN(2)/2))/(LN(2)/2)*V80*Y80*VLOOKUP('Données projet'!$B$9,Paramètres!$A$1:$I$89,3,0)*0.475*44/12</f>
        <v>5.066398034469124</v>
      </c>
      <c r="AC80" s="22">
        <f t="shared" si="57"/>
        <v>64.242064442441702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-1.0197709343628959E-13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171.701352621833</v>
      </c>
      <c r="AO80" s="59">
        <f t="shared" si="90"/>
        <v>195.58435749168586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75.9512030846779</v>
      </c>
      <c r="AV80" s="21">
        <f>EXP(-LN(2)/25)*AV79+(1-EXP(-LN(2)/25))/(LN(2)/25)*Calculateur!AQ80*Calculateur!AS80*VLOOKUP('Données projet'!$B$10,Paramètres!$A$1:$I$89,3,0)*0.475*44/12</f>
        <v>24.661298179786357</v>
      </c>
      <c r="AW80" s="21">
        <f>EXP(-LN(2)/2)*AW79+(1-EXP(-LN(2)/2))/(LN(2)/2)*AQ80*AT80*VLOOKUP('Données projet'!$B$10,Paramètres!$A$1:$I$89,3,0)*0.475*44/12</f>
        <v>0.24703949992624782</v>
      </c>
      <c r="AX80" s="21">
        <f t="shared" si="60"/>
        <v>100.8595407643905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13.2</v>
      </c>
      <c r="BD80" s="12">
        <f>IF('Données projet'!$A$88&gt;35,BD79+BC80-BL79,IF(A80&lt;'Données projet'!$A$88,$BA$205^A80,IF(A80='Données projet'!$A$88,'Données projet'!$B$88,BD79+BC80-BL79)))</f>
        <v>668.39999999999964</v>
      </c>
      <c r="BE80" s="13">
        <f>BD80*VLOOKUP('Données projet'!$B$11,Paramètres!$A$1:$I$89,3,0)*VLOOKUP('Données projet'!$B$11,Paramètres!$A$1:$I$89,5,0)</f>
        <v>347.56799999999981</v>
      </c>
      <c r="BF80" s="13">
        <f t="shared" si="91"/>
        <v>81.061534138422132</v>
      </c>
      <c r="BG80" s="20">
        <f t="shared" si="61"/>
        <v>746.52977195775156</v>
      </c>
      <c r="BH80" s="59">
        <f t="shared" si="62"/>
        <v>1039.8631052910848</v>
      </c>
      <c r="BI80" s="59">
        <f ca="1">AVERAGE(OFFSET($BH$3,0,0,'Données projet'!$E$11+1,1))-AVERAGE(OFFSET($H$3,0,0,'Données projet'!$E$11+1,1))</f>
        <v>348.29124901999882</v>
      </c>
      <c r="BJ80" s="59">
        <f t="shared" si="92"/>
        <v>284.30034973939053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59.596970422195945</v>
      </c>
      <c r="BQ80" s="21">
        <f>EXP(-LN(2)/25)*BQ79+(1-EXP(-LN(2)/25))/(LN(2)/25)*Calculateur!BL80*Calculateur!BN80*VLOOKUP('Données projet'!$B$11,Paramètres!$A$1:$I$89,3,0)*0.475*44/12</f>
        <v>26.377200470503716</v>
      </c>
      <c r="BR80" s="21">
        <f>EXP(-LN(2)/2)*BR79+(1-EXP(-LN(2)/2))/(LN(2)/2)*BL80*BO80*VLOOKUP('Données projet'!$B$11,Paramètres!$A$1:$I$89,3,0)*0.475*44/12</f>
        <v>2.8241298599213267</v>
      </c>
      <c r="BS80" s="22">
        <f t="shared" si="63"/>
        <v>88.798300752620989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6.3513333333333337</v>
      </c>
      <c r="BY80" s="12">
        <f>IF('Données projet'!$A$114&gt;35,BY79+BX80-CG79,IF(A80&lt;'Données projet'!$A$114,$BV$205^A80,IF(A80='Données projet'!$A$114,'Données projet'!$B$114,BY79+BX80-CG79)))</f>
        <v>211.74266666666645</v>
      </c>
      <c r="BZ80" s="13">
        <f>BY80*VLOOKUP('Données projet'!$B$12,Paramètres!$A$1:$I$89,3,0)*VLOOKUP('Données projet'!$B$12,Paramètres!$A$1:$I$89,5,0)</f>
        <v>126.62211466666655</v>
      </c>
      <c r="CA80" s="13">
        <f t="shared" si="93"/>
        <v>33.214637276851583</v>
      </c>
      <c r="CB80" s="20">
        <f t="shared" si="64"/>
        <v>278.38234296829404</v>
      </c>
      <c r="CC80" s="59">
        <f t="shared" si="65"/>
        <v>571.71567630162735</v>
      </c>
      <c r="CD80" s="59">
        <f ca="1">AVERAGE(OFFSET($CC$3,0,0,'Données projet'!$E$12+1,1))-AVERAGE(OFFSET($H$3,0,0,'Données projet'!$E$12+1,1))</f>
        <v>185.82627135915504</v>
      </c>
      <c r="CE80" s="59">
        <f t="shared" si="94"/>
        <v>155.46126452522037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30.066700679977988</v>
      </c>
      <c r="CL80" s="21">
        <f>EXP(-LN(2)/25)*CL79+(1-EXP(-LN(2)/25))/(LN(2)/25)*Calculateur!CG80*Calculateur!CI80*VLOOKUP('Données projet'!$B$12,Paramètres!$A$1:$I$89,3,0)*0.475*44/12</f>
        <v>12.295921905352706</v>
      </c>
      <c r="CM80" s="21">
        <f>EXP(-LN(2)/2)*CM79+(1-EXP(-LN(2)/2))/(LN(2)/2)*CG80*CJ80*VLOOKUP('Données projet'!$B$12,Paramètres!$A$1:$I$89,3,0)*0.475*44/12</f>
        <v>5.1384529938825771</v>
      </c>
      <c r="CN80" s="22">
        <f t="shared" si="66"/>
        <v>47.501075579213278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1.6384615384615402</v>
      </c>
      <c r="CT80" s="12">
        <f>IF('Données projet'!$A$140&gt;35,CT79+CS80-DB79,IF(A80&lt;'Données projet'!$A$140,$CQ$205^A80,IF(A80='Données projet'!$A$140,'Données projet'!$B$140,CT79+CS80-DB79)))</f>
        <v>101.85384615384608</v>
      </c>
      <c r="CU80" s="17">
        <f>CT80*VLOOKUP('Données projet'!$B$13,Paramètres!$A$1:$I$89,3,0)*VLOOKUP('Données projet'!$B$13,Paramètres!$A$1:$I$89,5,0)</f>
        <v>117.33563076923068</v>
      </c>
      <c r="CV80" s="13">
        <f t="shared" si="95"/>
        <v>31.05276919977597</v>
      </c>
      <c r="CW80" s="20">
        <f t="shared" si="67"/>
        <v>258.44312994601995</v>
      </c>
      <c r="CX80" s="59">
        <f t="shared" si="68"/>
        <v>551.77646327935327</v>
      </c>
      <c r="CY80" s="59">
        <f ca="1">AVERAGE(OFFSET($CX$3,0,0,'Données projet'!$E$13+1,1))-AVERAGE(OFFSET($H$3,0,0,'Données projet'!$E$13+1,1))</f>
        <v>150.78964413039063</v>
      </c>
      <c r="CZ80" s="59">
        <f t="shared" si="96"/>
        <v>131.90332435966184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5.0166146768877251</v>
      </c>
      <c r="DG80" s="21">
        <f>EXP(-LN(2)/25)*DG79+(1-EXP(-LN(2)/25))/(LN(2)/25)*Calculateur!DB80*Calculateur!DD80*VLOOKUP('Données projet'!$B$13,Paramètres!$A$1:$I$89,3,0)*0.475*44/12</f>
        <v>2.8704203222508822</v>
      </c>
      <c r="DH80" s="21">
        <f>EXP(-LN(2)/2)*DH79+(1-EXP(-LN(2)/2))/(LN(2)/2)*DB80*DE80*VLOOKUP('Données projet'!$B$13,Paramètres!$A$1:$I$89,3,0)*0.475*44/12</f>
        <v>0.15581840030615376</v>
      </c>
      <c r="DI80" s="22">
        <f t="shared" si="69"/>
        <v>8.0428533994447609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1.5384615384615388</v>
      </c>
      <c r="DO80" s="12">
        <f>IF('Données projet'!$A$166&gt;35,DO79+DN80-DW79,IF(A80&lt;'Données projet'!$A$166,$DL$205^A80,IF(A80='Données projet'!$A$166,'Données projet'!$B$166,DO79+DN80-DW79)))</f>
        <v>97.948717948717942</v>
      </c>
      <c r="DP80" s="17">
        <f>DO80*VLOOKUP('Données projet'!$B$14,Paramètres!$A$1:$I$89,3,0)*VLOOKUP('Données projet'!$B$14,Paramètres!$A$1:$I$89,5,0)</f>
        <v>102.376</v>
      </c>
      <c r="DQ80" s="13">
        <f t="shared" si="97"/>
        <v>27.527270868373229</v>
      </c>
      <c r="DR80" s="20">
        <f t="shared" si="70"/>
        <v>226.24819676241668</v>
      </c>
      <c r="DS80" s="59">
        <f t="shared" si="71"/>
        <v>519.58153009574994</v>
      </c>
      <c r="DT80" s="59">
        <f ca="1">AVERAGE(OFFSET($DS$3,0,0,'Données projet'!$E$14+1,1))-AVERAGE(OFFSET($H$3,0,0,'Données projet'!$E$14+1,1))</f>
        <v>110.10595934547638</v>
      </c>
      <c r="DU80" s="59">
        <f t="shared" si="98"/>
        <v>131.10971921141493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9.903929420529801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9.903929420529801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>
        <f>VLOOKUP(A80,'Données projet'!$A$191:$I$211,2,0)</f>
        <v>202.52</v>
      </c>
      <c r="EH80" s="12">
        <f>VLOOKUP(A80,'Données projet'!$A$191:$I$211,9,0)</f>
        <v>6.7437500000000021</v>
      </c>
      <c r="EI80" s="12">
        <f t="array" ref="EI80">INDEX(EH:EH,MIN(IF(ISNUMBER(EH80:EH276),ROW(EH80:EH276),"")))</f>
        <v>6.7437500000000021</v>
      </c>
      <c r="EJ80" s="12">
        <f>IF('Données projet'!$A$192&gt;35,EJ79+EI80-ER79,IF(A80&lt;'Données projet'!$A$192,$EG$205^A80,IF(A80='Données projet'!$A$192,'Données projet'!$B$192,EJ79+EI80-ER79)))</f>
        <v>202.52000000000004</v>
      </c>
      <c r="EK80" s="17">
        <f>EJ80*VLOOKUP('Données projet'!$B$15,Paramètres!$A$1:$I$89,3,0)*VLOOKUP('Données projet'!$B$15,Paramètres!$A$1:$I$89,5,0)</f>
        <v>205.35528000000005</v>
      </c>
      <c r="EL80" s="13">
        <f t="shared" si="99"/>
        <v>50.919280092893707</v>
      </c>
      <c r="EM80" s="20">
        <f t="shared" si="73"/>
        <v>446.34485882845661</v>
      </c>
      <c r="EN80" s="59">
        <f t="shared" si="74"/>
        <v>739.67819216178987</v>
      </c>
      <c r="EO80" s="59">
        <f ca="1">AVERAGE(OFFSET($EN$3,0,0,'Données projet'!$E$15+1,1))-AVERAGE(OFFSET($H$3,0,0,'Données projet'!$E$15+1,1))</f>
        <v>420.38735944595965</v>
      </c>
      <c r="EP80" s="59">
        <f t="shared" si="100"/>
        <v>200.0823542414671</v>
      </c>
      <c r="EQ80" s="15">
        <f>IF(ISNA(VLOOKUP(A80,'Données projet'!$A$191:$I$211,3,0)),0,VLOOKUP(A80,'Données projet'!$A$191:$I$211,3,0))</f>
        <v>3</v>
      </c>
      <c r="ER80" s="15">
        <f>IF(ISNA(VLOOKUP(A80,'Données projet'!$A$191:$I$211,4,0)),0,VLOOKUP(A80,'Données projet'!$A$191:$I$211,4,0))</f>
        <v>33.950000000000017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0.34400000000000003</v>
      </c>
      <c r="EU80" s="16">
        <f>IF(ISNA(VLOOKUP(A80,'Données projet'!$A$191:$I$211,7,0)),0%,VLOOKUP(A80,'Données projet'!$A$191:$I$211,7,0))</f>
        <v>0.2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43.499479380258421</v>
      </c>
      <c r="EX80" s="21">
        <f>EXP(-LN(2)/2)*EX79+(1-EXP(-LN(2)/2))/(LN(2)/2)*ER80*EU80*VLOOKUP('Données projet'!$B$15,Paramètres!$A$1:$I$89,3,0)*0.475*44/12</f>
        <v>7.0396707680327228</v>
      </c>
      <c r="EY80" s="22">
        <f t="shared" si="75"/>
        <v>50.539150148291142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9.4837500000000006</v>
      </c>
      <c r="FE80" s="12">
        <f>IF('Données projet'!$A$218&gt;35,FE79+FD80-FM79,IF(A80&lt;'Données projet'!$A$218,$FB$205^A80,IF(A80='Données projet'!$A$218,'Données projet'!$B$218,FE79+FD80-FM79)))</f>
        <v>249.20749999999998</v>
      </c>
      <c r="FF80" s="17">
        <f>FE80*VLOOKUP('Données projet'!$B$16,Paramètres!$A$1:$I$89,3,0)*VLOOKUP('Données projet'!$B$16,Paramètres!$A$1:$I$89,5,0)</f>
        <v>268.24695299999996</v>
      </c>
      <c r="FG80" s="13">
        <f t="shared" si="101"/>
        <v>64.477087543228862</v>
      </c>
      <c r="FH80" s="20">
        <f t="shared" si="76"/>
        <v>579.49437061279025</v>
      </c>
      <c r="FI80" s="59">
        <f t="shared" si="77"/>
        <v>872.82770394612362</v>
      </c>
      <c r="FJ80" s="59">
        <f ca="1">AVERAGE(OFFSET($FI$3,0,0,'Données projet'!$E$16+1,1))-AVERAGE(OFFSET($H$3,0,0,'Données projet'!$E$16+1,1))</f>
        <v>415.8741608506952</v>
      </c>
      <c r="FK80" s="59">
        <f t="shared" si="102"/>
        <v>259.15848913719356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23.830760745372409</v>
      </c>
      <c r="FR80" s="21">
        <f>EXP(-LN(2)/25)*FR79+(1-EXP(-LN(2)/25))/(LN(2)/25)*Calculateur!FM80*Calculateur!FO80*VLOOKUP('Données projet'!$B$16,Paramètres!$A$1:$I$89,3,0)*0.475*44/12</f>
        <v>29.23024061375563</v>
      </c>
      <c r="FS80" s="21">
        <f>EXP(-LN(2)/2)*FS79+(1-EXP(-LN(2)/2))/(LN(2)/2)*FM80*FP80*VLOOKUP('Données projet'!$B$16,Paramètres!$A$1:$I$89,3,0)*0.475*44/12</f>
        <v>2.3542380132297533</v>
      </c>
      <c r="FT80" s="22">
        <f t="shared" si="78"/>
        <v>55.415239372357796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9.4837500000000006</v>
      </c>
      <c r="FZ80" s="12">
        <f>IF('Données projet'!$A$244&gt;35,FZ79+FY80-GH79,IF(A80&lt;'Données projet'!$A$244,$FW$205^A80,IF(A80='Données projet'!$A$244,'Données projet'!$B$244,FZ79+FY80-GH79)))</f>
        <v>249.20749999999998</v>
      </c>
      <c r="GA80" s="17">
        <f>FZ80*VLOOKUP('Données projet'!$B$17,Paramètres!$A$1:$I$89,3,0)*VLOOKUP('Données projet'!$B$17,Paramètres!$A$1:$I$89,5,0)</f>
        <v>213.82003499999999</v>
      </c>
      <c r="GB80" s="13">
        <f t="shared" si="103"/>
        <v>52.769481610947594</v>
      </c>
      <c r="GC80" s="20">
        <f t="shared" si="79"/>
        <v>464.31007476406711</v>
      </c>
      <c r="GD80" s="59">
        <f t="shared" si="80"/>
        <v>757.64340809740042</v>
      </c>
      <c r="GE80" s="59">
        <f ca="1">AVERAGE(OFFSET($GD$3,0,0,'Données projet'!$E$17+1,1))-AVERAGE(OFFSET($H$3,0,0,'Données projet'!$E$17+1,1))</f>
        <v>322.39807389980882</v>
      </c>
      <c r="GF80" s="59">
        <f t="shared" si="104"/>
        <v>202.59410055732792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23.413099957115126</v>
      </c>
      <c r="GM80" s="21">
        <f>EXP(-LN(2)/25)*GM79+(1-EXP(-LN(2)/25))/(LN(2)/25)*Calculateur!GH80*Calculateur!GJ80*VLOOKUP('Données projet'!$B$17,Paramètres!$A$1:$I$89,3,0)*0.475*44/12</f>
        <v>28.717947889820575</v>
      </c>
      <c r="GN80" s="21">
        <f>EXP(-LN(2)/2)*GN79+(1-EXP(-LN(2)/2))/(LN(2)/2)*GH80*GK80*VLOOKUP('Données projet'!$B$17,Paramètres!$A$1:$I$89,3,0)*0.475*44/12</f>
        <v>1.8765665322845866</v>
      </c>
      <c r="GO80" s="21">
        <f t="shared" si="81"/>
        <v>54.007614379220286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28.594799999999939</v>
      </c>
      <c r="D81" s="11">
        <f t="shared" si="86"/>
        <v>8.9192289896543695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289.58197816575256</v>
      </c>
      <c r="H81" s="67">
        <f t="shared" si="56"/>
        <v>358.67026715698125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10.417499999999999</v>
      </c>
      <c r="N81" s="13">
        <f>IF('Données projet'!$A$36&gt;35,N80+M81-V80,IF(A81&lt;'Données projet'!$A$36,$K$205^A81,IF(A81='Données projet'!$A$36,'Données projet'!$B$36,N80+M81-V80)))</f>
        <v>333.00249999999994</v>
      </c>
      <c r="O81" s="13">
        <f>N81*VLOOKUP('Données projet'!$B$9,Paramètres!$A$1:$I$89,3,0)*VLOOKUP('Données projet'!$B$9,Paramètres!$A$1:$I$89,5,0)</f>
        <v>155.84516999999997</v>
      </c>
      <c r="P81" s="13">
        <f t="shared" si="87"/>
        <v>39.903951717068814</v>
      </c>
      <c r="Q81" s="20">
        <f t="shared" si="54"/>
        <v>340.9297203238948</v>
      </c>
      <c r="R81" s="59">
        <f t="shared" si="55"/>
        <v>634.26305365722806</v>
      </c>
      <c r="S81" s="59">
        <f ca="1">AVERAGE(OFFSET($R$3,0,0,'Données projet'!$E$9+1,1))-AVERAGE(OFFSET($H$3,0,0,'Données projet'!$E$9+1,1))</f>
        <v>215.77907571824977</v>
      </c>
      <c r="T81" s="59">
        <f t="shared" si="88"/>
        <v>174.69390149594869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40.776259765152211</v>
      </c>
      <c r="AA81" s="21">
        <f>EXP(-LN(2)/25)*AA80+(1-EXP(-LN(2)/25))/(LN(2)/25)*Calculateur!V81*Calculateur!X81*VLOOKUP('Données projet'!$B$9,Paramètres!$A$1:$I$89,3,0)*0.475*44/12</f>
        <v>17.102985453013197</v>
      </c>
      <c r="AB81" s="21">
        <f>EXP(-LN(2)/2)*AB80+(1-EXP(-LN(2)/2))/(LN(2)/2)*V81*Y81*VLOOKUP('Données projet'!$B$9,Paramètres!$A$1:$I$89,3,0)*0.475*44/12</f>
        <v>3.5824844063633137</v>
      </c>
      <c r="AC81" s="22">
        <f t="shared" si="57"/>
        <v>61.461729624528722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-1.0197709343628959E-13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171.701352621833</v>
      </c>
      <c r="AO81" s="59">
        <f t="shared" si="90"/>
        <v>195.58435749168586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74.461846317846963</v>
      </c>
      <c r="AV81" s="21">
        <f>EXP(-LN(2)/25)*AV80+(1-EXP(-LN(2)/25))/(LN(2)/25)*Calculateur!AQ81*Calculateur!AS81*VLOOKUP('Données projet'!$B$10,Paramètres!$A$1:$I$89,3,0)*0.475*44/12</f>
        <v>23.986933684178791</v>
      </c>
      <c r="AW81" s="21">
        <f>EXP(-LN(2)/2)*AW80+(1-EXP(-LN(2)/2))/(LN(2)/2)*AQ81*AT81*VLOOKUP('Données projet'!$B$10,Paramètres!$A$1:$I$89,3,0)*0.475*44/12</f>
        <v>0.17468330561878345</v>
      </c>
      <c r="AX81" s="21">
        <f t="shared" si="60"/>
        <v>98.623463307644542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13.2</v>
      </c>
      <c r="BD81" s="12">
        <f>IF('Données projet'!$A$88&gt;35,BD80+BC81-BL80,IF(A81&lt;'Données projet'!$A$88,$BA$205^A81,IF(A81='Données projet'!$A$88,'Données projet'!$B$88,BD80+BC81-BL80)))</f>
        <v>681.59999999999968</v>
      </c>
      <c r="BE81" s="13">
        <f>BD81*VLOOKUP('Données projet'!$B$11,Paramètres!$A$1:$I$89,3,0)*VLOOKUP('Données projet'!$B$11,Paramètres!$A$1:$I$89,5,0)</f>
        <v>354.43199999999985</v>
      </c>
      <c r="BF81" s="13">
        <f t="shared" si="91"/>
        <v>82.474436652310601</v>
      </c>
      <c r="BG81" s="20">
        <f t="shared" si="61"/>
        <v>760.94537716944069</v>
      </c>
      <c r="BH81" s="59">
        <f t="shared" si="62"/>
        <v>1054.2787105027739</v>
      </c>
      <c r="BI81" s="59">
        <f ca="1">AVERAGE(OFFSET($BH$3,0,0,'Données projet'!$E$11+1,1))-AVERAGE(OFFSET($H$3,0,0,'Données projet'!$E$11+1,1))</f>
        <v>348.29124901999882</v>
      </c>
      <c r="BJ81" s="59">
        <f t="shared" si="92"/>
        <v>284.30034973939053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58.42831018277932</v>
      </c>
      <c r="BQ81" s="21">
        <f>EXP(-LN(2)/25)*BQ80+(1-EXP(-LN(2)/25))/(LN(2)/25)*Calculateur!BL81*Calculateur!BN81*VLOOKUP('Données projet'!$B$11,Paramètres!$A$1:$I$89,3,0)*0.475*44/12</f>
        <v>25.655914536521106</v>
      </c>
      <c r="BR81" s="21">
        <f>EXP(-LN(2)/2)*BR80+(1-EXP(-LN(2)/2))/(LN(2)/2)*BL81*BO81*VLOOKUP('Données projet'!$B$11,Paramètres!$A$1:$I$89,3,0)*0.475*44/12</f>
        <v>1.9969613749017847</v>
      </c>
      <c r="BS81" s="22">
        <f t="shared" si="63"/>
        <v>86.081186094202209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6.3513333333333337</v>
      </c>
      <c r="BY81" s="12">
        <f>IF('Données projet'!$A$114&gt;35,BY80+BX81-CG80,IF(A81&lt;'Données projet'!$A$114,$BV$205^A81,IF(A81='Données projet'!$A$114,'Données projet'!$B$114,BY80+BX81-CG80)))</f>
        <v>218.0939999999998</v>
      </c>
      <c r="BZ81" s="13">
        <f>BY81*VLOOKUP('Données projet'!$B$12,Paramètres!$A$1:$I$89,3,0)*VLOOKUP('Données projet'!$B$12,Paramètres!$A$1:$I$89,5,0)</f>
        <v>130.42021199999988</v>
      </c>
      <c r="CA81" s="13">
        <f t="shared" si="93"/>
        <v>34.093439743006464</v>
      </c>
      <c r="CB81" s="20">
        <f t="shared" si="64"/>
        <v>286.52794345240267</v>
      </c>
      <c r="CC81" s="59">
        <f t="shared" si="65"/>
        <v>579.86127678573598</v>
      </c>
      <c r="CD81" s="59">
        <f ca="1">AVERAGE(OFFSET($CC$3,0,0,'Données projet'!$E$12+1,1))-AVERAGE(OFFSET($H$3,0,0,'Données projet'!$E$12+1,1))</f>
        <v>185.82627135915504</v>
      </c>
      <c r="CE81" s="59">
        <f t="shared" si="94"/>
        <v>155.46126452522037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29.477111018520219</v>
      </c>
      <c r="CL81" s="21">
        <f>EXP(-LN(2)/25)*CL80+(1-EXP(-LN(2)/25))/(LN(2)/25)*Calculateur!CG81*Calculateur!CI81*VLOOKUP('Données projet'!$B$12,Paramètres!$A$1:$I$89,3,0)*0.475*44/12</f>
        <v>11.959689274236407</v>
      </c>
      <c r="CM81" s="21">
        <f>EXP(-LN(2)/2)*CM80+(1-EXP(-LN(2)/2))/(LN(2)/2)*CG81*CJ81*VLOOKUP('Données projet'!$B$12,Paramètres!$A$1:$I$89,3,0)*0.475*44/12</f>
        <v>3.6334349567826876</v>
      </c>
      <c r="CN81" s="22">
        <f t="shared" si="66"/>
        <v>45.070235249539316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1.6384615384615402</v>
      </c>
      <c r="CT81" s="12">
        <f>IF('Données projet'!$A$140&gt;35,CT80+CS81-DB80,IF(A81&lt;'Données projet'!$A$140,$CQ$205^A81,IF(A81='Données projet'!$A$140,'Données projet'!$B$140,CT80+CS81-DB80)))</f>
        <v>103.49230769230762</v>
      </c>
      <c r="CU81" s="17">
        <f>CT81*VLOOKUP('Données projet'!$B$13,Paramètres!$A$1:$I$89,3,0)*VLOOKUP('Données projet'!$B$13,Paramètres!$A$1:$I$89,5,0)</f>
        <v>119.22313846153835</v>
      </c>
      <c r="CV81" s="13">
        <f t="shared" si="95"/>
        <v>31.493740664306227</v>
      </c>
      <c r="CW81" s="20">
        <f t="shared" si="67"/>
        <v>262.49856447751262</v>
      </c>
      <c r="CX81" s="59">
        <f t="shared" si="68"/>
        <v>555.83189781084593</v>
      </c>
      <c r="CY81" s="59">
        <f ca="1">AVERAGE(OFFSET($CX$3,0,0,'Données projet'!$E$13+1,1))-AVERAGE(OFFSET($H$3,0,0,'Données projet'!$E$13+1,1))</f>
        <v>150.78964413039063</v>
      </c>
      <c r="CZ81" s="59">
        <f t="shared" si="96"/>
        <v>131.90332435966184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4.918241922906776</v>
      </c>
      <c r="DG81" s="21">
        <f>EXP(-LN(2)/25)*DG80+(1-EXP(-LN(2)/25))/(LN(2)/25)*Calculateur!DB81*Calculateur!DD81*VLOOKUP('Données projet'!$B$13,Paramètres!$A$1:$I$89,3,0)*0.475*44/12</f>
        <v>2.7919285275900876</v>
      </c>
      <c r="DH81" s="21">
        <f>EXP(-LN(2)/2)*DH80+(1-EXP(-LN(2)/2))/(LN(2)/2)*DB81*DE81*VLOOKUP('Données projet'!$B$13,Paramètres!$A$1:$I$89,3,0)*0.475*44/12</f>
        <v>0.11018024749012134</v>
      </c>
      <c r="DI81" s="22">
        <f t="shared" si="69"/>
        <v>7.820350697986985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1.5384615384615388</v>
      </c>
      <c r="DO81" s="12">
        <f>IF('Données projet'!$A$166&gt;35,DO80+DN81-DW80,IF(A81&lt;'Données projet'!$A$166,$DL$205^A81,IF(A81='Données projet'!$A$166,'Données projet'!$B$166,DO80+DN81-DW80)))</f>
        <v>99.487179487179475</v>
      </c>
      <c r="DP81" s="17">
        <f>DO81*VLOOKUP('Données projet'!$B$14,Paramètres!$A$1:$I$89,3,0)*VLOOKUP('Données projet'!$B$14,Paramètres!$A$1:$I$89,5,0)</f>
        <v>103.98399999999999</v>
      </c>
      <c r="DQ81" s="13">
        <f t="shared" si="97"/>
        <v>27.908961823510698</v>
      </c>
      <c r="DR81" s="20">
        <f t="shared" si="70"/>
        <v>229.71357517594777</v>
      </c>
      <c r="DS81" s="59">
        <f t="shared" si="71"/>
        <v>523.04690850928114</v>
      </c>
      <c r="DT81" s="59">
        <f ca="1">AVERAGE(OFFSET($DS$3,0,0,'Données projet'!$E$14+1,1))-AVERAGE(OFFSET($H$3,0,0,'Données projet'!$E$14+1,1))</f>
        <v>110.10595934547638</v>
      </c>
      <c r="DU81" s="59">
        <f t="shared" si="98"/>
        <v>131.10971921141493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9.6331059497004006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9.6331059497004006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6.7444444444444462</v>
      </c>
      <c r="EJ81" s="12">
        <f>IF('Données projet'!$A$192&gt;35,EJ80+EI81-ER80,IF(A81&lt;'Données projet'!$A$192,$EG$205^A81,IF(A81='Données projet'!$A$192,'Données projet'!$B$192,EJ80+EI81-ER80)))</f>
        <v>175.31444444444446</v>
      </c>
      <c r="EK81" s="17">
        <f>EJ81*VLOOKUP('Données projet'!$B$15,Paramètres!$A$1:$I$89,3,0)*VLOOKUP('Données projet'!$B$15,Paramètres!$A$1:$I$89,5,0)</f>
        <v>177.76884666666669</v>
      </c>
      <c r="EL81" s="13">
        <f t="shared" si="99"/>
        <v>44.825435894521945</v>
      </c>
      <c r="EM81" s="20">
        <f t="shared" si="73"/>
        <v>387.68504212740351</v>
      </c>
      <c r="EN81" s="59">
        <f t="shared" si="74"/>
        <v>681.01837546073682</v>
      </c>
      <c r="EO81" s="59">
        <f ca="1">AVERAGE(OFFSET($EN$3,0,0,'Données projet'!$E$15+1,1))-AVERAGE(OFFSET($H$3,0,0,'Données projet'!$E$15+1,1))</f>
        <v>420.38735944595965</v>
      </c>
      <c r="EP81" s="59">
        <f t="shared" si="100"/>
        <v>200.0823542414671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42.30998382906705</v>
      </c>
      <c r="EX81" s="21">
        <f>EXP(-LN(2)/2)*EX80+(1-EXP(-LN(2)/2))/(LN(2)/2)*ER81*EU81*VLOOKUP('Données projet'!$B$15,Paramètres!$A$1:$I$89,3,0)*0.475*44/12</f>
        <v>4.97779893739665</v>
      </c>
      <c r="EY81" s="22">
        <f t="shared" si="75"/>
        <v>47.2877827664637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9.4837500000000006</v>
      </c>
      <c r="FE81" s="12">
        <f>IF('Données projet'!$A$218&gt;35,FE80+FD81-FM80,IF(A81&lt;'Données projet'!$A$218,$FB$205^A81,IF(A81='Données projet'!$A$218,'Données projet'!$B$218,FE80+FD81-FM80)))</f>
        <v>258.69124999999997</v>
      </c>
      <c r="FF81" s="17">
        <f>FE81*VLOOKUP('Données projet'!$B$16,Paramètres!$A$1:$I$89,3,0)*VLOOKUP('Données projet'!$B$16,Paramètres!$A$1:$I$89,5,0)</f>
        <v>278.45526149999995</v>
      </c>
      <c r="FG81" s="13">
        <f t="shared" si="101"/>
        <v>66.640456196836567</v>
      </c>
      <c r="FH81" s="20">
        <f t="shared" si="76"/>
        <v>601.0417083219902</v>
      </c>
      <c r="FI81" s="59">
        <f t="shared" si="77"/>
        <v>894.37504165532346</v>
      </c>
      <c r="FJ81" s="59">
        <f ca="1">AVERAGE(OFFSET($FI$3,0,0,'Données projet'!$E$16+1,1))-AVERAGE(OFFSET($H$3,0,0,'Données projet'!$E$16+1,1))</f>
        <v>415.8741608506952</v>
      </c>
      <c r="FK81" s="59">
        <f t="shared" si="102"/>
        <v>259.15848913719356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23.363454062484465</v>
      </c>
      <c r="FR81" s="21">
        <f>EXP(-LN(2)/25)*FR80+(1-EXP(-LN(2)/25))/(LN(2)/25)*Calculateur!FM81*Calculateur!FO81*VLOOKUP('Données projet'!$B$16,Paramètres!$A$1:$I$89,3,0)*0.475*44/12</f>
        <v>28.430938147020935</v>
      </c>
      <c r="FS81" s="21">
        <f>EXP(-LN(2)/2)*FS80+(1-EXP(-LN(2)/2))/(LN(2)/2)*FM81*FP81*VLOOKUP('Données projet'!$B$16,Paramètres!$A$1:$I$89,3,0)*0.475*44/12</f>
        <v>1.6646976636819037</v>
      </c>
      <c r="FT81" s="22">
        <f t="shared" si="78"/>
        <v>53.45908987318731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9.4837500000000006</v>
      </c>
      <c r="FZ81" s="12">
        <f>IF('Données projet'!$A$244&gt;35,FZ80+FY81-GH80,IF(A81&lt;'Données projet'!$A$244,$FW$205^A81,IF(A81='Données projet'!$A$244,'Données projet'!$B$244,FZ80+FY81-GH80)))</f>
        <v>258.69124999999997</v>
      </c>
      <c r="GA81" s="17">
        <f>FZ81*VLOOKUP('Données projet'!$B$17,Paramètres!$A$1:$I$89,3,0)*VLOOKUP('Données projet'!$B$17,Paramètres!$A$1:$I$89,5,0)</f>
        <v>221.95709249999999</v>
      </c>
      <c r="GB81" s="13">
        <f t="shared" si="103"/>
        <v>54.540030603373985</v>
      </c>
      <c r="GC81" s="20">
        <f t="shared" si="79"/>
        <v>481.56582273837626</v>
      </c>
      <c r="GD81" s="59">
        <f t="shared" si="80"/>
        <v>774.89915607170951</v>
      </c>
      <c r="GE81" s="59">
        <f ca="1">AVERAGE(OFFSET($GD$3,0,0,'Données projet'!$E$17+1,1))-AVERAGE(OFFSET($H$3,0,0,'Données projet'!$E$17+1,1))</f>
        <v>322.39807389980882</v>
      </c>
      <c r="GF81" s="59">
        <f t="shared" si="104"/>
        <v>202.59410055732792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22.953983347536983</v>
      </c>
      <c r="GM81" s="21">
        <f>EXP(-LN(2)/25)*GM80+(1-EXP(-LN(2)/25))/(LN(2)/25)*Calculateur!GH81*Calculateur!GJ81*VLOOKUP('Données projet'!$B$17,Paramètres!$A$1:$I$89,3,0)*0.475*44/12</f>
        <v>27.932654094562189</v>
      </c>
      <c r="GN81" s="21">
        <f>EXP(-LN(2)/2)*GN80+(1-EXP(-LN(2)/2))/(LN(2)/2)*GH81*GK81*VLOOKUP('Données projet'!$B$17,Paramètres!$A$1:$I$89,3,0)*0.475*44/12</f>
        <v>1.3269329203261555</v>
      </c>
      <c r="GO81" s="21">
        <f t="shared" si="81"/>
        <v>52.21357036242533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28.961399999999937</v>
      </c>
      <c r="D82" s="11">
        <f t="shared" si="86"/>
        <v>9.0201928119670889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293.19124275904375</v>
      </c>
      <c r="H82" s="67">
        <f t="shared" si="56"/>
        <v>359.48460748084256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10.417499999999999</v>
      </c>
      <c r="N82" s="13">
        <f>IF('Données projet'!$A$36&gt;35,N81+M82-V81,IF(A82&lt;'Données projet'!$A$36,$K$205^A82,IF(A82='Données projet'!$A$36,'Données projet'!$B$36,N81+M82-V81)))</f>
        <v>343.41999999999996</v>
      </c>
      <c r="O82" s="13">
        <f>N82*VLOOKUP('Données projet'!$B$9,Paramètres!$A$1:$I$89,3,0)*VLOOKUP('Données projet'!$B$9,Paramètres!$A$1:$I$89,5,0)</f>
        <v>160.72055999999998</v>
      </c>
      <c r="P82" s="13">
        <f t="shared" si="87"/>
        <v>41.004997199014468</v>
      </c>
      <c r="Q82" s="20">
        <f t="shared" si="54"/>
        <v>351.33867878828346</v>
      </c>
      <c r="R82" s="59">
        <f t="shared" si="55"/>
        <v>644.67201212161672</v>
      </c>
      <c r="S82" s="59">
        <f ca="1">AVERAGE(OFFSET($R$3,0,0,'Données projet'!$E$9+1,1))-AVERAGE(OFFSET($H$3,0,0,'Données projet'!$E$9+1,1))</f>
        <v>215.77907571824977</v>
      </c>
      <c r="T82" s="59">
        <f t="shared" si="88"/>
        <v>174.69390149594869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39.976662182220217</v>
      </c>
      <c r="AA82" s="21">
        <f>EXP(-LN(2)/25)*AA81+(1-EXP(-LN(2)/25))/(LN(2)/25)*Calculateur!V82*Calculateur!X82*VLOOKUP('Données projet'!$B$9,Paramètres!$A$1:$I$89,3,0)*0.475*44/12</f>
        <v>16.635303416393636</v>
      </c>
      <c r="AB82" s="21">
        <f>EXP(-LN(2)/2)*AB81+(1-EXP(-LN(2)/2))/(LN(2)/2)*V82*Y82*VLOOKUP('Données projet'!$B$9,Paramètres!$A$1:$I$89,3,0)*0.475*44/12</f>
        <v>2.5331990172345624</v>
      </c>
      <c r="AC82" s="22">
        <f t="shared" si="57"/>
        <v>59.145164615848415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-1.0197709343628959E-13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171.701352621833</v>
      </c>
      <c r="AO82" s="59">
        <f t="shared" si="90"/>
        <v>195.58435749168586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73.001694928795658</v>
      </c>
      <c r="AV82" s="21">
        <f>EXP(-LN(2)/25)*AV81+(1-EXP(-LN(2)/25))/(LN(2)/25)*Calculateur!AQ82*Calculateur!AS82*VLOOKUP('Données projet'!$B$10,Paramètres!$A$1:$I$89,3,0)*0.475*44/12</f>
        <v>23.3310097211669</v>
      </c>
      <c r="AW82" s="21">
        <f>EXP(-LN(2)/2)*AW81+(1-EXP(-LN(2)/2))/(LN(2)/2)*AQ82*AT82*VLOOKUP('Données projet'!$B$10,Paramètres!$A$1:$I$89,3,0)*0.475*44/12</f>
        <v>0.12351974996312393</v>
      </c>
      <c r="AX82" s="21">
        <f t="shared" si="60"/>
        <v>96.456224399925674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13.2</v>
      </c>
      <c r="BD82" s="12">
        <f>IF('Données projet'!$A$88&gt;35,BD81+BC82-BL81,IF(A82&lt;'Données projet'!$A$88,$BA$205^A82,IF(A82='Données projet'!$A$88,'Données projet'!$B$88,BD81+BC82-BL81)))</f>
        <v>694.79999999999973</v>
      </c>
      <c r="BE82" s="13">
        <f>BD82*VLOOKUP('Données projet'!$B$11,Paramètres!$A$1:$I$89,3,0)*VLOOKUP('Données projet'!$B$11,Paramètres!$A$1:$I$89,5,0)</f>
        <v>361.29599999999988</v>
      </c>
      <c r="BF82" s="13">
        <f t="shared" si="91"/>
        <v>83.884157542456464</v>
      </c>
      <c r="BG82" s="20">
        <f t="shared" si="61"/>
        <v>775.35544105311146</v>
      </c>
      <c r="BH82" s="59">
        <f t="shared" si="62"/>
        <v>1068.6887743864447</v>
      </c>
      <c r="BI82" s="59">
        <f ca="1">AVERAGE(OFFSET($BH$3,0,0,'Données projet'!$E$11+1,1))-AVERAGE(OFFSET($H$3,0,0,'Données projet'!$E$11+1,1))</f>
        <v>348.29124901999882</v>
      </c>
      <c r="BJ82" s="59">
        <f t="shared" si="92"/>
        <v>284.30034973939053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57.282566657845294</v>
      </c>
      <c r="BQ82" s="21">
        <f>EXP(-LN(2)/25)*BQ81+(1-EXP(-LN(2)/25))/(LN(2)/25)*Calculateur!BL82*Calculateur!BN82*VLOOKUP('Données projet'!$B$11,Paramètres!$A$1:$I$89,3,0)*0.475*44/12</f>
        <v>24.954352204334029</v>
      </c>
      <c r="BR82" s="21">
        <f>EXP(-LN(2)/2)*BR81+(1-EXP(-LN(2)/2))/(LN(2)/2)*BL82*BO82*VLOOKUP('Données projet'!$B$11,Paramètres!$A$1:$I$89,3,0)*0.475*44/12</f>
        <v>1.4120649299606636</v>
      </c>
      <c r="BS82" s="22">
        <f t="shared" si="63"/>
        <v>83.648983792139987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6.3513333333333337</v>
      </c>
      <c r="BY82" s="12">
        <f>IF('Données projet'!$A$114&gt;35,BY81+BX82-CG81,IF(A82&lt;'Données projet'!$A$114,$BV$205^A82,IF(A82='Données projet'!$A$114,'Données projet'!$B$114,BY81+BX82-CG81)))</f>
        <v>224.44533333333314</v>
      </c>
      <c r="BZ82" s="13">
        <f>BY82*VLOOKUP('Données projet'!$B$12,Paramètres!$A$1:$I$89,3,0)*VLOOKUP('Données projet'!$B$12,Paramètres!$A$1:$I$89,5,0)</f>
        <v>134.21830933333322</v>
      </c>
      <c r="CA82" s="13">
        <f t="shared" si="93"/>
        <v>34.969267843042331</v>
      </c>
      <c r="CB82" s="20">
        <f t="shared" si="64"/>
        <v>294.6683635821874</v>
      </c>
      <c r="CC82" s="59">
        <f t="shared" si="65"/>
        <v>588.00169691552071</v>
      </c>
      <c r="CD82" s="59">
        <f ca="1">AVERAGE(OFFSET($CC$3,0,0,'Données projet'!$E$12+1,1))-AVERAGE(OFFSET($H$3,0,0,'Données projet'!$E$12+1,1))</f>
        <v>185.82627135915504</v>
      </c>
      <c r="CE82" s="59">
        <f t="shared" si="94"/>
        <v>155.46126452522037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28.899082850709455</v>
      </c>
      <c r="CL82" s="21">
        <f>EXP(-LN(2)/25)*CL81+(1-EXP(-LN(2)/25))/(LN(2)/25)*Calculateur!CG82*Calculateur!CI82*VLOOKUP('Données projet'!$B$12,Paramètres!$A$1:$I$89,3,0)*0.475*44/12</f>
        <v>11.632650942099687</v>
      </c>
      <c r="CM82" s="21">
        <f>EXP(-LN(2)/2)*CM81+(1-EXP(-LN(2)/2))/(LN(2)/2)*CG82*CJ82*VLOOKUP('Données projet'!$B$12,Paramètres!$A$1:$I$89,3,0)*0.475*44/12</f>
        <v>2.569226496941289</v>
      </c>
      <c r="CN82" s="22">
        <f t="shared" si="66"/>
        <v>43.100960289750432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1.6384615384615402</v>
      </c>
      <c r="CT82" s="12">
        <f>IF('Données projet'!$A$140&gt;35,CT81+CS82-DB81,IF(A82&lt;'Données projet'!$A$140,$CQ$205^A82,IF(A82='Données projet'!$A$140,'Données projet'!$B$140,CT81+CS82-DB81)))</f>
        <v>105.13076923076916</v>
      </c>
      <c r="CU82" s="17">
        <f>CT82*VLOOKUP('Données projet'!$B$13,Paramètres!$A$1:$I$89,3,0)*VLOOKUP('Données projet'!$B$13,Paramètres!$A$1:$I$89,5,0)</f>
        <v>121.11064615384606</v>
      </c>
      <c r="CV82" s="13">
        <f t="shared" si="95"/>
        <v>31.933900213529604</v>
      </c>
      <c r="CW82" s="20">
        <f t="shared" si="67"/>
        <v>266.55258492317927</v>
      </c>
      <c r="CX82" s="59">
        <f t="shared" si="68"/>
        <v>559.88591825651258</v>
      </c>
      <c r="CY82" s="59">
        <f ca="1">AVERAGE(OFFSET($CX$3,0,0,'Données projet'!$E$13+1,1))-AVERAGE(OFFSET($H$3,0,0,'Données projet'!$E$13+1,1))</f>
        <v>150.78964413039063</v>
      </c>
      <c r="CZ82" s="59">
        <f t="shared" si="96"/>
        <v>131.90332435966184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4.8217981986299385</v>
      </c>
      <c r="DG82" s="21">
        <f>EXP(-LN(2)/25)*DG81+(1-EXP(-LN(2)/25))/(LN(2)/25)*Calculateur!DB82*Calculateur!DD82*VLOOKUP('Données projet'!$B$13,Paramètres!$A$1:$I$89,3,0)*0.475*44/12</f>
        <v>2.7155830951819966</v>
      </c>
      <c r="DH82" s="21">
        <f>EXP(-LN(2)/2)*DH81+(1-EXP(-LN(2)/2))/(LN(2)/2)*DB82*DE82*VLOOKUP('Données projet'!$B$13,Paramètres!$A$1:$I$89,3,0)*0.475*44/12</f>
        <v>7.7909200153076882E-2</v>
      </c>
      <c r="DI82" s="22">
        <f t="shared" si="69"/>
        <v>7.6152904939650119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1.5384615384615388</v>
      </c>
      <c r="DO82" s="12">
        <f>IF('Données projet'!$A$166&gt;35,DO81+DN82-DW81,IF(A82&lt;'Données projet'!$A$166,$DL$205^A82,IF(A82='Données projet'!$A$166,'Données projet'!$B$166,DO81+DN82-DW81)))</f>
        <v>101.02564102564101</v>
      </c>
      <c r="DP82" s="17">
        <f>DO82*VLOOKUP('Données projet'!$B$14,Paramètres!$A$1:$I$89,3,0)*VLOOKUP('Données projet'!$B$14,Paramètres!$A$1:$I$89,5,0)</f>
        <v>105.59199999999998</v>
      </c>
      <c r="DQ82" s="13">
        <f t="shared" si="97"/>
        <v>28.289966323970543</v>
      </c>
      <c r="DR82" s="20">
        <f t="shared" si="70"/>
        <v>233.17775801424864</v>
      </c>
      <c r="DS82" s="59">
        <f t="shared" si="71"/>
        <v>526.5110913475819</v>
      </c>
      <c r="DT82" s="59">
        <f ca="1">AVERAGE(OFFSET($DS$3,0,0,'Données projet'!$E$14+1,1))-AVERAGE(OFFSET($H$3,0,0,'Données projet'!$E$14+1,1))</f>
        <v>110.10595934547638</v>
      </c>
      <c r="DU82" s="59">
        <f t="shared" si="98"/>
        <v>131.10971921141493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9.3696881609228182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9.3696881609228182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6.7444444444444462</v>
      </c>
      <c r="EJ82" s="12">
        <f>IF('Données projet'!$A$192&gt;35,EJ81+EI82-ER81,IF(A82&lt;'Données projet'!$A$192,$EG$205^A82,IF(A82='Données projet'!$A$192,'Données projet'!$B$192,EJ81+EI82-ER81)))</f>
        <v>182.0588888888889</v>
      </c>
      <c r="EK82" s="17">
        <f>EJ82*VLOOKUP('Données projet'!$B$15,Paramètres!$A$1:$I$89,3,0)*VLOOKUP('Données projet'!$B$15,Paramètres!$A$1:$I$89,5,0)</f>
        <v>184.60771333333335</v>
      </c>
      <c r="EL82" s="13">
        <f t="shared" si="99"/>
        <v>46.345804577336679</v>
      </c>
      <c r="EM82" s="20">
        <f t="shared" si="73"/>
        <v>402.24404369441692</v>
      </c>
      <c r="EN82" s="59">
        <f t="shared" si="74"/>
        <v>695.57737702775023</v>
      </c>
      <c r="EO82" s="59">
        <f ca="1">AVERAGE(OFFSET($EN$3,0,0,'Données projet'!$E$15+1,1))-AVERAGE(OFFSET($H$3,0,0,'Données projet'!$E$15+1,1))</f>
        <v>420.38735944595965</v>
      </c>
      <c r="EP82" s="59">
        <f t="shared" si="100"/>
        <v>200.0823542414671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41.153015096275865</v>
      </c>
      <c r="EX82" s="21">
        <f>EXP(-LN(2)/2)*EX81+(1-EXP(-LN(2)/2))/(LN(2)/2)*ER82*EU82*VLOOKUP('Données projet'!$B$15,Paramètres!$A$1:$I$89,3,0)*0.475*44/12</f>
        <v>3.5198353840163619</v>
      </c>
      <c r="EY82" s="22">
        <f t="shared" si="75"/>
        <v>44.672850480292226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9.4837500000000006</v>
      </c>
      <c r="FE82" s="12">
        <f>IF('Données projet'!$A$218&gt;35,FE81+FD82-FM81,IF(A82&lt;'Données projet'!$A$218,$FB$205^A82,IF(A82='Données projet'!$A$218,'Données projet'!$B$218,FE81+FD82-FM81)))</f>
        <v>268.17499999999995</v>
      </c>
      <c r="FF82" s="17">
        <f>FE82*VLOOKUP('Données projet'!$B$16,Paramètres!$A$1:$I$89,3,0)*VLOOKUP('Données projet'!$B$16,Paramètres!$A$1:$I$89,5,0)</f>
        <v>288.66356999999994</v>
      </c>
      <c r="FG82" s="13">
        <f t="shared" si="101"/>
        <v>68.794610635457303</v>
      </c>
      <c r="FH82" s="20">
        <f t="shared" si="76"/>
        <v>622.57299794008793</v>
      </c>
      <c r="FI82" s="59">
        <f t="shared" si="77"/>
        <v>915.9063312734213</v>
      </c>
      <c r="FJ82" s="59">
        <f ca="1">AVERAGE(OFFSET($FI$3,0,0,'Données projet'!$E$16+1,1))-AVERAGE(OFFSET($H$3,0,0,'Données projet'!$E$16+1,1))</f>
        <v>415.8741608506952</v>
      </c>
      <c r="FK82" s="59">
        <f t="shared" si="102"/>
        <v>259.15848913719356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22.905310978619021</v>
      </c>
      <c r="FR82" s="21">
        <f>EXP(-LN(2)/25)*FR81+(1-EXP(-LN(2)/25))/(LN(2)/25)*Calculateur!FM82*Calculateur!FO82*VLOOKUP('Données projet'!$B$16,Paramètres!$A$1:$I$89,3,0)*0.475*44/12</f>
        <v>27.653492648272589</v>
      </c>
      <c r="FS82" s="21">
        <f>EXP(-LN(2)/2)*FS81+(1-EXP(-LN(2)/2))/(LN(2)/2)*FM82*FP82*VLOOKUP('Données projet'!$B$16,Paramètres!$A$1:$I$89,3,0)*0.475*44/12</f>
        <v>1.1771190066148769</v>
      </c>
      <c r="FT82" s="22">
        <f t="shared" si="78"/>
        <v>51.73592263350649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9.4837500000000006</v>
      </c>
      <c r="FZ82" s="12">
        <f>IF('Données projet'!$A$244&gt;35,FZ81+FY82-GH81,IF(A82&lt;'Données projet'!$A$244,$FW$205^A82,IF(A82='Données projet'!$A$244,'Données projet'!$B$244,FZ81+FY82-GH81)))</f>
        <v>268.17499999999995</v>
      </c>
      <c r="GA82" s="17">
        <f>FZ82*VLOOKUP('Données projet'!$B$17,Paramètres!$A$1:$I$89,3,0)*VLOOKUP('Données projet'!$B$17,Paramètres!$A$1:$I$89,5,0)</f>
        <v>230.09414999999996</v>
      </c>
      <c r="GB82" s="13">
        <f t="shared" si="103"/>
        <v>56.303038477445924</v>
      </c>
      <c r="GC82" s="20">
        <f t="shared" si="79"/>
        <v>498.80843659821818</v>
      </c>
      <c r="GD82" s="59">
        <f t="shared" si="80"/>
        <v>792.14176993155149</v>
      </c>
      <c r="GE82" s="59">
        <f ca="1">AVERAGE(OFFSET($GD$3,0,0,'Données projet'!$E$17+1,1))-AVERAGE(OFFSET($H$3,0,0,'Données projet'!$E$17+1,1))</f>
        <v>322.39807389980882</v>
      </c>
      <c r="GF82" s="59">
        <f t="shared" si="104"/>
        <v>202.59410055732792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22.503869734639185</v>
      </c>
      <c r="GM82" s="21">
        <f>EXP(-LN(2)/25)*GM81+(1-EXP(-LN(2)/25))/(LN(2)/25)*Calculateur!GH82*Calculateur!GJ82*VLOOKUP('Données projet'!$B$17,Paramètres!$A$1:$I$89,3,0)*0.475*44/12</f>
        <v>27.168834199431949</v>
      </c>
      <c r="GN82" s="21">
        <f>EXP(-LN(2)/2)*GN81+(1-EXP(-LN(2)/2))/(LN(2)/2)*GH82*GK82*VLOOKUP('Données projet'!$B$17,Paramètres!$A$1:$I$89,3,0)*0.475*44/12</f>
        <v>0.9382832661422934</v>
      </c>
      <c r="GO82" s="21">
        <f t="shared" si="81"/>
        <v>50.61098720021343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29.327999999999935</v>
      </c>
      <c r="D83" s="11">
        <f t="shared" si="86"/>
        <v>9.1210079777371629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296.79935982814601</v>
      </c>
      <c r="H83" s="67">
        <f t="shared" si="56"/>
        <v>360.29868889455872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10.417499999999999</v>
      </c>
      <c r="N83" s="13">
        <f>IF('Données projet'!$A$36&gt;35,N82+M83-V82,IF(A83&lt;'Données projet'!$A$36,$K$205^A83,IF(A83='Données projet'!$A$36,'Données projet'!$B$36,N82+M83-V82)))</f>
        <v>353.83749999999998</v>
      </c>
      <c r="O83" s="13">
        <f>N83*VLOOKUP('Données projet'!$B$9,Paramètres!$A$1:$I$89,3,0)*VLOOKUP('Données projet'!$B$9,Paramètres!$A$1:$I$89,5,0)</f>
        <v>165.59594999999999</v>
      </c>
      <c r="P83" s="13">
        <f t="shared" si="87"/>
        <v>42.102161176994215</v>
      </c>
      <c r="Q83" s="20">
        <f t="shared" si="54"/>
        <v>361.74087696659825</v>
      </c>
      <c r="R83" s="59">
        <f t="shared" si="55"/>
        <v>655.07421029993156</v>
      </c>
      <c r="S83" s="59">
        <f ca="1">AVERAGE(OFFSET($R$3,0,0,'Données projet'!$E$9+1,1))-AVERAGE(OFFSET($H$3,0,0,'Données projet'!$E$9+1,1))</f>
        <v>215.77907571824977</v>
      </c>
      <c r="T83" s="59">
        <f t="shared" si="88"/>
        <v>174.69390149594869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39.192744220183151</v>
      </c>
      <c r="AA83" s="21">
        <f>EXP(-LN(2)/25)*AA82+(1-EXP(-LN(2)/25))/(LN(2)/25)*Calculateur!V83*Calculateur!X83*VLOOKUP('Données projet'!$B$9,Paramètres!$A$1:$I$89,3,0)*0.475*44/12</f>
        <v>16.180410169659766</v>
      </c>
      <c r="AB83" s="21">
        <f>EXP(-LN(2)/2)*AB82+(1-EXP(-LN(2)/2))/(LN(2)/2)*V83*Y83*VLOOKUP('Données projet'!$B$9,Paramètres!$A$1:$I$89,3,0)*0.475*44/12</f>
        <v>1.7912422031816571</v>
      </c>
      <c r="AC83" s="22">
        <f t="shared" si="57"/>
        <v>57.164396593024577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-1.0197709343628959E-13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171.701352621833</v>
      </c>
      <c r="AO83" s="59">
        <f t="shared" si="90"/>
        <v>195.58435749168586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71.570176217879236</v>
      </c>
      <c r="AV83" s="21">
        <f>EXP(-LN(2)/25)*AV82+(1-EXP(-LN(2)/25))/(LN(2)/25)*Calculateur!AQ83*Calculateur!AS83*VLOOKUP('Données projet'!$B$10,Paramètres!$A$1:$I$89,3,0)*0.475*44/12</f>
        <v>22.693022033417115</v>
      </c>
      <c r="AW83" s="21">
        <f>EXP(-LN(2)/2)*AW82+(1-EXP(-LN(2)/2))/(LN(2)/2)*AQ83*AT83*VLOOKUP('Données projet'!$B$10,Paramètres!$A$1:$I$89,3,0)*0.475*44/12</f>
        <v>8.734165280939174E-2</v>
      </c>
      <c r="AX83" s="21">
        <f t="shared" si="60"/>
        <v>94.350539904105744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708</v>
      </c>
      <c r="BB83" s="12">
        <f>VLOOKUP(A83,'Données projet'!$A$87:$I$107,9,0)</f>
        <v>13.2</v>
      </c>
      <c r="BC83" s="12">
        <f t="array" ref="BC83">INDEX(BB:BB,MIN(IF(ISNUMBER(BB83:BB279),ROW(BB83:BB279),"")))</f>
        <v>13.2</v>
      </c>
      <c r="BD83" s="12">
        <f>IF('Données projet'!$A$88&gt;35,BD82+BC83-BL82,IF(A83&lt;'Données projet'!$A$88,$BA$205^A83,IF(A83='Données projet'!$A$88,'Données projet'!$B$88,BD82+BC83-BL82)))</f>
        <v>707.99999999999977</v>
      </c>
      <c r="BE83" s="13">
        <f>BD83*VLOOKUP('Données projet'!$B$11,Paramètres!$A$1:$I$89,3,0)*VLOOKUP('Données projet'!$B$11,Paramètres!$A$1:$I$89,5,0)</f>
        <v>368.15999999999991</v>
      </c>
      <c r="BF83" s="13">
        <f t="shared" si="91"/>
        <v>85.290764223677201</v>
      </c>
      <c r="BG83" s="20">
        <f t="shared" si="61"/>
        <v>789.76008102290427</v>
      </c>
      <c r="BH83" s="59">
        <f t="shared" si="62"/>
        <v>1083.0934143562376</v>
      </c>
      <c r="BI83" s="59">
        <f ca="1">AVERAGE(OFFSET($BH$3,0,0,'Données projet'!$E$11+1,1))-AVERAGE(OFFSET($H$3,0,0,'Données projet'!$E$11+1,1))</f>
        <v>348.29124901999882</v>
      </c>
      <c r="BJ83" s="59">
        <f t="shared" si="92"/>
        <v>284.30034973939053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708</v>
      </c>
      <c r="BM83" s="16">
        <f>IF(ISNA(VLOOKUP(A83,'Données projet'!$A$87:$I$107,5,0)),0%,VLOOKUP(A83,'Données projet'!$A$87:$I$107,5,0)*VLOOKUP('Données projet'!$B$11,Paramètres!$A$1:$I$89,7,0))</f>
        <v>0.33</v>
      </c>
      <c r="BN83" s="16">
        <f>IF(ISNA(VLOOKUP(A83,'Données projet'!$A$87:$I$107,6,0)),0%,VLOOKUP(A83,'Données projet'!$A$87:$I$107,6,0)*VLOOKUP('Données projet'!$B$11,Paramètres!$A$1:$I$89,7,0))</f>
        <v>0.11000000000000001</v>
      </c>
      <c r="BO83" s="16">
        <f>IF(ISNA(VLOOKUP(A83,'Données projet'!$A$87:$I$107,7,0)),0%,VLOOKUP(A83,'Données projet'!$A$87:$I$107,7,0))</f>
        <v>0.2</v>
      </c>
      <c r="BP83" s="21">
        <f>EXP(-LN(2)/35)*BP82+(1-EXP(-LN(2)/35))/(LN(2)/35)*BL83*BM83*VLOOKUP('Données projet'!$B$11,Paramètres!$A$1:$I$89,3,0)*0.475*44/12</f>
        <v>217.32732053642565</v>
      </c>
      <c r="BQ83" s="21">
        <f>EXP(-LN(2)/25)*BQ82+(1-EXP(-LN(2)/25))/(LN(2)/25)*Calculateur!BL83*Calculateur!BN83*VLOOKUP('Données projet'!$B$11,Paramètres!$A$1:$I$89,3,0)*0.475*44/12</f>
        <v>77.783124173546938</v>
      </c>
      <c r="BR83" s="21">
        <f>EXP(-LN(2)/2)*BR82+(1-EXP(-LN(2)/2))/(LN(2)/2)*BL83*BO83*VLOOKUP('Données projet'!$B$11,Paramètres!$A$1:$I$89,3,0)*0.475*44/12</f>
        <v>84.367009218919648</v>
      </c>
      <c r="BS83" s="22">
        <f t="shared" si="63"/>
        <v>379.4774539288922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6.3513333333333337</v>
      </c>
      <c r="BY83" s="12">
        <f>IF('Données projet'!$A$114&gt;35,BY82+BX83-CG82,IF(A83&lt;'Données projet'!$A$114,$BV$205^A83,IF(A83='Données projet'!$A$114,'Données projet'!$B$114,BY82+BX83-CG82)))</f>
        <v>230.79666666666648</v>
      </c>
      <c r="BZ83" s="13">
        <f>BY83*VLOOKUP('Données projet'!$B$12,Paramètres!$A$1:$I$89,3,0)*VLOOKUP('Données projet'!$B$12,Paramètres!$A$1:$I$89,5,0)</f>
        <v>138.01640666666657</v>
      </c>
      <c r="CA83" s="13">
        <f t="shared" si="93"/>
        <v>35.842215413281423</v>
      </c>
      <c r="CB83" s="20">
        <f t="shared" si="64"/>
        <v>302.80376678924273</v>
      </c>
      <c r="CC83" s="59">
        <f t="shared" si="65"/>
        <v>596.13710012257604</v>
      </c>
      <c r="CD83" s="59">
        <f ca="1">AVERAGE(OFFSET($CC$3,0,0,'Données projet'!$E$12+1,1))-AVERAGE(OFFSET($H$3,0,0,'Données projet'!$E$12+1,1))</f>
        <v>185.82627135915504</v>
      </c>
      <c r="CE83" s="59">
        <f t="shared" si="94"/>
        <v>155.46126452522037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28.332389462707088</v>
      </c>
      <c r="CL83" s="21">
        <f>EXP(-LN(2)/25)*CL82+(1-EXP(-LN(2)/25))/(LN(2)/25)*Calculateur!CG83*Calculateur!CI83*VLOOKUP('Données projet'!$B$12,Paramètres!$A$1:$I$89,3,0)*0.475*44/12</f>
        <v>11.314555490353445</v>
      </c>
      <c r="CM83" s="21">
        <f>EXP(-LN(2)/2)*CM82+(1-EXP(-LN(2)/2))/(LN(2)/2)*CG83*CJ83*VLOOKUP('Données projet'!$B$12,Paramètres!$A$1:$I$89,3,0)*0.475*44/12</f>
        <v>1.8167174783913442</v>
      </c>
      <c r="CN83" s="22">
        <f t="shared" si="66"/>
        <v>41.46366243145188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106.76923076923077</v>
      </c>
      <c r="CR83" s="12">
        <f>VLOOKUP(A83,'Données projet'!$A$139:$I$159,9,0)</f>
        <v>1.6384615384615402</v>
      </c>
      <c r="CS83" s="12">
        <f t="array" ref="CS83">INDEX(CR:CR,MIN(IF(ISNUMBER(CR83:CR279),ROW(CR83:CR279),"")))</f>
        <v>1.6384615384615402</v>
      </c>
      <c r="CT83" s="12">
        <f>IF('Données projet'!$A$140&gt;35,CT82+CS83-DB82,IF(A83&lt;'Données projet'!$A$140,$CQ$205^A83,IF(A83='Données projet'!$A$140,'Données projet'!$B$140,CT82+CS83-DB82)))</f>
        <v>106.7692307692307</v>
      </c>
      <c r="CU83" s="17">
        <f>CT83*VLOOKUP('Données projet'!$B$13,Paramètres!$A$1:$I$89,3,0)*VLOOKUP('Données projet'!$B$13,Paramètres!$A$1:$I$89,5,0)</f>
        <v>122.99815384615376</v>
      </c>
      <c r="CV83" s="13">
        <f t="shared" si="95"/>
        <v>32.373261962369106</v>
      </c>
      <c r="CW83" s="20">
        <f t="shared" si="67"/>
        <v>270.60521586651066</v>
      </c>
      <c r="CX83" s="59">
        <f t="shared" si="68"/>
        <v>563.93854919984392</v>
      </c>
      <c r="CY83" s="59">
        <f ca="1">AVERAGE(OFFSET($CX$3,0,0,'Données projet'!$E$13+1,1))-AVERAGE(OFFSET($H$3,0,0,'Données projet'!$E$13+1,1))</f>
        <v>150.78964413039063</v>
      </c>
      <c r="CZ83" s="59">
        <f t="shared" si="96"/>
        <v>131.90332435966184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12.384615384615385</v>
      </c>
      <c r="DC83" s="16">
        <f>IF(ISNA(VLOOKUP(A83,'Données projet'!$A$139:$I$159,5,0)),0%,VLOOKUP(A83,'Données projet'!$A$139:$I$159,5,0)*VLOOKUP('Données projet'!$B$13,Paramètres!$A$1:$I$89,7,0))</f>
        <v>0.18000000000000002</v>
      </c>
      <c r="DD83" s="16">
        <f>IF(ISNA(VLOOKUP(A83,'Données projet'!$A$139:$I$159,6,0)),0%,VLOOKUP(A83,'Données projet'!$A$139:$I$159,6,0)*VLOOKUP('Données projet'!$B$13,Paramètres!$A$1:$I$89,7,0))</f>
        <v>9.0000000000000011E-2</v>
      </c>
      <c r="DE83" s="16">
        <f>IF(ISNA(VLOOKUP(A83,'Données projet'!$A$139:$I$159,7,0)),0%,VLOOKUP(A83,'Données projet'!$A$139:$I$159,7,0))</f>
        <v>0.2</v>
      </c>
      <c r="DF83" s="21">
        <f>EXP(-LN(2)/35)*DF82+(1-EXP(-LN(2)/35))/(LN(2)/35)*DB83*DC83*VLOOKUP('Données projet'!$B$13,Paramètres!$A$1:$I$89,3,0)*0.475*44/12</f>
        <v>6.5725498970559242</v>
      </c>
      <c r="DG83" s="21">
        <f>EXP(-LN(2)/25)*DG82+(1-EXP(-LN(2)/25))/(LN(2)/25)*Calculateur!DB83*Calculateur!DD83*VLOOKUP('Données projet'!$B$13,Paramètres!$A$1:$I$89,3,0)*0.475*44/12</f>
        <v>3.5603446097699734</v>
      </c>
      <c r="DH83" s="21">
        <f>EXP(-LN(2)/2)*DH82+(1-EXP(-LN(2)/2))/(LN(2)/2)*DB83*DE83*VLOOKUP('Données projet'!$B$13,Paramètres!$A$1:$I$89,3,0)*0.475*44/12</f>
        <v>1.8050683628019664</v>
      </c>
      <c r="DI83" s="22">
        <f t="shared" si="69"/>
        <v>11.937962869627864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102.56410256410255</v>
      </c>
      <c r="DM83" s="12">
        <f>VLOOKUP(A83,'Données projet'!$A$165:$I$185,9,0)</f>
        <v>1.5384615384615388</v>
      </c>
      <c r="DN83" s="12">
        <f t="array" ref="DN83">INDEX(DM:DM,MIN(IF(ISNUMBER(DM83:DM279),ROW(DM83:DM279),"")))</f>
        <v>1.5384615384615388</v>
      </c>
      <c r="DO83" s="12">
        <f>IF('Données projet'!$A$166&gt;35,DO82+DN83-DW82,IF(A83&lt;'Données projet'!$A$166,$DL$205^A83,IF(A83='Données projet'!$A$166,'Données projet'!$B$166,DO82+DN83-DW82)))</f>
        <v>102.56410256410254</v>
      </c>
      <c r="DP83" s="17">
        <f>DO83*VLOOKUP('Données projet'!$B$14,Paramètres!$A$1:$I$89,3,0)*VLOOKUP('Données projet'!$B$14,Paramètres!$A$1:$I$89,5,0)</f>
        <v>107.19999999999997</v>
      </c>
      <c r="DQ83" s="13">
        <f t="shared" si="97"/>
        <v>28.670296030749508</v>
      </c>
      <c r="DR83" s="20">
        <f t="shared" si="70"/>
        <v>236.64076558688865</v>
      </c>
      <c r="DS83" s="59">
        <f t="shared" si="71"/>
        <v>529.97409892022199</v>
      </c>
      <c r="DT83" s="59">
        <f ca="1">AVERAGE(OFFSET($DS$3,0,0,'Données projet'!$E$14+1,1))-AVERAGE(OFFSET($H$3,0,0,'Données projet'!$E$14+1,1))</f>
        <v>110.10595934547638</v>
      </c>
      <c r="DU83" s="59">
        <f t="shared" si="98"/>
        <v>131.10971921141493</v>
      </c>
      <c r="DV83" s="15">
        <f>IF(ISNA(VLOOKUP(A83,'Données projet'!$A$165:$I$185,3,0)),0,VLOOKUP(A83,'Données projet'!$A$165:$I$185,3,0))</f>
        <v>11</v>
      </c>
      <c r="DW83" s="15">
        <f>IF(ISNA(VLOOKUP(A83,'Données projet'!$A$165:$I$185,4,0)),0,VLOOKUP(A83,'Données projet'!$A$165:$I$185,4,0))</f>
        <v>5.1282051282051277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0.215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10.382401607609548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10.382401607609548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6.7444444444444462</v>
      </c>
      <c r="EJ83" s="12">
        <f>IF('Données projet'!$A$192&gt;35,EJ82+EI83-ER82,IF(A83&lt;'Données projet'!$A$192,$EG$205^A83,IF(A83='Données projet'!$A$192,'Données projet'!$B$192,EJ82+EI83-ER82)))</f>
        <v>188.80333333333334</v>
      </c>
      <c r="EK83" s="17">
        <f>EJ83*VLOOKUP('Données projet'!$B$15,Paramètres!$A$1:$I$89,3,0)*VLOOKUP('Données projet'!$B$15,Paramètres!$A$1:$I$89,5,0)</f>
        <v>191.44658000000004</v>
      </c>
      <c r="EL83" s="13">
        <f t="shared" si="99"/>
        <v>47.859629835500797</v>
      </c>
      <c r="EM83" s="20">
        <f t="shared" si="73"/>
        <v>416.79164879683066</v>
      </c>
      <c r="EN83" s="59">
        <f t="shared" si="74"/>
        <v>710.12498213016397</v>
      </c>
      <c r="EO83" s="59">
        <f ca="1">AVERAGE(OFFSET($EN$3,0,0,'Données projet'!$E$15+1,1))-AVERAGE(OFFSET($H$3,0,0,'Données projet'!$E$15+1,1))</f>
        <v>420.38735944595965</v>
      </c>
      <c r="EP83" s="59">
        <f t="shared" si="100"/>
        <v>200.0823542414671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40.027683734325194</v>
      </c>
      <c r="EX83" s="21">
        <f>EXP(-LN(2)/2)*EX82+(1-EXP(-LN(2)/2))/(LN(2)/2)*ER83*EU83*VLOOKUP('Données projet'!$B$15,Paramètres!$A$1:$I$89,3,0)*0.475*44/12</f>
        <v>2.4888994686983255</v>
      </c>
      <c r="EY83" s="22">
        <f t="shared" si="75"/>
        <v>42.516583203023522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9.4837500000000006</v>
      </c>
      <c r="FE83" s="12">
        <f>IF('Données projet'!$A$218&gt;35,FE82+FD83-FM82,IF(A83&lt;'Données projet'!$A$218,$FB$205^A83,IF(A83='Données projet'!$A$218,'Données projet'!$B$218,FE82+FD83-FM82)))</f>
        <v>277.65874999999994</v>
      </c>
      <c r="FF83" s="17">
        <f>FE83*VLOOKUP('Données projet'!$B$16,Paramètres!$A$1:$I$89,3,0)*VLOOKUP('Données projet'!$B$16,Paramètres!$A$1:$I$89,5,0)</f>
        <v>298.87187849999992</v>
      </c>
      <c r="FG83" s="13">
        <f t="shared" si="101"/>
        <v>70.939914046272307</v>
      </c>
      <c r="FH83" s="20">
        <f t="shared" si="76"/>
        <v>644.08887201809068</v>
      </c>
      <c r="FI83" s="59">
        <f t="shared" si="77"/>
        <v>937.42220535142405</v>
      </c>
      <c r="FJ83" s="59">
        <f ca="1">AVERAGE(OFFSET($FI$3,0,0,'Données projet'!$E$16+1,1))-AVERAGE(OFFSET($H$3,0,0,'Données projet'!$E$16+1,1))</f>
        <v>415.8741608506952</v>
      </c>
      <c r="FK83" s="59">
        <f t="shared" si="102"/>
        <v>259.15848913719356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22.45615180118849</v>
      </c>
      <c r="FR83" s="21">
        <f>EXP(-LN(2)/25)*FR82+(1-EXP(-LN(2)/25))/(LN(2)/25)*Calculateur!FM83*Calculateur!FO83*VLOOKUP('Données projet'!$B$16,Paramètres!$A$1:$I$89,3,0)*0.475*44/12</f>
        <v>26.897306437571601</v>
      </c>
      <c r="FS83" s="21">
        <f>EXP(-LN(2)/2)*FS82+(1-EXP(-LN(2)/2))/(LN(2)/2)*FM83*FP83*VLOOKUP('Données projet'!$B$16,Paramètres!$A$1:$I$89,3,0)*0.475*44/12</f>
        <v>0.83234883184095199</v>
      </c>
      <c r="FT83" s="22">
        <f t="shared" si="78"/>
        <v>50.185807070601044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9.4837500000000006</v>
      </c>
      <c r="FZ83" s="12">
        <f>IF('Données projet'!$A$244&gt;35,FZ82+FY83-GH82,IF(A83&lt;'Données projet'!$A$244,$FW$205^A83,IF(A83='Données projet'!$A$244,'Données projet'!$B$244,FZ82+FY83-GH82)))</f>
        <v>277.65874999999994</v>
      </c>
      <c r="GA83" s="17">
        <f>FZ83*VLOOKUP('Données projet'!$B$17,Paramètres!$A$1:$I$89,3,0)*VLOOKUP('Données projet'!$B$17,Paramètres!$A$1:$I$89,5,0)</f>
        <v>238.23120749999995</v>
      </c>
      <c r="GB83" s="13">
        <f t="shared" si="103"/>
        <v>58.058802473625278</v>
      </c>
      <c r="GC83" s="20">
        <f t="shared" si="79"/>
        <v>516.03843403739722</v>
      </c>
      <c r="GD83" s="59">
        <f t="shared" si="80"/>
        <v>809.37176737073059</v>
      </c>
      <c r="GE83" s="59">
        <f ca="1">AVERAGE(OFFSET($GD$3,0,0,'Données projet'!$E$17+1,1))-AVERAGE(OFFSET($H$3,0,0,'Données projet'!$E$17+1,1))</f>
        <v>322.39807389980882</v>
      </c>
      <c r="GF83" s="59">
        <f t="shared" si="104"/>
        <v>202.59410055732792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22.062582575148117</v>
      </c>
      <c r="GM83" s="21">
        <f>EXP(-LN(2)/25)*GM82+(1-EXP(-LN(2)/25))/(LN(2)/25)*Calculateur!GH83*Calculateur!GJ83*VLOOKUP('Données projet'!$B$17,Paramètres!$A$1:$I$89,3,0)*0.475*44/12</f>
        <v>26.425900999501586</v>
      </c>
      <c r="GN83" s="21">
        <f>EXP(-LN(2)/2)*GN82+(1-EXP(-LN(2)/2))/(LN(2)/2)*GH83*GK83*VLOOKUP('Données projet'!$B$17,Paramètres!$A$1:$I$89,3,0)*0.475*44/12</f>
        <v>0.66346646016307786</v>
      </c>
      <c r="GO83" s="21">
        <f t="shared" si="81"/>
        <v>49.151950034812785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29.694599999999934</v>
      </c>
      <c r="D84" s="11">
        <f t="shared" si="86"/>
        <v>9.2216765600667685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300.40634537595355</v>
      </c>
      <c r="H84" s="67">
        <f t="shared" si="56"/>
        <v>361.11251500878279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10.417499999999999</v>
      </c>
      <c r="N84" s="13">
        <f>IF('Données projet'!$A$36&gt;35,N83+M84-V83,IF(A84&lt;'Données projet'!$A$36,$K$205^A84,IF(A84='Données projet'!$A$36,'Données projet'!$B$36,N83+M84-V83)))</f>
        <v>364.255</v>
      </c>
      <c r="O84" s="13">
        <f>N84*VLOOKUP('Données projet'!$B$9,Paramètres!$A$1:$I$89,3,0)*VLOOKUP('Données projet'!$B$9,Paramètres!$A$1:$I$89,5,0)</f>
        <v>170.47134</v>
      </c>
      <c r="P84" s="13">
        <f t="shared" si="87"/>
        <v>43.195571049057939</v>
      </c>
      <c r="Q84" s="20">
        <f t="shared" si="54"/>
        <v>372.13653674377588</v>
      </c>
      <c r="R84" s="59">
        <f t="shared" si="55"/>
        <v>665.46987007710914</v>
      </c>
      <c r="S84" s="59">
        <f ca="1">AVERAGE(OFFSET($R$3,0,0,'Données projet'!$E$9+1,1))-AVERAGE(OFFSET($H$3,0,0,'Données projet'!$E$9+1,1))</f>
        <v>215.77907571824977</v>
      </c>
      <c r="T84" s="59">
        <f t="shared" si="88"/>
        <v>174.69390149594869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38.424198411238891</v>
      </c>
      <c r="AA84" s="21">
        <f>EXP(-LN(2)/25)*AA83+(1-EXP(-LN(2)/25))/(LN(2)/25)*Calculateur!V84*Calculateur!X84*VLOOKUP('Données projet'!$B$9,Paramètres!$A$1:$I$89,3,0)*0.475*44/12</f>
        <v>15.737956002679629</v>
      </c>
      <c r="AB84" s="21">
        <f>EXP(-LN(2)/2)*AB83+(1-EXP(-LN(2)/2))/(LN(2)/2)*V84*Y84*VLOOKUP('Données projet'!$B$9,Paramètres!$A$1:$I$89,3,0)*0.475*44/12</f>
        <v>1.2665995086172814</v>
      </c>
      <c r="AC84" s="22">
        <f t="shared" si="57"/>
        <v>55.428753922535805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-1.0197709343628959E-13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171.701352621833</v>
      </c>
      <c r="AO84" s="59">
        <f t="shared" si="90"/>
        <v>195.58435749168586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70.166728715743687</v>
      </c>
      <c r="AV84" s="21">
        <f>EXP(-LN(2)/25)*AV83+(1-EXP(-LN(2)/25))/(LN(2)/25)*Calculateur!AQ84*Calculateur!AS84*VLOOKUP('Données projet'!$B$10,Paramètres!$A$1:$I$89,3,0)*0.475*44/12</f>
        <v>22.072480152539161</v>
      </c>
      <c r="AW84" s="21">
        <f>EXP(-LN(2)/2)*AW83+(1-EXP(-LN(2)/2))/(LN(2)/2)*AQ84*AT84*VLOOKUP('Données projet'!$B$10,Paramètres!$A$1:$I$89,3,0)*0.475*44/12</f>
        <v>6.175987498156197E-2</v>
      </c>
      <c r="AX84" s="21">
        <f t="shared" si="60"/>
        <v>92.300968743264406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-1.1823431123048067E-13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348.29124901999882</v>
      </c>
      <c r="BJ84" s="59">
        <f t="shared" si="92"/>
        <v>284.30034973939053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213.06566433728298</v>
      </c>
      <c r="BQ84" s="21">
        <f>EXP(-LN(2)/25)*BQ83+(1-EXP(-LN(2)/25))/(LN(2)/25)*Calculateur!BL84*Calculateur!BN84*VLOOKUP('Données projet'!$B$11,Paramètres!$A$1:$I$89,3,0)*0.475*44/12</f>
        <v>75.656140552584574</v>
      </c>
      <c r="BR84" s="21">
        <f>EXP(-LN(2)/2)*BR83+(1-EXP(-LN(2)/2))/(LN(2)/2)*BL84*BO84*VLOOKUP('Données projet'!$B$11,Paramètres!$A$1:$I$89,3,0)*0.475*44/12</f>
        <v>59.656484327126059</v>
      </c>
      <c r="BS84" s="22">
        <f t="shared" si="63"/>
        <v>348.37828921699361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6.3513333333333337</v>
      </c>
      <c r="BY84" s="12">
        <f>IF('Données projet'!$A$114&gt;35,BY83+BX84-CG83,IF(A84&lt;'Données projet'!$A$114,$BV$205^A84,IF(A84='Données projet'!$A$114,'Données projet'!$B$114,BY83+BX84-CG83)))</f>
        <v>237.14799999999983</v>
      </c>
      <c r="BZ84" s="13">
        <f>BY84*VLOOKUP('Données projet'!$B$12,Paramètres!$A$1:$I$89,3,0)*VLOOKUP('Données projet'!$B$12,Paramètres!$A$1:$I$89,5,0)</f>
        <v>141.81450399999991</v>
      </c>
      <c r="CA84" s="13">
        <f t="shared" si="93"/>
        <v>36.712370831532056</v>
      </c>
      <c r="CB84" s="20">
        <f t="shared" si="64"/>
        <v>310.93430699825154</v>
      </c>
      <c r="CC84" s="59">
        <f t="shared" si="65"/>
        <v>604.26764033158486</v>
      </c>
      <c r="CD84" s="59">
        <f ca="1">AVERAGE(OFFSET($CC$3,0,0,'Données projet'!$E$12+1,1))-AVERAGE(OFFSET($H$3,0,0,'Données projet'!$E$12+1,1))</f>
        <v>185.82627135915504</v>
      </c>
      <c r="CE84" s="59">
        <f t="shared" si="94"/>
        <v>155.46126452522037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27.776808586394612</v>
      </c>
      <c r="CL84" s="21">
        <f>EXP(-LN(2)/25)*CL83+(1-EXP(-LN(2)/25))/(LN(2)/25)*Calculateur!CG84*Calculateur!CI84*VLOOKUP('Données projet'!$B$12,Paramètres!$A$1:$I$89,3,0)*0.475*44/12</f>
        <v>11.005158375463116</v>
      </c>
      <c r="CM84" s="21">
        <f>EXP(-LN(2)/2)*CM83+(1-EXP(-LN(2)/2))/(LN(2)/2)*CG84*CJ84*VLOOKUP('Données projet'!$B$12,Paramètres!$A$1:$I$89,3,0)*0.475*44/12</f>
        <v>1.2846132484706447</v>
      </c>
      <c r="CN84" s="22">
        <f t="shared" si="66"/>
        <v>40.066580210328368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1.5461538461538467</v>
      </c>
      <c r="CT84" s="12">
        <f>IF('Données projet'!$A$140&gt;35,CT83+CS84-DB83,IF(A84&lt;'Données projet'!$A$140,$CQ$205^A84,IF(A84='Données projet'!$A$140,'Données projet'!$B$140,CT83+CS84-DB83)))</f>
        <v>95.930769230769158</v>
      </c>
      <c r="CU84" s="17">
        <f>CT84*VLOOKUP('Données projet'!$B$13,Paramètres!$A$1:$I$89,3,0)*VLOOKUP('Données projet'!$B$13,Paramètres!$A$1:$I$89,5,0)</f>
        <v>110.51224615384606</v>
      </c>
      <c r="CV84" s="13">
        <f t="shared" si="95"/>
        <v>29.451641108561208</v>
      </c>
      <c r="CW84" s="20">
        <f t="shared" si="67"/>
        <v>243.77043698202598</v>
      </c>
      <c r="CX84" s="59">
        <f t="shared" si="68"/>
        <v>537.10377031535927</v>
      </c>
      <c r="CY84" s="59">
        <f ca="1">AVERAGE(OFFSET($CX$3,0,0,'Données projet'!$E$13+1,1))-AVERAGE(OFFSET($H$3,0,0,'Données projet'!$E$13+1,1))</f>
        <v>150.78964413039063</v>
      </c>
      <c r="CZ84" s="59">
        <f t="shared" si="96"/>
        <v>131.90332435966184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6.4436662024342528</v>
      </c>
      <c r="DG84" s="21">
        <f>EXP(-LN(2)/25)*DG83+(1-EXP(-LN(2)/25))/(LN(2)/25)*Calculateur!DB84*Calculateur!DD84*VLOOKUP('Données projet'!$B$13,Paramètres!$A$1:$I$89,3,0)*0.475*44/12</f>
        <v>3.4629867991854275</v>
      </c>
      <c r="DH84" s="21">
        <f>EXP(-LN(2)/2)*DH83+(1-EXP(-LN(2)/2))/(LN(2)/2)*DB84*DE84*VLOOKUP('Données projet'!$B$13,Paramètres!$A$1:$I$89,3,0)*0.475*44/12</f>
        <v>1.2763760798425696</v>
      </c>
      <c r="DI84" s="22">
        <f t="shared" si="69"/>
        <v>11.18302908146225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1.6666666666666656</v>
      </c>
      <c r="DO84" s="12">
        <f>IF('Données projet'!$A$166&gt;35,DO83+DN84-DW83,IF(A84&lt;'Données projet'!$A$166,$DL$205^A84,IF(A84='Données projet'!$A$166,'Données projet'!$B$166,DO83+DN84-DW83)))</f>
        <v>99.102564102564088</v>
      </c>
      <c r="DP84" s="17">
        <f>DO84*VLOOKUP('Données projet'!$B$14,Paramètres!$A$1:$I$89,3,0)*VLOOKUP('Données projet'!$B$14,Paramètres!$A$1:$I$89,5,0)</f>
        <v>103.58199999999999</v>
      </c>
      <c r="DQ84" s="13">
        <f t="shared" si="97"/>
        <v>27.81360390374196</v>
      </c>
      <c r="DR84" s="20">
        <f t="shared" si="70"/>
        <v>228.84734346568385</v>
      </c>
      <c r="DS84" s="59">
        <f t="shared" si="71"/>
        <v>522.18067679901719</v>
      </c>
      <c r="DT84" s="59">
        <f ca="1">AVERAGE(OFFSET($DS$3,0,0,'Données projet'!$E$14+1,1))-AVERAGE(OFFSET($H$3,0,0,'Données projet'!$E$14+1,1))</f>
        <v>110.10595934547638</v>
      </c>
      <c r="DU84" s="59">
        <f t="shared" si="98"/>
        <v>131.10971921141493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10.098494289662694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10.098494289662694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6.7444444444444462</v>
      </c>
      <c r="EJ84" s="12">
        <f>IF('Données projet'!$A$192&gt;35,EJ83+EI84-ER83,IF(A84&lt;'Données projet'!$A$192,$EG$205^A84,IF(A84='Données projet'!$A$192,'Données projet'!$B$192,EJ83+EI84-ER83)))</f>
        <v>195.54777777777778</v>
      </c>
      <c r="EK84" s="17">
        <f>EJ84*VLOOKUP('Données projet'!$B$15,Paramètres!$A$1:$I$89,3,0)*VLOOKUP('Données projet'!$B$15,Paramètres!$A$1:$I$89,5,0)</f>
        <v>198.28544666666667</v>
      </c>
      <c r="EL84" s="13">
        <f t="shared" si="99"/>
        <v>49.367172192409612</v>
      </c>
      <c r="EM84" s="20">
        <f t="shared" si="73"/>
        <v>431.32831117955783</v>
      </c>
      <c r="EN84" s="59">
        <f t="shared" si="74"/>
        <v>724.66164451289114</v>
      </c>
      <c r="EO84" s="59">
        <f ca="1">AVERAGE(OFFSET($EN$3,0,0,'Données projet'!$E$15+1,1))-AVERAGE(OFFSET($H$3,0,0,'Données projet'!$E$15+1,1))</f>
        <v>420.38735944595965</v>
      </c>
      <c r="EP84" s="59">
        <f t="shared" si="100"/>
        <v>200.0823542414671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38.933124617645667</v>
      </c>
      <c r="EX84" s="21">
        <f>EXP(-LN(2)/2)*EX83+(1-EXP(-LN(2)/2))/(LN(2)/2)*ER84*EU84*VLOOKUP('Données projet'!$B$15,Paramètres!$A$1:$I$89,3,0)*0.475*44/12</f>
        <v>1.7599176920081814</v>
      </c>
      <c r="EY84" s="22">
        <f t="shared" si="75"/>
        <v>40.693042309653848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9.4837500000000006</v>
      </c>
      <c r="FE84" s="12">
        <f>IF('Données projet'!$A$218&gt;35,FE83+FD84-FM83,IF(A84&lt;'Données projet'!$A$218,$FB$205^A84,IF(A84='Données projet'!$A$218,'Données projet'!$B$218,FE83+FD84-FM83)))</f>
        <v>287.14249999999993</v>
      </c>
      <c r="FF84" s="17">
        <f>FE84*VLOOKUP('Données projet'!$B$16,Paramètres!$A$1:$I$89,3,0)*VLOOKUP('Données projet'!$B$16,Paramètres!$A$1:$I$89,5,0)</f>
        <v>309.08018699999991</v>
      </c>
      <c r="FG84" s="13">
        <f t="shared" si="101"/>
        <v>73.076703398977713</v>
      </c>
      <c r="FH84" s="20">
        <f t="shared" si="76"/>
        <v>665.58991744488594</v>
      </c>
      <c r="FI84" s="59">
        <f t="shared" si="77"/>
        <v>958.9232507782192</v>
      </c>
      <c r="FJ84" s="59">
        <f ca="1">AVERAGE(OFFSET($FI$3,0,0,'Données projet'!$E$16+1,1))-AVERAGE(OFFSET($H$3,0,0,'Données projet'!$E$16+1,1))</f>
        <v>415.8741608506952</v>
      </c>
      <c r="FK84" s="59">
        <f t="shared" si="102"/>
        <v>259.15848913719356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22.015800361267324</v>
      </c>
      <c r="FR84" s="21">
        <f>EXP(-LN(2)/25)*FR83+(1-EXP(-LN(2)/25))/(LN(2)/25)*Calculateur!FM84*Calculateur!FO84*VLOOKUP('Données projet'!$B$16,Paramètres!$A$1:$I$89,3,0)*0.475*44/12</f>
        <v>26.161798178568333</v>
      </c>
      <c r="FS84" s="21">
        <f>EXP(-LN(2)/2)*FS83+(1-EXP(-LN(2)/2))/(LN(2)/2)*FM84*FP84*VLOOKUP('Données projet'!$B$16,Paramètres!$A$1:$I$89,3,0)*0.475*44/12</f>
        <v>0.58855950330743856</v>
      </c>
      <c r="FT84" s="22">
        <f t="shared" si="78"/>
        <v>48.766158043143093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9.4837500000000006</v>
      </c>
      <c r="FZ84" s="12">
        <f>IF('Données projet'!$A$244&gt;35,FZ83+FY84-GH83,IF(A84&lt;'Données projet'!$A$244,$FW$205^A84,IF(A84='Données projet'!$A$244,'Données projet'!$B$244,FZ83+FY84-GH83)))</f>
        <v>287.14249999999993</v>
      </c>
      <c r="GA84" s="17">
        <f>FZ84*VLOOKUP('Données projet'!$B$17,Paramètres!$A$1:$I$89,3,0)*VLOOKUP('Données projet'!$B$17,Paramètres!$A$1:$I$89,5,0)</f>
        <v>246.36826499999995</v>
      </c>
      <c r="GB84" s="13">
        <f t="shared" si="103"/>
        <v>59.807598375401369</v>
      </c>
      <c r="GC84" s="20">
        <f t="shared" si="79"/>
        <v>533.25629537882389</v>
      </c>
      <c r="GD84" s="59">
        <f t="shared" si="80"/>
        <v>826.58962871215726</v>
      </c>
      <c r="GE84" s="59">
        <f ca="1">AVERAGE(OFFSET($GD$3,0,0,'Données projet'!$E$17+1,1))-AVERAGE(OFFSET($H$3,0,0,'Données projet'!$E$17+1,1))</f>
        <v>322.39807389980882</v>
      </c>
      <c r="GF84" s="59">
        <f t="shared" si="104"/>
        <v>202.59410055732792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21.62994878769608</v>
      </c>
      <c r="GM84" s="21">
        <f>EXP(-LN(2)/25)*GM83+(1-EXP(-LN(2)/25))/(LN(2)/25)*Calculateur!GH84*Calculateur!GJ84*VLOOKUP('Données projet'!$B$17,Paramètres!$A$1:$I$89,3,0)*0.475*44/12</f>
        <v>25.703283346992478</v>
      </c>
      <c r="GN84" s="21">
        <f>EXP(-LN(2)/2)*GN83+(1-EXP(-LN(2)/2))/(LN(2)/2)*GH84*GK84*VLOOKUP('Données projet'!$B$17,Paramètres!$A$1:$I$89,3,0)*0.475*44/12</f>
        <v>0.46914163307114676</v>
      </c>
      <c r="GO84" s="21">
        <f t="shared" si="81"/>
        <v>47.802373767759704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30.061199999999932</v>
      </c>
      <c r="D85" s="11">
        <f t="shared" si="86"/>
        <v>9.3222005779260293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304.01221498749868</v>
      </c>
      <c r="H85" s="67">
        <f t="shared" si="56"/>
        <v>361.92608933988771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10.417499999999999</v>
      </c>
      <c r="N85" s="13">
        <f>IF('Données projet'!$A$36&gt;35,N84+M85-V84,IF(A85&lt;'Données projet'!$A$36,$K$205^A85,IF(A85='Données projet'!$A$36,'Données projet'!$B$36,N84+M85-V84)))</f>
        <v>374.67250000000001</v>
      </c>
      <c r="O85" s="13">
        <f>N85*VLOOKUP('Données projet'!$B$9,Paramètres!$A$1:$I$89,3,0)*VLOOKUP('Données projet'!$B$9,Paramètres!$A$1:$I$89,5,0)</f>
        <v>175.34673000000001</v>
      </c>
      <c r="P85" s="13">
        <f t="shared" si="87"/>
        <v>44.285346511760764</v>
      </c>
      <c r="Q85" s="20">
        <f t="shared" si="54"/>
        <v>382.52586659131663</v>
      </c>
      <c r="R85" s="59">
        <f t="shared" si="55"/>
        <v>675.85919992464994</v>
      </c>
      <c r="S85" s="59">
        <f ca="1">AVERAGE(OFFSET($R$3,0,0,'Données projet'!$E$9+1,1))-AVERAGE(OFFSET($H$3,0,0,'Données projet'!$E$9+1,1))</f>
        <v>215.77907571824977</v>
      </c>
      <c r="T85" s="59">
        <f t="shared" si="88"/>
        <v>174.69390149594869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37.670723316841368</v>
      </c>
      <c r="AA85" s="21">
        <f>EXP(-LN(2)/25)*AA84+(1-EXP(-LN(2)/25))/(LN(2)/25)*Calculateur!V85*Calculateur!X85*VLOOKUP('Données projet'!$B$9,Paramètres!$A$1:$I$89,3,0)*0.475*44/12</f>
        <v>15.307600768163219</v>
      </c>
      <c r="AB85" s="21">
        <f>EXP(-LN(2)/2)*AB84+(1-EXP(-LN(2)/2))/(LN(2)/2)*V85*Y85*VLOOKUP('Données projet'!$B$9,Paramètres!$A$1:$I$89,3,0)*0.475*44/12</f>
        <v>0.89562110159082875</v>
      </c>
      <c r="AC85" s="22">
        <f t="shared" si="57"/>
        <v>53.873945186595414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-1.0197709343628959E-13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171.701352621833</v>
      </c>
      <c r="AO85" s="59">
        <f t="shared" si="90"/>
        <v>195.58435749168586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68.790801963106574</v>
      </c>
      <c r="AV85" s="21">
        <f>EXP(-LN(2)/25)*AV84+(1-EXP(-LN(2)/25))/(LN(2)/25)*Calculateur!AQ85*Calculateur!AS85*VLOOKUP('Données projet'!$B$10,Paramètres!$A$1:$I$89,3,0)*0.475*44/12</f>
        <v>21.468907022026695</v>
      </c>
      <c r="AW85" s="21">
        <f>EXP(-LN(2)/2)*AW84+(1-EXP(-LN(2)/2))/(LN(2)/2)*AQ85*AT85*VLOOKUP('Données projet'!$B$10,Paramètres!$A$1:$I$89,3,0)*0.475*44/12</f>
        <v>4.3670826404695877E-2</v>
      </c>
      <c r="AX85" s="21">
        <f t="shared" si="60"/>
        <v>90.303379811537965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-1.1823431123048067E-13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348.29124901999882</v>
      </c>
      <c r="BJ85" s="59">
        <f t="shared" si="92"/>
        <v>284.30034973939053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208.8875766168519</v>
      </c>
      <c r="BQ85" s="21">
        <f>EXP(-LN(2)/25)*BQ84+(1-EXP(-LN(2)/25))/(LN(2)/25)*Calculateur!BL85*Calculateur!BN85*VLOOKUP('Données projet'!$B$11,Paramètres!$A$1:$I$89,3,0)*0.475*44/12</f>
        <v>73.587319410590638</v>
      </c>
      <c r="BR85" s="21">
        <f>EXP(-LN(2)/2)*BR84+(1-EXP(-LN(2)/2))/(LN(2)/2)*BL85*BO85*VLOOKUP('Données projet'!$B$11,Paramètres!$A$1:$I$89,3,0)*0.475*44/12</f>
        <v>42.183504609459831</v>
      </c>
      <c r="BS85" s="22">
        <f t="shared" si="63"/>
        <v>324.65840063690234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6.3513333333333337</v>
      </c>
      <c r="BY85" s="12">
        <f>IF('Données projet'!$A$114&gt;35,BY84+BX85-CG84,IF(A85&lt;'Données projet'!$A$114,$BV$205^A85,IF(A85='Données projet'!$A$114,'Données projet'!$B$114,BY84+BX85-CG84)))</f>
        <v>243.49933333333317</v>
      </c>
      <c r="BZ85" s="13">
        <f>BY85*VLOOKUP('Données projet'!$B$12,Paramètres!$A$1:$I$89,3,0)*VLOOKUP('Données projet'!$B$12,Paramètres!$A$1:$I$89,5,0)</f>
        <v>145.61260133333323</v>
      </c>
      <c r="CA85" s="13">
        <f t="shared" si="93"/>
        <v>37.579817472188012</v>
      </c>
      <c r="CB85" s="20">
        <f t="shared" si="64"/>
        <v>319.0601294196162</v>
      </c>
      <c r="CC85" s="59">
        <f t="shared" si="65"/>
        <v>612.39346275294952</v>
      </c>
      <c r="CD85" s="59">
        <f ca="1">AVERAGE(OFFSET($CC$3,0,0,'Données projet'!$E$12+1,1))-AVERAGE(OFFSET($H$3,0,0,'Données projet'!$E$12+1,1))</f>
        <v>185.82627135915504</v>
      </c>
      <c r="CE85" s="59">
        <f t="shared" si="94"/>
        <v>155.46126452522037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27.232122312195749</v>
      </c>
      <c r="CL85" s="21">
        <f>EXP(-LN(2)/25)*CL84+(1-EXP(-LN(2)/25))/(LN(2)/25)*Calculateur!CG85*Calculateur!CI85*VLOOKUP('Données projet'!$B$12,Paramètres!$A$1:$I$89,3,0)*0.475*44/12</f>
        <v>10.704221740949951</v>
      </c>
      <c r="CM85" s="21">
        <f>EXP(-LN(2)/2)*CM84+(1-EXP(-LN(2)/2))/(LN(2)/2)*CG85*CJ85*VLOOKUP('Données projet'!$B$12,Paramètres!$A$1:$I$89,3,0)*0.475*44/12</f>
        <v>0.90835873919567223</v>
      </c>
      <c r="CN85" s="22">
        <f t="shared" si="66"/>
        <v>38.844702792341373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1.5461538461538467</v>
      </c>
      <c r="CT85" s="12">
        <f>IF('Données projet'!$A$140&gt;35,CT84+CS85-DB84,IF(A85&lt;'Données projet'!$A$140,$CQ$205^A85,IF(A85='Données projet'!$A$140,'Données projet'!$B$140,CT84+CS85-DB84)))</f>
        <v>97.476923076923001</v>
      </c>
      <c r="CU85" s="17">
        <f>CT85*VLOOKUP('Données projet'!$B$13,Paramètres!$A$1:$I$89,3,0)*VLOOKUP('Données projet'!$B$13,Paramètres!$A$1:$I$89,5,0)</f>
        <v>112.2934153846153</v>
      </c>
      <c r="CV85" s="13">
        <f t="shared" si="95"/>
        <v>29.870680486758328</v>
      </c>
      <c r="CW85" s="20">
        <f t="shared" si="67"/>
        <v>247.60246697597574</v>
      </c>
      <c r="CX85" s="59">
        <f t="shared" si="68"/>
        <v>540.93580030930912</v>
      </c>
      <c r="CY85" s="59">
        <f ca="1">AVERAGE(OFFSET($CX$3,0,0,'Données projet'!$E$13+1,1))-AVERAGE(OFFSET($H$3,0,0,'Données projet'!$E$13+1,1))</f>
        <v>150.78964413039063</v>
      </c>
      <c r="CZ85" s="59">
        <f t="shared" si="96"/>
        <v>131.90332435966184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6.3173098384528208</v>
      </c>
      <c r="DG85" s="21">
        <f>EXP(-LN(2)/25)*DG84+(1-EXP(-LN(2)/25))/(LN(2)/25)*Calculateur!DB85*Calculateur!DD85*VLOOKUP('Données projet'!$B$13,Paramètres!$A$1:$I$89,3,0)*0.475*44/12</f>
        <v>3.3682912430511411</v>
      </c>
      <c r="DH85" s="21">
        <f>EXP(-LN(2)/2)*DH84+(1-EXP(-LN(2)/2))/(LN(2)/2)*DB85*DE85*VLOOKUP('Données projet'!$B$13,Paramètres!$A$1:$I$89,3,0)*0.475*44/12</f>
        <v>0.90253418140098329</v>
      </c>
      <c r="DI85" s="22">
        <f t="shared" si="69"/>
        <v>10.588135262904945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1.6666666666666656</v>
      </c>
      <c r="DO85" s="12">
        <f>IF('Données projet'!$A$166&gt;35,DO84+DN85-DW84,IF(A85&lt;'Données projet'!$A$166,$DL$205^A85,IF(A85='Données projet'!$A$166,'Données projet'!$B$166,DO84+DN85-DW84)))</f>
        <v>100.76923076923076</v>
      </c>
      <c r="DP85" s="17">
        <f>DO85*VLOOKUP('Données projet'!$B$14,Paramètres!$A$1:$I$89,3,0)*VLOOKUP('Données projet'!$B$14,Paramètres!$A$1:$I$89,5,0)</f>
        <v>105.32400000000001</v>
      </c>
      <c r="DQ85" s="13">
        <f t="shared" si="97"/>
        <v>28.226512744812087</v>
      </c>
      <c r="DR85" s="20">
        <f t="shared" si="70"/>
        <v>232.60047636388106</v>
      </c>
      <c r="DS85" s="59">
        <f t="shared" si="71"/>
        <v>525.93380969721443</v>
      </c>
      <c r="DT85" s="59">
        <f ca="1">AVERAGE(OFFSET($DS$3,0,0,'Données projet'!$E$14+1,1))-AVERAGE(OFFSET($H$3,0,0,'Données projet'!$E$14+1,1))</f>
        <v>110.10595934547638</v>
      </c>
      <c r="DU85" s="59">
        <f t="shared" si="98"/>
        <v>131.10971921141493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9.8223504322551332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9.8223504322551332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6.7444444444444462</v>
      </c>
      <c r="EJ85" s="12">
        <f>IF('Données projet'!$A$192&gt;35,EJ84+EI85-ER84,IF(A85&lt;'Données projet'!$A$192,$EG$205^A85,IF(A85='Données projet'!$A$192,'Données projet'!$B$192,EJ84+EI85-ER84)))</f>
        <v>202.29222222222222</v>
      </c>
      <c r="EK85" s="17">
        <f>EJ85*VLOOKUP('Données projet'!$B$15,Paramètres!$A$1:$I$89,3,0)*VLOOKUP('Données projet'!$B$15,Paramètres!$A$1:$I$89,5,0)</f>
        <v>205.12431333333336</v>
      </c>
      <c r="EL85" s="13">
        <f t="shared" si="99"/>
        <v>50.868673181302917</v>
      </c>
      <c r="EM85" s="20">
        <f t="shared" si="73"/>
        <v>445.85445151299149</v>
      </c>
      <c r="EN85" s="59">
        <f t="shared" si="74"/>
        <v>739.1877848463248</v>
      </c>
      <c r="EO85" s="59">
        <f ca="1">AVERAGE(OFFSET($EN$3,0,0,'Données projet'!$E$15+1,1))-AVERAGE(OFFSET($H$3,0,0,'Données projet'!$E$15+1,1))</f>
        <v>420.38735944595965</v>
      </c>
      <c r="EP85" s="59">
        <f t="shared" si="100"/>
        <v>200.0823542414671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37.868496277572106</v>
      </c>
      <c r="EX85" s="21">
        <f>EXP(-LN(2)/2)*EX84+(1-EXP(-LN(2)/2))/(LN(2)/2)*ER85*EU85*VLOOKUP('Données projet'!$B$15,Paramètres!$A$1:$I$89,3,0)*0.475*44/12</f>
        <v>1.244449734349163</v>
      </c>
      <c r="EY85" s="22">
        <f t="shared" si="75"/>
        <v>39.112946011921267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9.4837500000000006</v>
      </c>
      <c r="FE85" s="12">
        <f>IF('Données projet'!$A$218&gt;35,FE84+FD85-FM84,IF(A85&lt;'Données projet'!$A$218,$FB$205^A85,IF(A85='Données projet'!$A$218,'Données projet'!$B$218,FE84+FD85-FM84)))</f>
        <v>296.62624999999991</v>
      </c>
      <c r="FF85" s="17">
        <f>FE85*VLOOKUP('Données projet'!$B$16,Paramètres!$A$1:$I$89,3,0)*VLOOKUP('Données projet'!$B$16,Paramètres!$A$1:$I$89,5,0)</f>
        <v>319.2884954999999</v>
      </c>
      <c r="FG85" s="13">
        <f t="shared" si="101"/>
        <v>75.205292141133469</v>
      </c>
      <c r="FH85" s="20">
        <f t="shared" si="76"/>
        <v>687.07668014164062</v>
      </c>
      <c r="FI85" s="59">
        <f t="shared" si="77"/>
        <v>980.41001347497399</v>
      </c>
      <c r="FJ85" s="59">
        <f ca="1">AVERAGE(OFFSET($FI$3,0,0,'Données projet'!$E$16+1,1))-AVERAGE(OFFSET($H$3,0,0,'Données projet'!$E$16+1,1))</f>
        <v>415.8741608506952</v>
      </c>
      <c r="FK85" s="59">
        <f t="shared" si="102"/>
        <v>259.15848913719356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21.584083944495156</v>
      </c>
      <c r="FR85" s="21">
        <f>EXP(-LN(2)/25)*FR84+(1-EXP(-LN(2)/25))/(LN(2)/25)*Calculateur!FM85*Calculateur!FO85*VLOOKUP('Données projet'!$B$16,Paramètres!$A$1:$I$89,3,0)*0.475*44/12</f>
        <v>25.446402431586208</v>
      </c>
      <c r="FS85" s="21">
        <f>EXP(-LN(2)/2)*FS84+(1-EXP(-LN(2)/2))/(LN(2)/2)*FM85*FP85*VLOOKUP('Données projet'!$B$16,Paramètres!$A$1:$I$89,3,0)*0.475*44/12</f>
        <v>0.4161744159204761</v>
      </c>
      <c r="FT85" s="22">
        <f t="shared" si="78"/>
        <v>47.446660792001836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9.4837500000000006</v>
      </c>
      <c r="FZ85" s="12">
        <f>IF('Données projet'!$A$244&gt;35,FZ84+FY85-GH84,IF(A85&lt;'Données projet'!$A$244,$FW$205^A85,IF(A85='Données projet'!$A$244,'Données projet'!$B$244,FZ84+FY85-GH84)))</f>
        <v>296.62624999999991</v>
      </c>
      <c r="GA85" s="17">
        <f>FZ85*VLOOKUP('Données projet'!$B$17,Paramètres!$A$1:$I$89,3,0)*VLOOKUP('Données projet'!$B$17,Paramètres!$A$1:$I$89,5,0)</f>
        <v>254.50532249999995</v>
      </c>
      <c r="GB85" s="13">
        <f t="shared" si="103"/>
        <v>61.549682715224456</v>
      </c>
      <c r="GC85" s="20">
        <f t="shared" si="79"/>
        <v>550.46246741651578</v>
      </c>
      <c r="GD85" s="59">
        <f t="shared" si="80"/>
        <v>843.79580074984915</v>
      </c>
      <c r="GE85" s="59">
        <f ca="1">AVERAGE(OFFSET($GD$3,0,0,'Données projet'!$E$17+1,1))-AVERAGE(OFFSET($H$3,0,0,'Données projet'!$E$17+1,1))</f>
        <v>322.39807389980882</v>
      </c>
      <c r="GF85" s="59">
        <f t="shared" si="104"/>
        <v>202.59410055732792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21.205798684935424</v>
      </c>
      <c r="GM85" s="21">
        <f>EXP(-LN(2)/25)*GM84+(1-EXP(-LN(2)/25))/(LN(2)/25)*Calculateur!GH85*Calculateur!GJ85*VLOOKUP('Données projet'!$B$17,Paramètres!$A$1:$I$89,3,0)*0.475*44/12</f>
        <v>25.000425712192044</v>
      </c>
      <c r="GN85" s="21">
        <f>EXP(-LN(2)/2)*GN84+(1-EXP(-LN(2)/2))/(LN(2)/2)*GH85*GK85*VLOOKUP('Données projet'!$B$17,Paramètres!$A$1:$I$89,3,0)*0.475*44/12</f>
        <v>0.33173323008153899</v>
      </c>
      <c r="GO85" s="21">
        <f t="shared" si="81"/>
        <v>46.537957627209011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30.42779999999993</v>
      </c>
      <c r="D86" s="11">
        <f t="shared" si="86"/>
        <v>9.4225819982090897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307.616983845824</v>
      </c>
      <c r="H86" s="67">
        <f t="shared" si="56"/>
        <v>362.73941531354734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10.417499999999999</v>
      </c>
      <c r="N86" s="13">
        <f>IF('Données projet'!$A$36&gt;35,N85+M86-V85,IF(A86&lt;'Données projet'!$A$36,$K$205^A86,IF(A86='Données projet'!$A$36,'Données projet'!$B$36,N85+M86-V85)))</f>
        <v>385.09000000000003</v>
      </c>
      <c r="O86" s="13">
        <f>N86*VLOOKUP('Données projet'!$B$9,Paramètres!$A$1:$I$89,3,0)*VLOOKUP('Données projet'!$B$9,Paramètres!$A$1:$I$89,5,0)</f>
        <v>180.22212000000002</v>
      </c>
      <c r="P86" s="13">
        <f t="shared" si="87"/>
        <v>45.371600226761309</v>
      </c>
      <c r="Q86" s="20">
        <f t="shared" si="54"/>
        <v>392.90906272827596</v>
      </c>
      <c r="R86" s="59">
        <f t="shared" si="55"/>
        <v>686.24239606160927</v>
      </c>
      <c r="S86" s="59">
        <f ca="1">AVERAGE(OFFSET($R$3,0,0,'Données projet'!$E$9+1,1))-AVERAGE(OFFSET($H$3,0,0,'Données projet'!$E$9+1,1))</f>
        <v>215.77907571824977</v>
      </c>
      <c r="T86" s="59">
        <f t="shared" si="88"/>
        <v>174.69390149594869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36.932023409470553</v>
      </c>
      <c r="AA86" s="21">
        <f>EXP(-LN(2)/25)*AA85+(1-EXP(-LN(2)/25))/(LN(2)/25)*Calculateur!V86*Calculateur!X86*VLOOKUP('Données projet'!$B$9,Paramètres!$A$1:$I$89,3,0)*0.475*44/12</f>
        <v>14.889013620166057</v>
      </c>
      <c r="AB86" s="21">
        <f>EXP(-LN(2)/2)*AB85+(1-EXP(-LN(2)/2))/(LN(2)/2)*V86*Y86*VLOOKUP('Données projet'!$B$9,Paramètres!$A$1:$I$89,3,0)*0.475*44/12</f>
        <v>0.63329975430864083</v>
      </c>
      <c r="AC86" s="22">
        <f t="shared" si="57"/>
        <v>52.454336783945251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-1.0197709343628959E-13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171.701352621833</v>
      </c>
      <c r="AO86" s="59">
        <f t="shared" si="90"/>
        <v>195.58435749168586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67.441856294856223</v>
      </c>
      <c r="AV86" s="21">
        <f>EXP(-LN(2)/25)*AV85+(1-EXP(-LN(2)/25))/(LN(2)/25)*Calculateur!AQ86*Calculateur!AS86*VLOOKUP('Données projet'!$B$10,Paramètres!$A$1:$I$89,3,0)*0.475*44/12</f>
        <v>20.881838630508621</v>
      </c>
      <c r="AW86" s="21">
        <f>EXP(-LN(2)/2)*AW85+(1-EXP(-LN(2)/2))/(LN(2)/2)*AQ86*AT86*VLOOKUP('Données projet'!$B$10,Paramètres!$A$1:$I$89,3,0)*0.475*44/12</f>
        <v>3.0879937490780992E-2</v>
      </c>
      <c r="AX86" s="21">
        <f t="shared" si="60"/>
        <v>88.354574862855628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-1.1823431123048067E-13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348.29124901999882</v>
      </c>
      <c r="BJ86" s="59">
        <f t="shared" si="92"/>
        <v>284.30034973939053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204.7914186482366</v>
      </c>
      <c r="BQ86" s="21">
        <f>EXP(-LN(2)/25)*BQ85+(1-EXP(-LN(2)/25))/(LN(2)/25)*Calculateur!BL86*Calculateur!BN86*VLOOKUP('Données projet'!$B$11,Paramètres!$A$1:$I$89,3,0)*0.475*44/12</f>
        <v>71.575070291519097</v>
      </c>
      <c r="BR86" s="21">
        <f>EXP(-LN(2)/2)*BR85+(1-EXP(-LN(2)/2))/(LN(2)/2)*BL86*BO86*VLOOKUP('Données projet'!$B$11,Paramètres!$A$1:$I$89,3,0)*0.475*44/12</f>
        <v>29.828242163563033</v>
      </c>
      <c r="BS86" s="22">
        <f t="shared" si="63"/>
        <v>306.19473110331876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6.3513333333333337</v>
      </c>
      <c r="BY86" s="12">
        <f>IF('Données projet'!$A$114&gt;35,BY85+BX86-CG85,IF(A86&lt;'Données projet'!$A$114,$BV$205^A86,IF(A86='Données projet'!$A$114,'Données projet'!$B$114,BY85+BX86-CG85)))</f>
        <v>249.85066666666651</v>
      </c>
      <c r="BZ86" s="13">
        <f>BY86*VLOOKUP('Données projet'!$B$12,Paramètres!$A$1:$I$89,3,0)*VLOOKUP('Données projet'!$B$12,Paramètres!$A$1:$I$89,5,0)</f>
        <v>149.41069866666658</v>
      </c>
      <c r="CA86" s="13">
        <f t="shared" si="93"/>
        <v>38.444634112509647</v>
      </c>
      <c r="CB86" s="20">
        <f t="shared" si="64"/>
        <v>327.18137125706522</v>
      </c>
      <c r="CC86" s="59">
        <f t="shared" si="65"/>
        <v>620.51470459039854</v>
      </c>
      <c r="CD86" s="59">
        <f ca="1">AVERAGE(OFFSET($CC$3,0,0,'Données projet'!$E$12+1,1))-AVERAGE(OFFSET($H$3,0,0,'Données projet'!$E$12+1,1))</f>
        <v>185.82627135915504</v>
      </c>
      <c r="CE86" s="59">
        <f t="shared" si="94"/>
        <v>155.46126452522037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26.698117003608104</v>
      </c>
      <c r="CL86" s="21">
        <f>EXP(-LN(2)/25)*CL85+(1-EXP(-LN(2)/25))/(LN(2)/25)*Calculateur!CG86*Calculateur!CI86*VLOOKUP('Données projet'!$B$12,Paramètres!$A$1:$I$89,3,0)*0.475*44/12</f>
        <v>10.411514234533119</v>
      </c>
      <c r="CM86" s="21">
        <f>EXP(-LN(2)/2)*CM85+(1-EXP(-LN(2)/2))/(LN(2)/2)*CG86*CJ86*VLOOKUP('Données projet'!$B$12,Paramètres!$A$1:$I$89,3,0)*0.475*44/12</f>
        <v>0.64230662423532248</v>
      </c>
      <c r="CN86" s="22">
        <f t="shared" si="66"/>
        <v>37.751937862376543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1.5461538461538467</v>
      </c>
      <c r="CT86" s="12">
        <f>IF('Données projet'!$A$140&gt;35,CT85+CS86-DB85,IF(A86&lt;'Données projet'!$A$140,$CQ$205^A86,IF(A86='Données projet'!$A$140,'Données projet'!$B$140,CT85+CS86-DB85)))</f>
        <v>99.023076923076843</v>
      </c>
      <c r="CU86" s="17">
        <f>CT86*VLOOKUP('Données projet'!$B$13,Paramètres!$A$1:$I$89,3,0)*VLOOKUP('Données projet'!$B$13,Paramètres!$A$1:$I$89,5,0)</f>
        <v>114.07458461538451</v>
      </c>
      <c r="CV86" s="13">
        <f t="shared" si="95"/>
        <v>30.288946869205425</v>
      </c>
      <c r="CW86" s="20">
        <f t="shared" si="67"/>
        <v>251.43315066899413</v>
      </c>
      <c r="CX86" s="59">
        <f t="shared" si="68"/>
        <v>544.76648400232739</v>
      </c>
      <c r="CY86" s="59">
        <f ca="1">AVERAGE(OFFSET($CX$3,0,0,'Données projet'!$E$13+1,1))-AVERAGE(OFFSET($H$3,0,0,'Données projet'!$E$13+1,1))</f>
        <v>150.78964413039063</v>
      </c>
      <c r="CZ86" s="59">
        <f t="shared" si="96"/>
        <v>131.90332435966184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6.1934312456992924</v>
      </c>
      <c r="DG86" s="21">
        <f>EXP(-LN(2)/25)*DG85+(1-EXP(-LN(2)/25))/(LN(2)/25)*Calculateur!DB86*Calculateur!DD86*VLOOKUP('Données projet'!$B$13,Paramètres!$A$1:$I$89,3,0)*0.475*44/12</f>
        <v>3.2761851418791696</v>
      </c>
      <c r="DH86" s="21">
        <f>EXP(-LN(2)/2)*DH85+(1-EXP(-LN(2)/2))/(LN(2)/2)*DB86*DE86*VLOOKUP('Données projet'!$B$13,Paramètres!$A$1:$I$89,3,0)*0.475*44/12</f>
        <v>0.63818803992128492</v>
      </c>
      <c r="DI86" s="22">
        <f t="shared" si="69"/>
        <v>10.107804427499747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1.6666666666666656</v>
      </c>
      <c r="DO86" s="12">
        <f>IF('Données projet'!$A$166&gt;35,DO85+DN86-DW85,IF(A86&lt;'Données projet'!$A$166,$DL$205^A86,IF(A86='Données projet'!$A$166,'Données projet'!$B$166,DO85+DN86-DW85)))</f>
        <v>102.43589743589743</v>
      </c>
      <c r="DP86" s="17">
        <f>DO86*VLOOKUP('Données projet'!$B$14,Paramètres!$A$1:$I$89,3,0)*VLOOKUP('Données projet'!$B$14,Paramètres!$A$1:$I$89,5,0)</f>
        <v>107.066</v>
      </c>
      <c r="DQ86" s="13">
        <f t="shared" si="97"/>
        <v>28.638627383984829</v>
      </c>
      <c r="DR86" s="20">
        <f t="shared" si="70"/>
        <v>236.35222602710692</v>
      </c>
      <c r="DS86" s="59">
        <f t="shared" si="71"/>
        <v>529.68555936044027</v>
      </c>
      <c r="DT86" s="59">
        <f ca="1">AVERAGE(OFFSET($DS$3,0,0,'Données projet'!$E$14+1,1))-AVERAGE(OFFSET($H$3,0,0,'Données projet'!$E$14+1,1))</f>
        <v>110.10595934547638</v>
      </c>
      <c r="DU86" s="59">
        <f t="shared" si="98"/>
        <v>131.10971921141493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9.5537577431501575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9.5537577431501575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6.7444444444444462</v>
      </c>
      <c r="EJ86" s="12">
        <f>IF('Données projet'!$A$192&gt;35,EJ85+EI86-ER85,IF(A86&lt;'Données projet'!$A$192,$EG$205^A86,IF(A86='Données projet'!$A$192,'Données projet'!$B$192,EJ85+EI86-ER85)))</f>
        <v>209.03666666666666</v>
      </c>
      <c r="EK86" s="17">
        <f>EJ86*VLOOKUP('Données projet'!$B$15,Paramètres!$A$1:$I$89,3,0)*VLOOKUP('Données projet'!$B$15,Paramètres!$A$1:$I$89,5,0)</f>
        <v>211.96317999999999</v>
      </c>
      <c r="EL86" s="13">
        <f t="shared" si="99"/>
        <v>52.364357316031814</v>
      </c>
      <c r="EM86" s="20">
        <f t="shared" si="73"/>
        <v>460.37046082542201</v>
      </c>
      <c r="EN86" s="59">
        <f t="shared" si="74"/>
        <v>753.70379415875527</v>
      </c>
      <c r="EO86" s="59">
        <f ca="1">AVERAGE(OFFSET($EN$3,0,0,'Données projet'!$E$15+1,1))-AVERAGE(OFFSET($H$3,0,0,'Données projet'!$E$15+1,1))</f>
        <v>420.38735944595965</v>
      </c>
      <c r="EP86" s="59">
        <f t="shared" si="100"/>
        <v>200.0823542414671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36.832980255444227</v>
      </c>
      <c r="EX86" s="21">
        <f>EXP(-LN(2)/2)*EX85+(1-EXP(-LN(2)/2))/(LN(2)/2)*ER86*EU86*VLOOKUP('Données projet'!$B$15,Paramètres!$A$1:$I$89,3,0)*0.475*44/12</f>
        <v>0.8799588460040908</v>
      </c>
      <c r="EY86" s="22">
        <f t="shared" si="75"/>
        <v>37.71293910144832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>
        <f>VLOOKUP(A86,'Données projet'!$A$217:$I$237,2,0)</f>
        <v>306.11</v>
      </c>
      <c r="FC86" s="12">
        <f>VLOOKUP(A86,'Données projet'!$A$217:$I$237,9,0)</f>
        <v>9.4837500000000006</v>
      </c>
      <c r="FD86" s="12">
        <f t="array" ref="FD86">INDEX(FC:FC,MIN(IF(ISNUMBER(FC86:FC282),ROW(FC86:FC282),"")))</f>
        <v>9.4837500000000006</v>
      </c>
      <c r="FE86" s="12">
        <f>IF('Données projet'!$A$218&gt;35,FE85+FD86-FM85,IF(A86&lt;'Données projet'!$A$218,$FB$205^A86,IF(A86='Données projet'!$A$218,'Données projet'!$B$218,FE85+FD86-FM85)))</f>
        <v>306.1099999999999</v>
      </c>
      <c r="FF86" s="17">
        <f>FE86*VLOOKUP('Données projet'!$B$16,Paramètres!$A$1:$I$89,3,0)*VLOOKUP('Données projet'!$B$16,Paramètres!$A$1:$I$89,5,0)</f>
        <v>329.49680399999988</v>
      </c>
      <c r="FG86" s="13">
        <f t="shared" si="101"/>
        <v>77.325972539126184</v>
      </c>
      <c r="FH86" s="20">
        <f t="shared" si="76"/>
        <v>708.54966913897795</v>
      </c>
      <c r="FI86" s="59">
        <f t="shared" si="77"/>
        <v>1001.8830024723113</v>
      </c>
      <c r="FJ86" s="59">
        <f ca="1">AVERAGE(OFFSET($FI$3,0,0,'Données projet'!$E$16+1,1))-AVERAGE(OFFSET($H$3,0,0,'Données projet'!$E$16+1,1))</f>
        <v>415.8741608506952</v>
      </c>
      <c r="FK86" s="59">
        <f t="shared" si="102"/>
        <v>259.15848913719356</v>
      </c>
      <c r="FL86" s="15">
        <f>IF(ISNA(VLOOKUP(A86,'Données projet'!$A$217:$I$237,3,0)),0,VLOOKUP(A86,'Données projet'!$A$217:$I$237,3,0))</f>
        <v>7</v>
      </c>
      <c r="FM86" s="15">
        <f>IF(ISNA(VLOOKUP(A86,'Données projet'!$A$217:$I$237,4,0)),0,VLOOKUP(A86,'Données projet'!$A$217:$I$237,4,0))</f>
        <v>49.980000000000018</v>
      </c>
      <c r="FN86" s="16">
        <f>IF(ISNA(VLOOKUP(A86,'Données projet'!$A$217:$I$237,5,0)),0%,VLOOKUP(A86,'Données projet'!$A$217:$I$237,5,0)*VLOOKUP('Données projet'!$B$16,Paramètres!$A$1:$I$89,7,0))</f>
        <v>0.15049999999999999</v>
      </c>
      <c r="FO86" s="16">
        <f>IF(ISNA(VLOOKUP(A86,'Données projet'!$A$217:$I$237,6,0)),0%,VLOOKUP(A86,'Données projet'!$A$217:$I$237,6,0)*VLOOKUP('Données projet'!$B$16,Paramètres!$A$1:$I$89,7,0))</f>
        <v>8.6000000000000007E-2</v>
      </c>
      <c r="FP86" s="16">
        <f>IF(ISNA(VLOOKUP(A86,'Données projet'!$A$217:$I$237,7,0)),0%,VLOOKUP(A86,'Données projet'!$A$217:$I$237,7,0))</f>
        <v>0.1</v>
      </c>
      <c r="FQ86" s="21">
        <f>EXP(-LN(2)/35)*FQ85+(1-EXP(-LN(2)/35))/(LN(2)/35)*FM86*FN86*VLOOKUP('Données projet'!$B$16,Paramètres!$A$1:$I$89,3,0)*0.475*44/12</f>
        <v>30.111462120984861</v>
      </c>
      <c r="FR86" s="21">
        <f>EXP(-LN(2)/25)*FR85+(1-EXP(-LN(2)/25))/(LN(2)/25)*Calculateur!FM86*Calculateur!FO86*VLOOKUP('Données projet'!$B$16,Paramètres!$A$1:$I$89,3,0)*0.475*44/12</f>
        <v>29.845075996768024</v>
      </c>
      <c r="FS86" s="21">
        <f>EXP(-LN(2)/2)*FS85+(1-EXP(-LN(2)/2))/(LN(2)/2)*FM86*FP86*VLOOKUP('Données projet'!$B$16,Paramètres!$A$1:$I$89,3,0)*0.475*44/12</f>
        <v>5.3703103813181592</v>
      </c>
      <c r="FT86" s="22">
        <f t="shared" si="78"/>
        <v>65.326848499071048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>
        <f>VLOOKUP(A86,'Données projet'!$A$243:$I$263,2,0)</f>
        <v>306.11</v>
      </c>
      <c r="FX86" s="12">
        <f>VLOOKUP(A86,'Données projet'!$A$243:$I$263,9,0)</f>
        <v>9.4837500000000006</v>
      </c>
      <c r="FY86" s="12">
        <f t="array" ref="FY86">INDEX(FX:FX,MIN(IF(ISNUMBER(FX86:FX282),ROW(FX86:FX282),"")))</f>
        <v>9.4837500000000006</v>
      </c>
      <c r="FZ86" s="12">
        <f>IF('Données projet'!$A$244&gt;35,FZ85+FY86-GH85,IF(A86&lt;'Données projet'!$A$244,$FW$205^A86,IF(A86='Données projet'!$A$244,'Données projet'!$B$244,FZ85+FY86-GH85)))</f>
        <v>306.1099999999999</v>
      </c>
      <c r="GA86" s="17">
        <f>FZ86*VLOOKUP('Données projet'!$B$17,Paramètres!$A$1:$I$89,3,0)*VLOOKUP('Données projet'!$B$17,Paramètres!$A$1:$I$89,5,0)</f>
        <v>262.64237999999995</v>
      </c>
      <c r="GB86" s="13">
        <f t="shared" si="103"/>
        <v>63.285294690401614</v>
      </c>
      <c r="GC86" s="20">
        <f t="shared" si="79"/>
        <v>567.65736675244932</v>
      </c>
      <c r="GD86" s="59">
        <f t="shared" si="80"/>
        <v>860.99070008578269</v>
      </c>
      <c r="GE86" s="59">
        <f ca="1">AVERAGE(OFFSET($GD$3,0,0,'Données projet'!$E$17+1,1))-AVERAGE(OFFSET($H$3,0,0,'Données projet'!$E$17+1,1))</f>
        <v>322.39807389980882</v>
      </c>
      <c r="GF86" s="59">
        <f t="shared" si="104"/>
        <v>202.59410055732792</v>
      </c>
      <c r="GG86" s="15">
        <f>IF(ISNA(VLOOKUP(A86,'Données projet'!$A$243:$I$263,3,0)),0,VLOOKUP(A86,'Données projet'!$A$243:$I$263,3,0))</f>
        <v>7</v>
      </c>
      <c r="GH86" s="15">
        <f>IF(ISNA(VLOOKUP(A86,'Données projet'!$A$243:$I$263,4,0)),0,VLOOKUP(A86,'Données projet'!$A$243:$I$263,4,0))</f>
        <v>49.980000000000018</v>
      </c>
      <c r="GI86" s="16">
        <f>IF(ISNA(VLOOKUP(A86,'Données projet'!$A$243:$I$263,5,0)),0%,VLOOKUP(A86,'Données projet'!$A$243:$I$263,5,0)*VLOOKUP('Données projet'!$B$17,Paramètres!$A$1:$I$89,7,0))</f>
        <v>0.1855</v>
      </c>
      <c r="GJ86" s="16">
        <f>IF(ISNA(VLOOKUP(A86,'Données projet'!$A$243:$I$263,6,0)),0%,VLOOKUP(A86,'Données projet'!$A$243:$I$263,6,0)*VLOOKUP('Données projet'!$B$17,Paramètres!$A$1:$I$89,7,0))</f>
        <v>0.10600000000000001</v>
      </c>
      <c r="GK86" s="16">
        <f>IF(ISNA(VLOOKUP(A86,'Données projet'!$A$243:$I$263,7,0)),0%,VLOOKUP(A86,'Données projet'!$A$243:$I$263,7,0))</f>
        <v>0.1</v>
      </c>
      <c r="GL86" s="21">
        <f>EXP(-LN(2)/35)*GL85+(1-EXP(-LN(2)/35))/(LN(2)/35)*GH86*GI86*VLOOKUP('Données projet'!$B$17,Paramètres!$A$1:$I$89,3,0)*0.475*44/12</f>
        <v>29.583725002585403</v>
      </c>
      <c r="GM86" s="21">
        <f>EXP(-LN(2)/25)*GM85+(1-EXP(-LN(2)/25))/(LN(2)/25)*Calculateur!GH86*Calculateur!GJ86*VLOOKUP('Données projet'!$B$17,Paramètres!$A$1:$I$89,3,0)*0.475*44/12</f>
        <v>29.322007593723896</v>
      </c>
      <c r="GN86" s="21">
        <f>EXP(-LN(2)/2)*GN85+(1-EXP(-LN(2)/2))/(LN(2)/2)*GH86*GK86*VLOOKUP('Données projet'!$B$17,Paramètres!$A$1:$I$89,3,0)*0.475*44/12</f>
        <v>4.2806821880072281</v>
      </c>
      <c r="GO86" s="21">
        <f t="shared" si="81"/>
        <v>63.186414784316526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30.794399999999928</v>
      </c>
      <c r="D87" s="11">
        <f t="shared" si="86"/>
        <v>9.5228227376882142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311.22066674706633</v>
      </c>
      <c r="H87" s="67">
        <f t="shared" si="56"/>
        <v>363.55249626814015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10.417499999999999</v>
      </c>
      <c r="N87" s="13">
        <f>IF('Données projet'!$A$36&gt;35,N86+M87-V86,IF(A87&lt;'Données projet'!$A$36,$K$205^A87,IF(A87='Données projet'!$A$36,'Données projet'!$B$36,N86+M87-V86)))</f>
        <v>395.50750000000005</v>
      </c>
      <c r="O87" s="13">
        <f>N87*VLOOKUP('Données projet'!$B$9,Paramètres!$A$1:$I$89,3,0)*VLOOKUP('Données projet'!$B$9,Paramètres!$A$1:$I$89,5,0)</f>
        <v>185.09751</v>
      </c>
      <c r="P87" s="13">
        <f t="shared" si="87"/>
        <v>46.454438413259567</v>
      </c>
      <c r="Q87" s="20">
        <f t="shared" si="54"/>
        <v>403.28631015309378</v>
      </c>
      <c r="R87" s="59">
        <f t="shared" si="55"/>
        <v>696.61964348642709</v>
      </c>
      <c r="S87" s="59">
        <f ca="1">AVERAGE(OFFSET($R$3,0,0,'Données projet'!$E$9+1,1))-AVERAGE(OFFSET($H$3,0,0,'Données projet'!$E$9+1,1))</f>
        <v>215.77907571824977</v>
      </c>
      <c r="T87" s="59">
        <f t="shared" si="88"/>
        <v>174.69390149594869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36.207808956720825</v>
      </c>
      <c r="AA87" s="21">
        <f>EXP(-LN(2)/25)*AA86+(1-EXP(-LN(2)/25))/(LN(2)/25)*Calculateur!V87*Calculateur!X87*VLOOKUP('Données projet'!$B$9,Paramètres!$A$1:$I$89,3,0)*0.475*44/12</f>
        <v>14.481872759743419</v>
      </c>
      <c r="AB87" s="21">
        <f>EXP(-LN(2)/2)*AB86+(1-EXP(-LN(2)/2))/(LN(2)/2)*V87*Y87*VLOOKUP('Données projet'!$B$9,Paramètres!$A$1:$I$89,3,0)*0.475*44/12</f>
        <v>0.44781055079541443</v>
      </c>
      <c r="AC87" s="22">
        <f t="shared" si="57"/>
        <v>51.13749226725966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-1.0197709343628959E-13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171.701352621833</v>
      </c>
      <c r="AO87" s="59">
        <f t="shared" si="90"/>
        <v>195.58435749168586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66.119362628384636</v>
      </c>
      <c r="AV87" s="21">
        <f>EXP(-LN(2)/25)*AV86+(1-EXP(-LN(2)/25))/(LN(2)/25)*Calculateur!AQ87*Calculateur!AS87*VLOOKUP('Données projet'!$B$10,Paramètres!$A$1:$I$89,3,0)*0.475*44/12</f>
        <v>20.310823655029196</v>
      </c>
      <c r="AW87" s="21">
        <f>EXP(-LN(2)/2)*AW86+(1-EXP(-LN(2)/2))/(LN(2)/2)*AQ87*AT87*VLOOKUP('Données projet'!$B$10,Paramètres!$A$1:$I$89,3,0)*0.475*44/12</f>
        <v>2.1835413202347942E-2</v>
      </c>
      <c r="AX87" s="21">
        <f t="shared" si="60"/>
        <v>86.452021696616185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-1.1823431123048067E-13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348.29124901999882</v>
      </c>
      <c r="BJ87" s="59">
        <f t="shared" si="92"/>
        <v>284.30034973939053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200.77558383897619</v>
      </c>
      <c r="BQ87" s="21">
        <f>EXP(-LN(2)/25)*BQ86+(1-EXP(-LN(2)/25))/(LN(2)/25)*Calculateur!BL87*Calculateur!BN87*VLOOKUP('Données projet'!$B$11,Paramètres!$A$1:$I$89,3,0)*0.475*44/12</f>
        <v>69.617846230428142</v>
      </c>
      <c r="BR87" s="21">
        <f>EXP(-LN(2)/2)*BR86+(1-EXP(-LN(2)/2))/(LN(2)/2)*BL87*BO87*VLOOKUP('Données projet'!$B$11,Paramètres!$A$1:$I$89,3,0)*0.475*44/12</f>
        <v>21.091752304729919</v>
      </c>
      <c r="BS87" s="22">
        <f t="shared" si="63"/>
        <v>291.48518237413424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6.3513333333333337</v>
      </c>
      <c r="BY87" s="12">
        <f>IF('Données projet'!$A$114&gt;35,BY86+BX87-CG86,IF(A87&lt;'Données projet'!$A$114,$BV$205^A87,IF(A87='Données projet'!$A$114,'Données projet'!$B$114,BY86+BX87-CG86)))</f>
        <v>256.20199999999983</v>
      </c>
      <c r="BZ87" s="13">
        <f>BY87*VLOOKUP('Données projet'!$B$12,Paramètres!$A$1:$I$89,3,0)*VLOOKUP('Données projet'!$B$12,Paramètres!$A$1:$I$89,5,0)</f>
        <v>153.20879599999992</v>
      </c>
      <c r="CA87" s="13">
        <f t="shared" si="93"/>
        <v>39.306895296431144</v>
      </c>
      <c r="CB87" s="20">
        <f t="shared" si="64"/>
        <v>335.29816234128407</v>
      </c>
      <c r="CC87" s="59">
        <f t="shared" si="65"/>
        <v>628.63149567461733</v>
      </c>
      <c r="CD87" s="59">
        <f ca="1">AVERAGE(OFFSET($CC$3,0,0,'Données projet'!$E$12+1,1))-AVERAGE(OFFSET($H$3,0,0,'Données projet'!$E$12+1,1))</f>
        <v>185.82627135915504</v>
      </c>
      <c r="CE87" s="59">
        <f t="shared" si="94"/>
        <v>155.46126452522037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26.174583213410784</v>
      </c>
      <c r="CL87" s="21">
        <f>EXP(-LN(2)/25)*CL86+(1-EXP(-LN(2)/25))/(LN(2)/25)*Calculateur!CG87*Calculateur!CI87*VLOOKUP('Données projet'!$B$12,Paramètres!$A$1:$I$89,3,0)*0.475*44/12</f>
        <v>10.126810830272072</v>
      </c>
      <c r="CM87" s="21">
        <f>EXP(-LN(2)/2)*CM86+(1-EXP(-LN(2)/2))/(LN(2)/2)*CG87*CJ87*VLOOKUP('Données projet'!$B$12,Paramètres!$A$1:$I$89,3,0)*0.475*44/12</f>
        <v>0.45417936959783622</v>
      </c>
      <c r="CN87" s="22">
        <f t="shared" si="66"/>
        <v>36.755573413280693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1.5461538461538467</v>
      </c>
      <c r="CT87" s="12">
        <f>IF('Données projet'!$A$140&gt;35,CT86+CS87-DB86,IF(A87&lt;'Données projet'!$A$140,$CQ$205^A87,IF(A87='Données projet'!$A$140,'Données projet'!$B$140,CT86+CS87-DB86)))</f>
        <v>100.56923076923069</v>
      </c>
      <c r="CU87" s="17">
        <f>CT87*VLOOKUP('Données projet'!$B$13,Paramètres!$A$1:$I$89,3,0)*VLOOKUP('Données projet'!$B$13,Paramètres!$A$1:$I$89,5,0)</f>
        <v>115.85575384615375</v>
      </c>
      <c r="CV87" s="13">
        <f t="shared" si="95"/>
        <v>30.706453719284486</v>
      </c>
      <c r="CW87" s="20">
        <f t="shared" si="67"/>
        <v>255.26251150980488</v>
      </c>
      <c r="CX87" s="59">
        <f t="shared" si="68"/>
        <v>548.59584484313814</v>
      </c>
      <c r="CY87" s="59">
        <f ca="1">AVERAGE(OFFSET($CX$3,0,0,'Données projet'!$E$13+1,1))-AVERAGE(OFFSET($H$3,0,0,'Données projet'!$E$13+1,1))</f>
        <v>150.78964413039063</v>
      </c>
      <c r="CZ87" s="59">
        <f t="shared" si="96"/>
        <v>131.90332435966184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6.0719818365911804</v>
      </c>
      <c r="DG87" s="21">
        <f>EXP(-LN(2)/25)*DG86+(1-EXP(-LN(2)/25))/(LN(2)/25)*Calculateur!DB87*Calculateur!DD87*VLOOKUP('Données projet'!$B$13,Paramètres!$A$1:$I$89,3,0)*0.475*44/12</f>
        <v>3.1865976868873949</v>
      </c>
      <c r="DH87" s="21">
        <f>EXP(-LN(2)/2)*DH86+(1-EXP(-LN(2)/2))/(LN(2)/2)*DB87*DE87*VLOOKUP('Données projet'!$B$13,Paramètres!$A$1:$I$89,3,0)*0.475*44/12</f>
        <v>0.4512670907004917</v>
      </c>
      <c r="DI87" s="22">
        <f t="shared" si="69"/>
        <v>9.7098466141790674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1.6666666666666656</v>
      </c>
      <c r="DO87" s="12">
        <f>IF('Données projet'!$A$166&gt;35,DO86+DN87-DW86,IF(A87&lt;'Données projet'!$A$166,$DL$205^A87,IF(A87='Données projet'!$A$166,'Données projet'!$B$166,DO86+DN87-DW86)))</f>
        <v>104.1025641025641</v>
      </c>
      <c r="DP87" s="17">
        <f>DO87*VLOOKUP('Données projet'!$B$14,Paramètres!$A$1:$I$89,3,0)*VLOOKUP('Données projet'!$B$14,Paramètres!$A$1:$I$89,5,0)</f>
        <v>108.80800000000001</v>
      </c>
      <c r="DQ87" s="13">
        <f t="shared" si="97"/>
        <v>29.049962234935869</v>
      </c>
      <c r="DR87" s="20">
        <f t="shared" si="70"/>
        <v>240.10261755917998</v>
      </c>
      <c r="DS87" s="59">
        <f t="shared" si="71"/>
        <v>533.43595089251335</v>
      </c>
      <c r="DT87" s="59">
        <f ca="1">AVERAGE(OFFSET($DS$3,0,0,'Données projet'!$E$14+1,1))-AVERAGE(OFFSET($H$3,0,0,'Données projet'!$E$14+1,1))</f>
        <v>110.10595934547638</v>
      </c>
      <c r="DU87" s="59">
        <f t="shared" si="98"/>
        <v>131.10971921141493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9.2925097352534323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9.2925097352534323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6.7444444444444462</v>
      </c>
      <c r="EJ87" s="12">
        <f>IF('Données projet'!$A$192&gt;35,EJ86+EI87-ER86,IF(A87&lt;'Données projet'!$A$192,$EG$205^A87,IF(A87='Données projet'!$A$192,'Données projet'!$B$192,EJ86+EI87-ER86)))</f>
        <v>215.7811111111111</v>
      </c>
      <c r="EK87" s="17">
        <f>EJ87*VLOOKUP('Données projet'!$B$15,Paramètres!$A$1:$I$89,3,0)*VLOOKUP('Données projet'!$B$15,Paramètres!$A$1:$I$89,5,0)</f>
        <v>218.80204666666666</v>
      </c>
      <c r="EL87" s="13">
        <f t="shared" si="99"/>
        <v>53.854433800339066</v>
      </c>
      <c r="EM87" s="20">
        <f t="shared" si="73"/>
        <v>474.87670348003502</v>
      </c>
      <c r="EN87" s="59">
        <f t="shared" si="74"/>
        <v>768.21003681336833</v>
      </c>
      <c r="EO87" s="59">
        <f ca="1">AVERAGE(OFFSET($EN$3,0,0,'Données projet'!$E$15+1,1))-AVERAGE(OFFSET($H$3,0,0,'Données projet'!$E$15+1,1))</f>
        <v>420.38735944595965</v>
      </c>
      <c r="EP87" s="59">
        <f t="shared" si="100"/>
        <v>200.0823542414671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35.825780473396854</v>
      </c>
      <c r="EX87" s="21">
        <f>EXP(-LN(2)/2)*EX86+(1-EXP(-LN(2)/2))/(LN(2)/2)*ER87*EU87*VLOOKUP('Données projet'!$B$15,Paramètres!$A$1:$I$89,3,0)*0.475*44/12</f>
        <v>0.62222486717458159</v>
      </c>
      <c r="EY87" s="22">
        <f t="shared" si="75"/>
        <v>36.448005340571434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9.2740000000000009</v>
      </c>
      <c r="FE87" s="12">
        <f>IF('Données projet'!$A$218&gt;35,FE86+FD87-FM86,IF(A87&lt;'Données projet'!$A$218,$FB$205^A87,IF(A87='Données projet'!$A$218,'Données projet'!$B$218,FE86+FD87-FM86)))</f>
        <v>265.40399999999988</v>
      </c>
      <c r="FF87" s="17">
        <f>FE87*VLOOKUP('Données projet'!$B$16,Paramètres!$A$1:$I$89,3,0)*VLOOKUP('Données projet'!$B$16,Paramètres!$A$1:$I$89,5,0)</f>
        <v>285.68086559999989</v>
      </c>
      <c r="FG87" s="13">
        <f t="shared" si="101"/>
        <v>68.166132081271343</v>
      </c>
      <c r="FH87" s="20">
        <f t="shared" si="76"/>
        <v>616.28352096154731</v>
      </c>
      <c r="FI87" s="59">
        <f t="shared" si="77"/>
        <v>909.61685429488057</v>
      </c>
      <c r="FJ87" s="59">
        <f ca="1">AVERAGE(OFFSET($FI$3,0,0,'Données projet'!$E$16+1,1))-AVERAGE(OFFSET($H$3,0,0,'Données projet'!$E$16+1,1))</f>
        <v>415.8741608506952</v>
      </c>
      <c r="FK87" s="59">
        <f t="shared" si="102"/>
        <v>259.15848913719356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29.520994714970733</v>
      </c>
      <c r="FR87" s="21">
        <f>EXP(-LN(2)/25)*FR86+(1-EXP(-LN(2)/25))/(LN(2)/25)*Calculateur!FM87*Calculateur!FO87*VLOOKUP('Données projet'!$B$16,Paramètres!$A$1:$I$89,3,0)*0.475*44/12</f>
        <v>29.028960824152069</v>
      </c>
      <c r="FS87" s="21">
        <f>EXP(-LN(2)/2)*FS86+(1-EXP(-LN(2)/2))/(LN(2)/2)*FM87*FP87*VLOOKUP('Données projet'!$B$16,Paramètres!$A$1:$I$89,3,0)*0.475*44/12</f>
        <v>3.7973828877065845</v>
      </c>
      <c r="FT87" s="22">
        <f t="shared" si="78"/>
        <v>62.347338426829388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9.2740000000000009</v>
      </c>
      <c r="FZ87" s="12">
        <f>IF('Données projet'!$A$244&gt;35,FZ86+FY87-GH86,IF(A87&lt;'Données projet'!$A$244,$FW$205^A87,IF(A87='Données projet'!$A$244,'Données projet'!$B$244,FZ86+FY87-GH86)))</f>
        <v>265.40399999999988</v>
      </c>
      <c r="GA87" s="17">
        <f>FZ87*VLOOKUP('Données projet'!$B$17,Paramètres!$A$1:$I$89,3,0)*VLOOKUP('Données projet'!$B$17,Paramètres!$A$1:$I$89,5,0)</f>
        <v>227.71663199999995</v>
      </c>
      <c r="GB87" s="13">
        <f t="shared" si="103"/>
        <v>55.788677659182291</v>
      </c>
      <c r="GC87" s="20">
        <f t="shared" si="79"/>
        <v>493.77174765640899</v>
      </c>
      <c r="GD87" s="59">
        <f t="shared" si="80"/>
        <v>787.10508098974231</v>
      </c>
      <c r="GE87" s="59">
        <f ca="1">AVERAGE(OFFSET($GD$3,0,0,'Données projet'!$E$17+1,1))-AVERAGE(OFFSET($H$3,0,0,'Données projet'!$E$17+1,1))</f>
        <v>322.39807389980882</v>
      </c>
      <c r="GF87" s="59">
        <f t="shared" si="104"/>
        <v>202.59410055732792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29.003606199575231</v>
      </c>
      <c r="GM87" s="21">
        <f>EXP(-LN(2)/25)*GM86+(1-EXP(-LN(2)/25))/(LN(2)/25)*Calculateur!GH87*Calculateur!GJ87*VLOOKUP('Données projet'!$B$17,Paramètres!$A$1:$I$89,3,0)*0.475*44/12</f>
        <v>28.520195754096154</v>
      </c>
      <c r="GN87" s="21">
        <f>EXP(-LN(2)/2)*GN86+(1-EXP(-LN(2)/2))/(LN(2)/2)*GH87*GK87*VLOOKUP('Données projet'!$B$17,Paramètres!$A$1:$I$89,3,0)*0.475*44/12</f>
        <v>3.0268994032443786</v>
      </c>
      <c r="GO87" s="21">
        <f t="shared" si="81"/>
        <v>60.550701356915759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31.160999999999927</v>
      </c>
      <c r="D88" s="11">
        <f t="shared" si="86"/>
        <v>9.6229246648721585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314.82327811480212</v>
      </c>
      <c r="H88" s="67">
        <f t="shared" si="56"/>
        <v>364.36533545798551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10.417499999999999</v>
      </c>
      <c r="N88" s="13">
        <f>IF('Données projet'!$A$36&gt;35,N87+M88-V87,IF(A88&lt;'Données projet'!$A$36,$K$205^A88,IF(A88='Données projet'!$A$36,'Données projet'!$B$36,N87+M88-V87)))</f>
        <v>405.92500000000007</v>
      </c>
      <c r="O88" s="13">
        <f>N88*VLOOKUP('Données projet'!$B$9,Paramètres!$A$1:$I$89,3,0)*VLOOKUP('Données projet'!$B$9,Paramètres!$A$1:$I$89,5,0)</f>
        <v>189.97290000000001</v>
      </c>
      <c r="P88" s="13">
        <f t="shared" si="87"/>
        <v>47.533961376261203</v>
      </c>
      <c r="Q88" s="20">
        <f t="shared" si="54"/>
        <v>413.6577835636549</v>
      </c>
      <c r="R88" s="59">
        <f t="shared" si="55"/>
        <v>706.99111689698816</v>
      </c>
      <c r="S88" s="59">
        <f ca="1">AVERAGE(OFFSET($R$3,0,0,'Données projet'!$E$9+1,1))-AVERAGE(OFFSET($H$3,0,0,'Données projet'!$E$9+1,1))</f>
        <v>215.77907571824977</v>
      </c>
      <c r="T88" s="59">
        <f t="shared" si="88"/>
        <v>174.69390149594869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35.497795907662322</v>
      </c>
      <c r="AA88" s="21">
        <f>EXP(-LN(2)/25)*AA87+(1-EXP(-LN(2)/25))/(LN(2)/25)*Calculateur!V88*Calculateur!X88*VLOOKUP('Données projet'!$B$9,Paramètres!$A$1:$I$89,3,0)*0.475*44/12</f>
        <v>14.085865187559646</v>
      </c>
      <c r="AB88" s="21">
        <f>EXP(-LN(2)/2)*AB87+(1-EXP(-LN(2)/2))/(LN(2)/2)*V88*Y88*VLOOKUP('Données projet'!$B$9,Paramètres!$A$1:$I$89,3,0)*0.475*44/12</f>
        <v>0.31664987715432047</v>
      </c>
      <c r="AC88" s="22">
        <f t="shared" si="57"/>
        <v>49.900310972376289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-1.0197709343628959E-13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171.701352621833</v>
      </c>
      <c r="AO88" s="59">
        <f t="shared" si="90"/>
        <v>195.58435749168586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64.822802256071071</v>
      </c>
      <c r="AV88" s="21">
        <f>EXP(-LN(2)/25)*AV87+(1-EXP(-LN(2)/25))/(LN(2)/25)*Calculateur!AQ88*Calculateur!AS88*VLOOKUP('Données projet'!$B$10,Paramètres!$A$1:$I$89,3,0)*0.475*44/12</f>
        <v>19.755423114082628</v>
      </c>
      <c r="AW88" s="21">
        <f>EXP(-LN(2)/2)*AW87+(1-EXP(-LN(2)/2))/(LN(2)/2)*AQ88*AT88*VLOOKUP('Données projet'!$B$10,Paramètres!$A$1:$I$89,3,0)*0.475*44/12</f>
        <v>1.5439968745390498E-2</v>
      </c>
      <c r="AX88" s="21">
        <f t="shared" si="60"/>
        <v>84.5936653388991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-1.1823431123048067E-13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348.29124901999882</v>
      </c>
      <c r="BJ88" s="59">
        <f t="shared" si="92"/>
        <v>284.30034973939053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196.838497100908</v>
      </c>
      <c r="BQ88" s="21">
        <f>EXP(-LN(2)/25)*BQ87+(1-EXP(-LN(2)/25))/(LN(2)/25)*Calculateur!BL88*Calculateur!BN88*VLOOKUP('Données projet'!$B$11,Paramètres!$A$1:$I$89,3,0)*0.475*44/12</f>
        <v>67.71414256421366</v>
      </c>
      <c r="BR88" s="21">
        <f>EXP(-LN(2)/2)*BR87+(1-EXP(-LN(2)/2))/(LN(2)/2)*BL88*BO88*VLOOKUP('Données projet'!$B$11,Paramètres!$A$1:$I$89,3,0)*0.475*44/12</f>
        <v>14.91412108178152</v>
      </c>
      <c r="BS88" s="22">
        <f t="shared" si="63"/>
        <v>279.46676074690316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6.3513333333333337</v>
      </c>
      <c r="BY88" s="12">
        <f>IF('Données projet'!$A$114&gt;35,BY87+BX88-CG87,IF(A88&lt;'Données projet'!$A$114,$BV$205^A88,IF(A88='Données projet'!$A$114,'Données projet'!$B$114,BY87+BX88-CG87)))</f>
        <v>262.55333333333317</v>
      </c>
      <c r="BZ88" s="13">
        <f>BY88*VLOOKUP('Données projet'!$B$12,Paramètres!$A$1:$I$89,3,0)*VLOOKUP('Données projet'!$B$12,Paramètres!$A$1:$I$89,5,0)</f>
        <v>157.00689333333324</v>
      </c>
      <c r="CA88" s="13">
        <f t="shared" si="93"/>
        <v>40.16667166127624</v>
      </c>
      <c r="CB88" s="20">
        <f t="shared" si="64"/>
        <v>343.41062569894484</v>
      </c>
      <c r="CC88" s="59">
        <f t="shared" si="65"/>
        <v>636.7439590322781</v>
      </c>
      <c r="CD88" s="59">
        <f ca="1">AVERAGE(OFFSET($CC$3,0,0,'Données projet'!$E$12+1,1))-AVERAGE(OFFSET($H$3,0,0,'Données projet'!$E$12+1,1))</f>
        <v>185.82627135915504</v>
      </c>
      <c r="CE88" s="59">
        <f t="shared" si="94"/>
        <v>155.46126452522037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25.661315601515152</v>
      </c>
      <c r="CL88" s="21">
        <f>EXP(-LN(2)/25)*CL87+(1-EXP(-LN(2)/25))/(LN(2)/25)*Calculateur!CG88*Calculateur!CI88*VLOOKUP('Données projet'!$B$12,Paramètres!$A$1:$I$89,3,0)*0.475*44/12</f>
        <v>9.8498926555724466</v>
      </c>
      <c r="CM88" s="21">
        <f>EXP(-LN(2)/2)*CM87+(1-EXP(-LN(2)/2))/(LN(2)/2)*CG88*CJ88*VLOOKUP('Données projet'!$B$12,Paramètres!$A$1:$I$89,3,0)*0.475*44/12</f>
        <v>0.32115331211766129</v>
      </c>
      <c r="CN88" s="22">
        <f t="shared" si="66"/>
        <v>35.832361569205261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1.5461538461538467</v>
      </c>
      <c r="CT88" s="12">
        <f>IF('Données projet'!$A$140&gt;35,CT87+CS88-DB87,IF(A88&lt;'Données projet'!$A$140,$CQ$205^A88,IF(A88='Données projet'!$A$140,'Données projet'!$B$140,CT87+CS88-DB87)))</f>
        <v>102.11538461538453</v>
      </c>
      <c r="CU88" s="17">
        <f>CT88*VLOOKUP('Données projet'!$B$13,Paramètres!$A$1:$I$89,3,0)*VLOOKUP('Données projet'!$B$13,Paramètres!$A$1:$I$89,5,0)</f>
        <v>117.63692307692295</v>
      </c>
      <c r="CV88" s="13">
        <f t="shared" si="95"/>
        <v>31.123214062651737</v>
      </c>
      <c r="CW88" s="20">
        <f t="shared" si="67"/>
        <v>259.0905721847592</v>
      </c>
      <c r="CX88" s="59">
        <f t="shared" si="68"/>
        <v>552.42390551809251</v>
      </c>
      <c r="CY88" s="59">
        <f ca="1">AVERAGE(OFFSET($CX$3,0,0,'Données projet'!$E$13+1,1))-AVERAGE(OFFSET($H$3,0,0,'Données projet'!$E$13+1,1))</f>
        <v>150.78964413039063</v>
      </c>
      <c r="CZ88" s="59">
        <f t="shared" si="96"/>
        <v>131.90332435966184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5.952913976318853</v>
      </c>
      <c r="DG88" s="21">
        <f>EXP(-LN(2)/25)*DG87+(1-EXP(-LN(2)/25))/(LN(2)/25)*Calculateur!DB88*Calculateur!DD88*VLOOKUP('Données projet'!$B$13,Paramètres!$A$1:$I$89,3,0)*0.475*44/12</f>
        <v>3.0994600055635697</v>
      </c>
      <c r="DH88" s="21">
        <f>EXP(-LN(2)/2)*DH87+(1-EXP(-LN(2)/2))/(LN(2)/2)*DB88*DE88*VLOOKUP('Données projet'!$B$13,Paramètres!$A$1:$I$89,3,0)*0.475*44/12</f>
        <v>0.31909401996064252</v>
      </c>
      <c r="DI88" s="22">
        <f t="shared" si="69"/>
        <v>9.3714680018430645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105.76923076923076</v>
      </c>
      <c r="DM88" s="12">
        <f>VLOOKUP(A88,'Données projet'!$A$165:$I$185,9,0)</f>
        <v>1.6666666666666656</v>
      </c>
      <c r="DN88" s="12">
        <f t="array" ref="DN88">INDEX(DM:DM,MIN(IF(ISNUMBER(DM88:DM284),ROW(DM88:DM284),"")))</f>
        <v>1.6666666666666656</v>
      </c>
      <c r="DO88" s="12">
        <f>IF('Données projet'!$A$166&gt;35,DO87+DN88-DW87,IF(A88&lt;'Données projet'!$A$166,$DL$205^A88,IF(A88='Données projet'!$A$166,'Données projet'!$B$166,DO87+DN88-DW87)))</f>
        <v>105.76923076923077</v>
      </c>
      <c r="DP88" s="17">
        <f>DO88*VLOOKUP('Données projet'!$B$14,Paramètres!$A$1:$I$89,3,0)*VLOOKUP('Données projet'!$B$14,Paramètres!$A$1:$I$89,5,0)</f>
        <v>110.55000000000003</v>
      </c>
      <c r="DQ88" s="13">
        <f t="shared" si="97"/>
        <v>29.460531223351133</v>
      </c>
      <c r="DR88" s="20">
        <f t="shared" si="70"/>
        <v>243.85167521400328</v>
      </c>
      <c r="DS88" s="59">
        <f t="shared" si="71"/>
        <v>537.18500854733657</v>
      </c>
      <c r="DT88" s="59">
        <f ca="1">AVERAGE(OFFSET($DS$3,0,0,'Données projet'!$E$14+1,1))-AVERAGE(OFFSET($H$3,0,0,'Données projet'!$E$14+1,1))</f>
        <v>110.10595934547638</v>
      </c>
      <c r="DU88" s="59">
        <f t="shared" si="98"/>
        <v>131.10971921141493</v>
      </c>
      <c r="DV88" s="15">
        <f>IF(ISNA(VLOOKUP(A88,'Données projet'!$A$165:$I$185,3,0)),0,VLOOKUP(A88,'Données projet'!$A$165:$I$185,3,0))</f>
        <v>12</v>
      </c>
      <c r="DW88" s="15">
        <f>IF(ISNA(VLOOKUP(A88,'Données projet'!$A$165:$I$185,4,0)),0,VLOOKUP(A88,'Données projet'!$A$165:$I$185,4,0))</f>
        <v>5.1282051282051277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0.215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10.307333630048729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10.307333630048729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6.7444444444444462</v>
      </c>
      <c r="EJ88" s="12">
        <f>IF('Données projet'!$A$192&gt;35,EJ87+EI88-ER87,IF(A88&lt;'Données projet'!$A$192,$EG$205^A88,IF(A88='Données projet'!$A$192,'Données projet'!$B$192,EJ87+EI88-ER87)))</f>
        <v>222.52555555555554</v>
      </c>
      <c r="EK88" s="17">
        <f>EJ88*VLOOKUP('Données projet'!$B$15,Paramètres!$A$1:$I$89,3,0)*VLOOKUP('Données projet'!$B$15,Paramètres!$A$1:$I$89,5,0)</f>
        <v>225.64091333333332</v>
      </c>
      <c r="EL88" s="13">
        <f t="shared" si="99"/>
        <v>55.339098017434395</v>
      </c>
      <c r="EM88" s="20">
        <f t="shared" si="73"/>
        <v>489.37351976925379</v>
      </c>
      <c r="EN88" s="59">
        <f t="shared" si="74"/>
        <v>782.70685310258705</v>
      </c>
      <c r="EO88" s="59">
        <f ca="1">AVERAGE(OFFSET($EN$3,0,0,'Données projet'!$E$15+1,1))-AVERAGE(OFFSET($H$3,0,0,'Données projet'!$E$15+1,1))</f>
        <v>420.38735944595965</v>
      </c>
      <c r="EP88" s="59">
        <f t="shared" si="100"/>
        <v>200.0823542414671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34.8461226223559</v>
      </c>
      <c r="EX88" s="21">
        <f>EXP(-LN(2)/2)*EX87+(1-EXP(-LN(2)/2))/(LN(2)/2)*ER88*EU88*VLOOKUP('Données projet'!$B$15,Paramètres!$A$1:$I$89,3,0)*0.475*44/12</f>
        <v>0.43997942300204551</v>
      </c>
      <c r="EY88" s="22">
        <f t="shared" si="75"/>
        <v>35.286102045357943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9.2740000000000009</v>
      </c>
      <c r="FE88" s="12">
        <f>IF('Données projet'!$A$218&gt;35,FE87+FD88-FM87,IF(A88&lt;'Données projet'!$A$218,$FB$205^A88,IF(A88='Données projet'!$A$218,'Données projet'!$B$218,FE87+FD88-FM87)))</f>
        <v>274.67799999999988</v>
      </c>
      <c r="FF88" s="17">
        <f>FE88*VLOOKUP('Données projet'!$B$16,Paramètres!$A$1:$I$89,3,0)*VLOOKUP('Données projet'!$B$16,Paramètres!$A$1:$I$89,5,0)</f>
        <v>295.66339919999984</v>
      </c>
      <c r="FG88" s="13">
        <f t="shared" si="101"/>
        <v>70.266576389697462</v>
      </c>
      <c r="FH88" s="20">
        <f t="shared" si="76"/>
        <v>637.3280408187228</v>
      </c>
      <c r="FI88" s="59">
        <f t="shared" si="77"/>
        <v>930.66137415205617</v>
      </c>
      <c r="FJ88" s="59">
        <f ca="1">AVERAGE(OFFSET($FI$3,0,0,'Données projet'!$E$16+1,1))-AVERAGE(OFFSET($H$3,0,0,'Données projet'!$E$16+1,1))</f>
        <v>415.8741608506952</v>
      </c>
      <c r="FK88" s="59">
        <f t="shared" si="102"/>
        <v>259.15848913719356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28.942106014638984</v>
      </c>
      <c r="FR88" s="21">
        <f>EXP(-LN(2)/25)*FR87+(1-EXP(-LN(2)/25))/(LN(2)/25)*Calculateur!FM88*Calculateur!FO88*VLOOKUP('Données projet'!$B$16,Paramètres!$A$1:$I$89,3,0)*0.475*44/12</f>
        <v>28.235162363848929</v>
      </c>
      <c r="FS88" s="21">
        <f>EXP(-LN(2)/2)*FS87+(1-EXP(-LN(2)/2))/(LN(2)/2)*FM88*FP88*VLOOKUP('Données projet'!$B$16,Paramètres!$A$1:$I$89,3,0)*0.475*44/12</f>
        <v>2.68515519065908</v>
      </c>
      <c r="FT88" s="22">
        <f t="shared" si="78"/>
        <v>59.862423569146991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9.2740000000000009</v>
      </c>
      <c r="FZ88" s="12">
        <f>IF('Données projet'!$A$244&gt;35,FZ87+FY88-GH87,IF(A88&lt;'Données projet'!$A$244,$FW$205^A88,IF(A88='Données projet'!$A$244,'Données projet'!$B$244,FZ87+FY88-GH87)))</f>
        <v>274.67799999999988</v>
      </c>
      <c r="GA88" s="17">
        <f>FZ88*VLOOKUP('Données projet'!$B$17,Paramètres!$A$1:$I$89,3,0)*VLOOKUP('Données projet'!$B$17,Paramètres!$A$1:$I$89,5,0)</f>
        <v>235.67372399999994</v>
      </c>
      <c r="GB88" s="13">
        <f t="shared" si="103"/>
        <v>57.507727968860117</v>
      </c>
      <c r="GC88" s="20">
        <f t="shared" si="79"/>
        <v>510.62436217909794</v>
      </c>
      <c r="GD88" s="59">
        <f t="shared" si="80"/>
        <v>803.9576955124312</v>
      </c>
      <c r="GE88" s="59">
        <f ca="1">AVERAGE(OFFSET($GD$3,0,0,'Données projet'!$E$17+1,1))-AVERAGE(OFFSET($H$3,0,0,'Données projet'!$E$17+1,1))</f>
        <v>322.39807389980882</v>
      </c>
      <c r="GF88" s="59">
        <f t="shared" si="104"/>
        <v>202.59410055732792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28.434863172454556</v>
      </c>
      <c r="GM88" s="21">
        <f>EXP(-LN(2)/25)*GM87+(1-EXP(-LN(2)/25))/(LN(2)/25)*Calculateur!GH88*Calculateur!GJ88*VLOOKUP('Données projet'!$B$17,Paramètres!$A$1:$I$89,3,0)*0.475*44/12</f>
        <v>27.740309501388484</v>
      </c>
      <c r="GN88" s="21">
        <f>EXP(-LN(2)/2)*GN87+(1-EXP(-LN(2)/2))/(LN(2)/2)*GH88*GK88*VLOOKUP('Données projet'!$B$17,Paramètres!$A$1:$I$89,3,0)*0.475*44/12</f>
        <v>2.1403410940036141</v>
      </c>
      <c r="GO88" s="21">
        <f t="shared" si="81"/>
        <v>58.315513767846653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31.527599999999925</v>
      </c>
      <c r="D89" s="11">
        <f t="shared" si="86"/>
        <v>9.722889601774682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318.42483201369868</v>
      </c>
      <c r="H89" s="67">
        <f t="shared" si="56"/>
        <v>365.17793605642407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10.417499999999999</v>
      </c>
      <c r="N89" s="13">
        <f>IF('Données projet'!$A$36&gt;35,N88+M89-V88,IF(A89&lt;'Données projet'!$A$36,$K$205^A89,IF(A89='Données projet'!$A$36,'Données projet'!$B$36,N88+M89-V88)))</f>
        <v>416.34250000000009</v>
      </c>
      <c r="O89" s="13">
        <f>N89*VLOOKUP('Données projet'!$B$9,Paramètres!$A$1:$I$89,3,0)*VLOOKUP('Données projet'!$B$9,Paramètres!$A$1:$I$89,5,0)</f>
        <v>194.84829000000002</v>
      </c>
      <c r="P89" s="13">
        <f t="shared" si="87"/>
        <v>48.610263979086888</v>
      </c>
      <c r="Q89" s="20">
        <f t="shared" si="54"/>
        <v>424.02364818024301</v>
      </c>
      <c r="R89" s="59">
        <f t="shared" si="55"/>
        <v>717.35698151357633</v>
      </c>
      <c r="S89" s="59">
        <f ca="1">AVERAGE(OFFSET($R$3,0,0,'Données projet'!$E$9+1,1))-AVERAGE(OFFSET($H$3,0,0,'Données projet'!$E$9+1,1))</f>
        <v>215.77907571824977</v>
      </c>
      <c r="T89" s="59">
        <f t="shared" si="88"/>
        <v>174.69390149594869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34.801705781430655</v>
      </c>
      <c r="AA89" s="21">
        <f>EXP(-LN(2)/25)*AA88+(1-EXP(-LN(2)/25))/(LN(2)/25)*Calculateur!V89*Calculateur!X89*VLOOKUP('Données projet'!$B$9,Paramètres!$A$1:$I$89,3,0)*0.475*44/12</f>
        <v>13.700686463262372</v>
      </c>
      <c r="AB89" s="21">
        <f>EXP(-LN(2)/2)*AB88+(1-EXP(-LN(2)/2))/(LN(2)/2)*V89*Y89*VLOOKUP('Données projet'!$B$9,Paramètres!$A$1:$I$89,3,0)*0.475*44/12</f>
        <v>0.22390527539770724</v>
      </c>
      <c r="AC89" s="22">
        <f t="shared" si="57"/>
        <v>48.726297520090732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-1.0197709343628959E-13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171.701352621833</v>
      </c>
      <c r="AO89" s="59">
        <f t="shared" si="90"/>
        <v>195.58435749168586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63.551666641834842</v>
      </c>
      <c r="AV89" s="21">
        <f>EXP(-LN(2)/25)*AV88+(1-EXP(-LN(2)/25))/(LN(2)/25)*Calculateur!AQ89*Calculateur!AS89*VLOOKUP('Données projet'!$B$10,Paramètres!$A$1:$I$89,3,0)*0.475*44/12</f>
        <v>19.215210030135488</v>
      </c>
      <c r="AW89" s="21">
        <f>EXP(-LN(2)/2)*AW88+(1-EXP(-LN(2)/2))/(LN(2)/2)*AQ89*AT89*VLOOKUP('Données projet'!$B$10,Paramètres!$A$1:$I$89,3,0)*0.475*44/12</f>
        <v>1.0917706601173973E-2</v>
      </c>
      <c r="AX89" s="21">
        <f t="shared" si="60"/>
        <v>82.7777943785715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-1.1823431123048067E-13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348.29124901999882</v>
      </c>
      <c r="BJ89" s="59">
        <f t="shared" si="92"/>
        <v>284.30034973939053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192.97861423238751</v>
      </c>
      <c r="BQ89" s="21">
        <f>EXP(-LN(2)/25)*BQ88+(1-EXP(-LN(2)/25))/(LN(2)/25)*Calculateur!BL89*Calculateur!BN89*VLOOKUP('Données projet'!$B$11,Paramètres!$A$1:$I$89,3,0)*0.475*44/12</f>
        <v>65.862495774863248</v>
      </c>
      <c r="BR89" s="21">
        <f>EXP(-LN(2)/2)*BR88+(1-EXP(-LN(2)/2))/(LN(2)/2)*BL89*BO89*VLOOKUP('Données projet'!$B$11,Paramètres!$A$1:$I$89,3,0)*0.475*44/12</f>
        <v>10.545876152364961</v>
      </c>
      <c r="BS89" s="22">
        <f t="shared" si="63"/>
        <v>269.38698615961573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6.3513333333333337</v>
      </c>
      <c r="BY89" s="12">
        <f>IF('Données projet'!$A$114&gt;35,BY88+BX89-CG88,IF(A89&lt;'Données projet'!$A$114,$BV$205^A89,IF(A89='Données projet'!$A$114,'Données projet'!$B$114,BY88+BX89-CG88)))</f>
        <v>268.90466666666651</v>
      </c>
      <c r="BZ89" s="13">
        <f>BY89*VLOOKUP('Données projet'!$B$12,Paramètres!$A$1:$I$89,3,0)*VLOOKUP('Données projet'!$B$12,Paramètres!$A$1:$I$89,5,0)</f>
        <v>160.80499066666658</v>
      </c>
      <c r="CA89" s="13">
        <f t="shared" si="93"/>
        <v>41.024030231970087</v>
      </c>
      <c r="CB89" s="20">
        <f t="shared" si="64"/>
        <v>351.51887806512553</v>
      </c>
      <c r="CC89" s="59">
        <f t="shared" si="65"/>
        <v>644.85221139845885</v>
      </c>
      <c r="CD89" s="59">
        <f ca="1">AVERAGE(OFFSET($CC$3,0,0,'Données projet'!$E$12+1,1))-AVERAGE(OFFSET($H$3,0,0,'Données projet'!$E$12+1,1))</f>
        <v>185.82627135915504</v>
      </c>
      <c r="CE89" s="59">
        <f t="shared" si="94"/>
        <v>155.46126452522037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25.158112854426463</v>
      </c>
      <c r="CL89" s="21">
        <f>EXP(-LN(2)/25)*CL88+(1-EXP(-LN(2)/25))/(LN(2)/25)*Calculateur!CG89*Calculateur!CI89*VLOOKUP('Données projet'!$B$12,Paramètres!$A$1:$I$89,3,0)*0.475*44/12</f>
        <v>9.5805468229224751</v>
      </c>
      <c r="CM89" s="21">
        <f>EXP(-LN(2)/2)*CM88+(1-EXP(-LN(2)/2))/(LN(2)/2)*CG89*CJ89*VLOOKUP('Données projet'!$B$12,Paramètres!$A$1:$I$89,3,0)*0.475*44/12</f>
        <v>0.22708968479891814</v>
      </c>
      <c r="CN89" s="22">
        <f t="shared" si="66"/>
        <v>34.965749362147854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1.5461538461538467</v>
      </c>
      <c r="CT89" s="12">
        <f>IF('Données projet'!$A$140&gt;35,CT88+CS89-DB88,IF(A89&lt;'Données projet'!$A$140,$CQ$205^A89,IF(A89='Données projet'!$A$140,'Données projet'!$B$140,CT88+CS89-DB88)))</f>
        <v>103.66153846153837</v>
      </c>
      <c r="CU89" s="17">
        <f>CT89*VLOOKUP('Données projet'!$B$13,Paramètres!$A$1:$I$89,3,0)*VLOOKUP('Données projet'!$B$13,Paramètres!$A$1:$I$89,5,0)</f>
        <v>119.41809230769219</v>
      </c>
      <c r="CV89" s="13">
        <f t="shared" si="95"/>
        <v>31.539240507877196</v>
      </c>
      <c r="CW89" s="20">
        <f t="shared" si="67"/>
        <v>262.91735465378332</v>
      </c>
      <c r="CX89" s="59">
        <f t="shared" si="68"/>
        <v>556.25068798711663</v>
      </c>
      <c r="CY89" s="59">
        <f ca="1">AVERAGE(OFFSET($CX$3,0,0,'Données projet'!$E$13+1,1))-AVERAGE(OFFSET($H$3,0,0,'Données projet'!$E$13+1,1))</f>
        <v>150.78964413039063</v>
      </c>
      <c r="CZ89" s="59">
        <f t="shared" si="96"/>
        <v>131.90332435966184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5.8361809641622422</v>
      </c>
      <c r="DG89" s="21">
        <f>EXP(-LN(2)/25)*DG88+(1-EXP(-LN(2)/25))/(LN(2)/25)*Calculateur!DB89*Calculateur!DD89*VLOOKUP('Données projet'!$B$13,Paramètres!$A$1:$I$89,3,0)*0.475*44/12</f>
        <v>3.0147051087179162</v>
      </c>
      <c r="DH89" s="21">
        <f>EXP(-LN(2)/2)*DH88+(1-EXP(-LN(2)/2))/(LN(2)/2)*DB89*DE89*VLOOKUP('Données projet'!$B$13,Paramètres!$A$1:$I$89,3,0)*0.475*44/12</f>
        <v>0.22563354535024588</v>
      </c>
      <c r="DI89" s="22">
        <f t="shared" si="69"/>
        <v>9.0765196182304031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1.5384615384615388</v>
      </c>
      <c r="DO89" s="12">
        <f>IF('Données projet'!$A$166&gt;35,DO88+DN89-DW88,IF(A89&lt;'Données projet'!$A$166,$DL$205^A89,IF(A89='Données projet'!$A$166,'Données projet'!$B$166,DO88+DN89-DW88)))</f>
        <v>102.17948717948718</v>
      </c>
      <c r="DP89" s="17">
        <f>DO89*VLOOKUP('Données projet'!$B$14,Paramètres!$A$1:$I$89,3,0)*VLOOKUP('Données projet'!$B$14,Paramètres!$A$1:$I$89,5,0)</f>
        <v>106.79800000000002</v>
      </c>
      <c r="DQ89" s="13">
        <f t="shared" si="97"/>
        <v>28.575276242323028</v>
      </c>
      <c r="DR89" s="20">
        <f t="shared" si="70"/>
        <v>235.77512278871259</v>
      </c>
      <c r="DS89" s="59">
        <f t="shared" si="71"/>
        <v>529.10845612204594</v>
      </c>
      <c r="DT89" s="59">
        <f ca="1">AVERAGE(OFFSET($DS$3,0,0,'Données projet'!$E$14+1,1))-AVERAGE(OFFSET($H$3,0,0,'Données projet'!$E$14+1,1))</f>
        <v>110.10595934547638</v>
      </c>
      <c r="DU89" s="59">
        <f t="shared" si="98"/>
        <v>131.10971921141493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10.02547904989593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10.02547904989593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>
        <f>VLOOKUP(A89,'Données projet'!$A$191:$I$211,2,0)</f>
        <v>229.27</v>
      </c>
      <c r="EH89" s="12">
        <f>VLOOKUP(A89,'Données projet'!$A$191:$I$211,9,0)</f>
        <v>6.7444444444444462</v>
      </c>
      <c r="EI89" s="12">
        <f t="array" ref="EI89">INDEX(EH:EH,MIN(IF(ISNUMBER(EH89:EH285),ROW(EH89:EH285),"")))</f>
        <v>6.7444444444444462</v>
      </c>
      <c r="EJ89" s="12">
        <f>IF('Données projet'!$A$192&gt;35,EJ88+EI89-ER88,IF(A89&lt;'Données projet'!$A$192,$EG$205^A89,IF(A89='Données projet'!$A$192,'Données projet'!$B$192,EJ88+EI89-ER88)))</f>
        <v>229.26999999999998</v>
      </c>
      <c r="EK89" s="17">
        <f>EJ89*VLOOKUP('Données projet'!$B$15,Paramètres!$A$1:$I$89,3,0)*VLOOKUP('Données projet'!$B$15,Paramètres!$A$1:$I$89,5,0)</f>
        <v>232.47978000000001</v>
      </c>
      <c r="EL89" s="13">
        <f t="shared" si="99"/>
        <v>56.81853283390906</v>
      </c>
      <c r="EM89" s="20">
        <f t="shared" si="73"/>
        <v>503.86122818572488</v>
      </c>
      <c r="EN89" s="59">
        <f t="shared" si="74"/>
        <v>797.1945615190582</v>
      </c>
      <c r="EO89" s="59">
        <f ca="1">AVERAGE(OFFSET($EN$3,0,0,'Données projet'!$E$15+1,1))-AVERAGE(OFFSET($H$3,0,0,'Données projet'!$E$15+1,1))</f>
        <v>420.38735944595965</v>
      </c>
      <c r="EP89" s="59">
        <f t="shared" si="100"/>
        <v>200.0823542414671</v>
      </c>
      <c r="EQ89" s="15">
        <f>IF(ISNA(VLOOKUP(A89,'Données projet'!$A$191:$I$211,3,0)),0,VLOOKUP(A89,'Données projet'!$A$191:$I$211,3,0))</f>
        <v>4</v>
      </c>
      <c r="ER89" s="15">
        <f>IF(ISNA(VLOOKUP(A89,'Données projet'!$A$191:$I$211,4,0)),0,VLOOKUP(A89,'Données projet'!$A$191:$I$211,4,0))</f>
        <v>37.54000000000002</v>
      </c>
      <c r="ES89" s="16">
        <f>IF(ISNA(VLOOKUP(A89,'Données projet'!$A$191:$I$211,5,0)),0%,VLOOKUP(A89,'Données projet'!$A$191:$I$211,5,0)*VLOOKUP('Données projet'!$B$15,Paramètres!$A$1:$I$89,7,0))</f>
        <v>0.15049999999999999</v>
      </c>
      <c r="ET89" s="16">
        <f>IF(ISNA(VLOOKUP(A89,'Données projet'!$A$191:$I$211,6,0)),0%,VLOOKUP(A89,'Données projet'!$A$191:$I$211,6,0)*VLOOKUP('Données projet'!$B$15,Paramètres!$A$1:$I$89,7,0))</f>
        <v>8.6000000000000007E-2</v>
      </c>
      <c r="EU89" s="16">
        <f>IF(ISNA(VLOOKUP(A89,'Données projet'!$A$191:$I$211,7,0)),0%,VLOOKUP(A89,'Données projet'!$A$191:$I$211,7,0))</f>
        <v>0.1</v>
      </c>
      <c r="EV89" s="21">
        <f>EXP(-LN(2)/35)*EV88+(1-EXP(-LN(2)/35))/(LN(2)/35)*ER89*ES89*VLOOKUP('Données projet'!$B$15,Paramètres!$A$1:$I$89,3,0)*0.475*44/12</f>
        <v>6.333092533580313</v>
      </c>
      <c r="EW89" s="21">
        <f>EXP(-LN(2)/25)*EW88+(1-EXP(-LN(2)/25))/(LN(2)/25)*Calculateur!ER89*Calculateur!ET89*VLOOKUP('Données projet'!$B$15,Paramètres!$A$1:$I$89,3,0)*0.475*44/12</f>
        <v>37.49791455830001</v>
      </c>
      <c r="EX89" s="21">
        <f>EXP(-LN(2)/2)*EX88+(1-EXP(-LN(2)/2))/(LN(2)/2)*ER89*EU89*VLOOKUP('Données projet'!$B$15,Paramètres!$A$1:$I$89,3,0)*0.475*44/12</f>
        <v>3.9027004715399207</v>
      </c>
      <c r="EY89" s="22">
        <f t="shared" si="75"/>
        <v>47.733707563420246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9.2740000000000009</v>
      </c>
      <c r="FE89" s="12">
        <f>IF('Données projet'!$A$218&gt;35,FE88+FD89-FM88,IF(A89&lt;'Données projet'!$A$218,$FB$205^A89,IF(A89='Données projet'!$A$218,'Données projet'!$B$218,FE88+FD89-FM88)))</f>
        <v>283.95199999999988</v>
      </c>
      <c r="FF89" s="17">
        <f>FE89*VLOOKUP('Données projet'!$B$16,Paramètres!$A$1:$I$89,3,0)*VLOOKUP('Données projet'!$B$16,Paramètres!$A$1:$I$89,5,0)</f>
        <v>305.64593279999985</v>
      </c>
      <c r="FG89" s="13">
        <f t="shared" si="101"/>
        <v>72.358780428424367</v>
      </c>
      <c r="FH89" s="20">
        <f t="shared" si="76"/>
        <v>658.35820887283887</v>
      </c>
      <c r="FI89" s="59">
        <f t="shared" si="77"/>
        <v>951.69154220617224</v>
      </c>
      <c r="FJ89" s="59">
        <f ca="1">AVERAGE(OFFSET($FI$3,0,0,'Données projet'!$E$16+1,1))-AVERAGE(OFFSET($H$3,0,0,'Données projet'!$E$16+1,1))</f>
        <v>415.8741608506952</v>
      </c>
      <c r="FK89" s="59">
        <f t="shared" si="102"/>
        <v>259.15848913719356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28.374568968633501</v>
      </c>
      <c r="FR89" s="21">
        <f>EXP(-LN(2)/25)*FR88+(1-EXP(-LN(2)/25))/(LN(2)/25)*Calculateur!FM89*Calculateur!FO89*VLOOKUP('Données projet'!$B$16,Paramètres!$A$1:$I$89,3,0)*0.475*44/12</f>
        <v>27.463070364186823</v>
      </c>
      <c r="FS89" s="21">
        <f>EXP(-LN(2)/2)*FS88+(1-EXP(-LN(2)/2))/(LN(2)/2)*FM89*FP89*VLOOKUP('Données projet'!$B$16,Paramètres!$A$1:$I$89,3,0)*0.475*44/12</f>
        <v>1.8986914438532925</v>
      </c>
      <c r="FT89" s="22">
        <f t="shared" si="78"/>
        <v>57.736330776673618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9.2740000000000009</v>
      </c>
      <c r="FZ89" s="12">
        <f>IF('Données projet'!$A$244&gt;35,FZ88+FY89-GH88,IF(A89&lt;'Données projet'!$A$244,$FW$205^A89,IF(A89='Données projet'!$A$244,'Données projet'!$B$244,FZ88+FY89-GH88)))</f>
        <v>283.95199999999988</v>
      </c>
      <c r="GA89" s="17">
        <f>FZ89*VLOOKUP('Données projet'!$B$17,Paramètres!$A$1:$I$89,3,0)*VLOOKUP('Données projet'!$B$17,Paramètres!$A$1:$I$89,5,0)</f>
        <v>243.6308159999999</v>
      </c>
      <c r="GB89" s="13">
        <f t="shared" si="103"/>
        <v>59.220034258655367</v>
      </c>
      <c r="GC89" s="20">
        <f t="shared" si="79"/>
        <v>527.46523086715786</v>
      </c>
      <c r="GD89" s="59">
        <f t="shared" si="80"/>
        <v>820.79856420049123</v>
      </c>
      <c r="GE89" s="59">
        <f ca="1">AVERAGE(OFFSET($GD$3,0,0,'Données projet'!$E$17+1,1))-AVERAGE(OFFSET($H$3,0,0,'Données projet'!$E$17+1,1))</f>
        <v>322.39807389980882</v>
      </c>
      <c r="GF89" s="59">
        <f t="shared" si="104"/>
        <v>202.59410055732792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27.877272849196721</v>
      </c>
      <c r="GM89" s="21">
        <f>EXP(-LN(2)/25)*GM88+(1-EXP(-LN(2)/25))/(LN(2)/25)*Calculateur!GH89*Calculateur!GJ89*VLOOKUP('Données projet'!$B$17,Paramètres!$A$1:$I$89,3,0)*0.475*44/12</f>
        <v>26.98174927927354</v>
      </c>
      <c r="GN89" s="21">
        <f>EXP(-LN(2)/2)*GN88+(1-EXP(-LN(2)/2))/(LN(2)/2)*GH89*GK89*VLOOKUP('Données projet'!$B$17,Paramètres!$A$1:$I$89,3,0)*0.475*44/12</f>
        <v>1.5134497016221893</v>
      </c>
      <c r="GO89" s="21">
        <f t="shared" si="81"/>
        <v>56.372471830092451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31.894199999999923</v>
      </c>
      <c r="D90" s="11">
        <f t="shared" si="86"/>
        <v>9.8227193255983707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322.0253421625132</v>
      </c>
      <c r="H90" s="67">
        <f t="shared" si="56"/>
        <v>365.99030115875036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426.76</v>
      </c>
      <c r="L90" s="12">
        <f>VLOOKUP(A90,'Données projet'!$A$35:$I$55,9,0)</f>
        <v>10.417499999999999</v>
      </c>
      <c r="M90" s="12">
        <f t="array" ref="M90">INDEX(L:L,MIN(IF(ISNUMBER(L90:L286),ROW(L90:L286),"")))</f>
        <v>10.417499999999999</v>
      </c>
      <c r="N90" s="13">
        <f>IF('Données projet'!$A$36&gt;35,N89+M90-V89,IF(A90&lt;'Données projet'!$A$36,$K$205^A90,IF(A90='Données projet'!$A$36,'Données projet'!$B$36,N89+M90-V89)))</f>
        <v>426.7600000000001</v>
      </c>
      <c r="O90" s="13">
        <f>N90*VLOOKUP('Données projet'!$B$9,Paramètres!$A$1:$I$89,3,0)*VLOOKUP('Données projet'!$B$9,Paramètres!$A$1:$I$89,5,0)</f>
        <v>199.72368000000006</v>
      </c>
      <c r="P90" s="13">
        <f t="shared" si="87"/>
        <v>49.68343606725896</v>
      </c>
      <c r="Q90" s="20">
        <f t="shared" si="54"/>
        <v>434.38406048380944</v>
      </c>
      <c r="R90" s="59">
        <f t="shared" si="55"/>
        <v>727.71739381714269</v>
      </c>
      <c r="S90" s="59">
        <f ca="1">AVERAGE(OFFSET($R$3,0,0,'Données projet'!$E$9+1,1))-AVERAGE(OFFSET($H$3,0,0,'Données projet'!$E$9+1,1))</f>
        <v>215.77907571824977</v>
      </c>
      <c r="T90" s="59">
        <f t="shared" si="88"/>
        <v>174.69390149594869</v>
      </c>
      <c r="U90" s="15">
        <f>IF(ISNA(VLOOKUP(A90,'Données projet'!$A$35:$I$55,3,0)),0,VLOOKUP(A90,'Données projet'!$A$35:$I$55,3,0))</f>
        <v>4</v>
      </c>
      <c r="V90" s="15">
        <f>IF(ISNA(VLOOKUP(A90,'Données projet'!$A$35:$I$55,4,0)),0,VLOOKUP(A90,'Données projet'!$A$35:$I$55,4,0))</f>
        <v>92.519999999999982</v>
      </c>
      <c r="W90" s="16">
        <f>IF(ISNA(VLOOKUP(A90,'Données projet'!$A$35:$I$55,5,0)),0%,VLOOKUP(A90,'Données projet'!$A$35:$I$55,5,0)*VLOOKUP('Données projet'!$B$9,Paramètres!$A$1:$I$89,7,0))</f>
        <v>0.33</v>
      </c>
      <c r="X90" s="16">
        <f>IF(ISNA(VLOOKUP(A90,'Données projet'!$A$35:$I$55,6,0)),0%,VLOOKUP(A90,'Données projet'!$A$35:$I$55,6,0)*VLOOKUP('Données projet'!$B$9,Paramètres!$A$1:$I$89,7,0))</f>
        <v>0.11000000000000001</v>
      </c>
      <c r="Y90" s="16">
        <f>IF(ISNA(VLOOKUP(A90,'Données projet'!$A$35:$I$55,7,0)),0%,VLOOKUP(A90,'Données projet'!$A$35:$I$55,7,0))</f>
        <v>0.2</v>
      </c>
      <c r="Z90" s="21">
        <f>EXP(-LN(2)/35)*Z89+(1-EXP(-LN(2)/35))/(LN(2)/35)*V90*W90*VLOOKUP('Données projet'!$B$9,Paramètres!$A$1:$I$89,3,0)*0.475*44/12</f>
        <v>53.074264891363939</v>
      </c>
      <c r="AA90" s="21">
        <f>EXP(-LN(2)/25)*AA89+(1-EXP(-LN(2)/25))/(LN(2)/25)*Calculateur!V90*Calculateur!X90*VLOOKUP('Données projet'!$B$9,Paramètres!$A$1:$I$89,3,0)*0.475*44/12</f>
        <v>19.619495897625399</v>
      </c>
      <c r="AB90" s="21">
        <f>EXP(-LN(2)/2)*AB89+(1-EXP(-LN(2)/2))/(LN(2)/2)*V90*Y90*VLOOKUP('Données projet'!$B$9,Paramètres!$A$1:$I$89,3,0)*0.475*44/12</f>
        <v>9.9633117094222658</v>
      </c>
      <c r="AC90" s="22">
        <f t="shared" si="57"/>
        <v>82.657072498411608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-1.0197709343628959E-13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171.701352621833</v>
      </c>
      <c r="AO90" s="59">
        <f t="shared" si="90"/>
        <v>195.58435749168586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62.305457221677614</v>
      </c>
      <c r="AV90" s="21">
        <f>EXP(-LN(2)/25)*AV89+(1-EXP(-LN(2)/25))/(LN(2)/25)*Calculateur!AQ90*Calculateur!AS90*VLOOKUP('Données projet'!$B$10,Paramètres!$A$1:$I$89,3,0)*0.475*44/12</f>
        <v>18.689769101377454</v>
      </c>
      <c r="AW90" s="21">
        <f>EXP(-LN(2)/2)*AW89+(1-EXP(-LN(2)/2))/(LN(2)/2)*AQ90*AT90*VLOOKUP('Données projet'!$B$10,Paramètres!$A$1:$I$89,3,0)*0.475*44/12</f>
        <v>7.7199843726952506E-3</v>
      </c>
      <c r="AX90" s="21">
        <f t="shared" si="60"/>
        <v>81.002946307427763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-1.1823431123048067E-13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348.29124901999882</v>
      </c>
      <c r="BJ90" s="59">
        <f t="shared" si="92"/>
        <v>284.30034973939053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189.19442131262264</v>
      </c>
      <c r="BQ90" s="21">
        <f>EXP(-LN(2)/25)*BQ89+(1-EXP(-LN(2)/25))/(LN(2)/25)*Calculateur!BL90*Calculateur!BN90*VLOOKUP('Données projet'!$B$11,Paramètres!$A$1:$I$89,3,0)*0.475*44/12</f>
        <v>64.061482364341487</v>
      </c>
      <c r="BR90" s="21">
        <f>EXP(-LN(2)/2)*BR89+(1-EXP(-LN(2)/2))/(LN(2)/2)*BL90*BO90*VLOOKUP('Données projet'!$B$11,Paramètres!$A$1:$I$89,3,0)*0.475*44/12</f>
        <v>7.4570605408907609</v>
      </c>
      <c r="BS90" s="22">
        <f t="shared" si="63"/>
        <v>260.7129642178549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6.3513333333333337</v>
      </c>
      <c r="BY90" s="12">
        <f>IF('Données projet'!$A$114&gt;35,BY89+BX90-CG89,IF(A90&lt;'Données projet'!$A$114,$BV$205^A90,IF(A90='Données projet'!$A$114,'Données projet'!$B$114,BY89+BX90-CG89)))</f>
        <v>275.25599999999986</v>
      </c>
      <c r="BZ90" s="13">
        <f>BY90*VLOOKUP('Données projet'!$B$12,Paramètres!$A$1:$I$89,3,0)*VLOOKUP('Données projet'!$B$12,Paramètres!$A$1:$I$89,5,0)</f>
        <v>164.60308799999993</v>
      </c>
      <c r="CA90" s="13">
        <f t="shared" si="93"/>
        <v>41.879034686671552</v>
      </c>
      <c r="CB90" s="20">
        <f t="shared" si="64"/>
        <v>359.62303034595283</v>
      </c>
      <c r="CC90" s="59">
        <f t="shared" si="65"/>
        <v>652.95636367928614</v>
      </c>
      <c r="CD90" s="59">
        <f ca="1">AVERAGE(OFFSET($CC$3,0,0,'Données projet'!$E$12+1,1))-AVERAGE(OFFSET($H$3,0,0,'Données projet'!$E$12+1,1))</f>
        <v>185.82627135915504</v>
      </c>
      <c r="CE90" s="59">
        <f t="shared" si="94"/>
        <v>155.46126452522037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24.664777606284815</v>
      </c>
      <c r="CL90" s="21">
        <f>EXP(-LN(2)/25)*CL89+(1-EXP(-LN(2)/25))/(LN(2)/25)*Calculateur!CG90*Calculateur!CI90*VLOOKUP('Données projet'!$B$12,Paramètres!$A$1:$I$89,3,0)*0.475*44/12</f>
        <v>9.318566266230599</v>
      </c>
      <c r="CM90" s="21">
        <f>EXP(-LN(2)/2)*CM89+(1-EXP(-LN(2)/2))/(LN(2)/2)*CG90*CJ90*VLOOKUP('Données projet'!$B$12,Paramètres!$A$1:$I$89,3,0)*0.475*44/12</f>
        <v>0.16057665605883067</v>
      </c>
      <c r="CN90" s="22">
        <f t="shared" si="66"/>
        <v>34.143920528574242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1.5461538461538467</v>
      </c>
      <c r="CT90" s="12">
        <f>IF('Données projet'!$A$140&gt;35,CT89+CS90-DB89,IF(A90&lt;'Données projet'!$A$140,$CQ$205^A90,IF(A90='Données projet'!$A$140,'Données projet'!$B$140,CT89+CS90-DB89)))</f>
        <v>105.20769230769221</v>
      </c>
      <c r="CU90" s="17">
        <f>CT90*VLOOKUP('Données projet'!$B$13,Paramètres!$A$1:$I$89,3,0)*VLOOKUP('Données projet'!$B$13,Paramètres!$A$1:$I$89,5,0)</f>
        <v>121.19926153846141</v>
      </c>
      <c r="CV90" s="13">
        <f t="shared" si="95"/>
        <v>31.954545265817988</v>
      </c>
      <c r="CW90" s="20">
        <f t="shared" si="67"/>
        <v>266.74288018412</v>
      </c>
      <c r="CX90" s="59">
        <f t="shared" si="68"/>
        <v>560.07621351745331</v>
      </c>
      <c r="CY90" s="59">
        <f ca="1">AVERAGE(OFFSET($CX$3,0,0,'Données projet'!$E$13+1,1))-AVERAGE(OFFSET($H$3,0,0,'Données projet'!$E$13+1,1))</f>
        <v>150.78964413039063</v>
      </c>
      <c r="CZ90" s="59">
        <f t="shared" si="96"/>
        <v>131.90332435966184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5.7217370151739155</v>
      </c>
      <c r="DG90" s="21">
        <f>EXP(-LN(2)/25)*DG89+(1-EXP(-LN(2)/25))/(LN(2)/25)*Calculateur!DB90*Calculateur!DD90*VLOOKUP('Données projet'!$B$13,Paramètres!$A$1:$I$89,3,0)*0.475*44/12</f>
        <v>2.9322678389835732</v>
      </c>
      <c r="DH90" s="21">
        <f>EXP(-LN(2)/2)*DH89+(1-EXP(-LN(2)/2))/(LN(2)/2)*DB90*DE90*VLOOKUP('Données projet'!$B$13,Paramètres!$A$1:$I$89,3,0)*0.475*44/12</f>
        <v>0.15954700998032126</v>
      </c>
      <c r="DI90" s="22">
        <f t="shared" si="69"/>
        <v>8.8135518641378088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1.5384615384615388</v>
      </c>
      <c r="DO90" s="12">
        <f>IF('Données projet'!$A$166&gt;35,DO89+DN90-DW89,IF(A90&lt;'Données projet'!$A$166,$DL$205^A90,IF(A90='Données projet'!$A$166,'Données projet'!$B$166,DO89+DN90-DW89)))</f>
        <v>103.71794871794872</v>
      </c>
      <c r="DP90" s="17">
        <f>DO90*VLOOKUP('Données projet'!$B$14,Paramètres!$A$1:$I$89,3,0)*VLOOKUP('Données projet'!$B$14,Paramètres!$A$1:$I$89,5,0)</f>
        <v>108.40600000000001</v>
      </c>
      <c r="DQ90" s="13">
        <f t="shared" si="97"/>
        <v>28.955107283197457</v>
      </c>
      <c r="DR90" s="20">
        <f t="shared" si="70"/>
        <v>239.23726185156889</v>
      </c>
      <c r="DS90" s="59">
        <f t="shared" si="71"/>
        <v>532.57059518490223</v>
      </c>
      <c r="DT90" s="59">
        <f ca="1">AVERAGE(OFFSET($DS$3,0,0,'Données projet'!$E$14+1,1))-AVERAGE(OFFSET($H$3,0,0,'Données projet'!$E$14+1,1))</f>
        <v>110.10595934547638</v>
      </c>
      <c r="DU90" s="59">
        <f t="shared" si="98"/>
        <v>131.10971921141493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9.7513317980594962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9.7513317980594962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6.7600000000000007</v>
      </c>
      <c r="EJ90" s="12">
        <f>IF('Données projet'!$A$192&gt;35,EJ89+EI90-ER89,IF(A90&lt;'Données projet'!$A$192,$EG$205^A90,IF(A90='Données projet'!$A$192,'Données projet'!$B$192,EJ89+EI90-ER89)))</f>
        <v>198.48999999999995</v>
      </c>
      <c r="EK90" s="17">
        <f>EJ90*VLOOKUP('Données projet'!$B$15,Paramètres!$A$1:$I$89,3,0)*VLOOKUP('Données projet'!$B$15,Paramètres!$A$1:$I$89,5,0)</f>
        <v>201.26885999999993</v>
      </c>
      <c r="EL90" s="13">
        <f t="shared" si="99"/>
        <v>50.022922026408203</v>
      </c>
      <c r="EM90" s="20">
        <f t="shared" si="73"/>
        <v>437.66652036266078</v>
      </c>
      <c r="EN90" s="59">
        <f t="shared" si="74"/>
        <v>730.99985369599403</v>
      </c>
      <c r="EO90" s="59">
        <f ca="1">AVERAGE(OFFSET($EN$3,0,0,'Données projet'!$E$15+1,1))-AVERAGE(OFFSET($H$3,0,0,'Données projet'!$E$15+1,1))</f>
        <v>420.38735944595965</v>
      </c>
      <c r="EP90" s="59">
        <f t="shared" si="100"/>
        <v>200.0823542414671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6.2089044518018284</v>
      </c>
      <c r="EW90" s="21">
        <f>EXP(-LN(2)/25)*EW89+(1-EXP(-LN(2)/25))/(LN(2)/25)*Calculateur!ER90*Calculateur!ET90*VLOOKUP('Données projet'!$B$15,Paramètres!$A$1:$I$89,3,0)*0.475*44/12</f>
        <v>36.472532112773671</v>
      </c>
      <c r="EX90" s="21">
        <f>EXP(-LN(2)/2)*EX89+(1-EXP(-LN(2)/2))/(LN(2)/2)*ER90*EU90*VLOOKUP('Données projet'!$B$15,Paramètres!$A$1:$I$89,3,0)*0.475*44/12</f>
        <v>2.7596259683658149</v>
      </c>
      <c r="EY90" s="22">
        <f t="shared" si="75"/>
        <v>45.441062532941316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9.2740000000000009</v>
      </c>
      <c r="FE90" s="12">
        <f>IF('Données projet'!$A$218&gt;35,FE89+FD90-FM89,IF(A90&lt;'Données projet'!$A$218,$FB$205^A90,IF(A90='Données projet'!$A$218,'Données projet'!$B$218,FE89+FD90-FM89)))</f>
        <v>293.22599999999989</v>
      </c>
      <c r="FF90" s="17">
        <f>FE90*VLOOKUP('Données projet'!$B$16,Paramètres!$A$1:$I$89,3,0)*VLOOKUP('Données projet'!$B$16,Paramètres!$A$1:$I$89,5,0)</f>
        <v>315.62846639999987</v>
      </c>
      <c r="FG90" s="13">
        <f t="shared" si="101"/>
        <v>74.443044193100945</v>
      </c>
      <c r="FH90" s="20">
        <f t="shared" si="76"/>
        <v>679.37454761631727</v>
      </c>
      <c r="FI90" s="59">
        <f t="shared" si="77"/>
        <v>972.70788094965064</v>
      </c>
      <c r="FJ90" s="59">
        <f ca="1">AVERAGE(OFFSET($FI$3,0,0,'Données projet'!$E$16+1,1))-AVERAGE(OFFSET($H$3,0,0,'Données projet'!$E$16+1,1))</f>
        <v>415.8741608506952</v>
      </c>
      <c r="FK90" s="59">
        <f t="shared" si="102"/>
        <v>259.15848913719356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27.818160977936767</v>
      </c>
      <c r="FR90" s="21">
        <f>EXP(-LN(2)/25)*FR89+(1-EXP(-LN(2)/25))/(LN(2)/25)*Calculateur!FM90*Calculateur!FO90*VLOOKUP('Données projet'!$B$16,Paramètres!$A$1:$I$89,3,0)*0.475*44/12</f>
        <v>26.712091260858031</v>
      </c>
      <c r="FS90" s="21">
        <f>EXP(-LN(2)/2)*FS89+(1-EXP(-LN(2)/2))/(LN(2)/2)*FM90*FP90*VLOOKUP('Données projet'!$B$16,Paramètres!$A$1:$I$89,3,0)*0.475*44/12</f>
        <v>1.3425775953295402</v>
      </c>
      <c r="FT90" s="22">
        <f t="shared" si="78"/>
        <v>55.872829834124339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9.2740000000000009</v>
      </c>
      <c r="FZ90" s="12">
        <f>IF('Données projet'!$A$244&gt;35,FZ89+FY90-GH89,IF(A90&lt;'Données projet'!$A$244,$FW$205^A90,IF(A90='Données projet'!$A$244,'Données projet'!$B$244,FZ89+FY90-GH89)))</f>
        <v>293.22599999999989</v>
      </c>
      <c r="GA90" s="17">
        <f>FZ90*VLOOKUP('Données projet'!$B$17,Paramètres!$A$1:$I$89,3,0)*VLOOKUP('Données projet'!$B$17,Paramètres!$A$1:$I$89,5,0)</f>
        <v>251.58790799999994</v>
      </c>
      <c r="GB90" s="13">
        <f t="shared" si="103"/>
        <v>60.925842051675254</v>
      </c>
      <c r="GC90" s="20">
        <f t="shared" si="79"/>
        <v>544.2947813400009</v>
      </c>
      <c r="GD90" s="59">
        <f t="shared" si="80"/>
        <v>837.62811467333427</v>
      </c>
      <c r="GE90" s="59">
        <f ca="1">AVERAGE(OFFSET($GD$3,0,0,'Données projet'!$E$17+1,1))-AVERAGE(OFFSET($H$3,0,0,'Données projet'!$E$17+1,1))</f>
        <v>322.39807389980882</v>
      </c>
      <c r="GF90" s="59">
        <f t="shared" si="104"/>
        <v>202.59410055732792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27.330616532081461</v>
      </c>
      <c r="GM90" s="21">
        <f>EXP(-LN(2)/25)*GM89+(1-EXP(-LN(2)/25))/(LN(2)/25)*Calculateur!GH90*Calculateur!GJ90*VLOOKUP('Données projet'!$B$17,Paramètres!$A$1:$I$89,3,0)*0.475*44/12</f>
        <v>26.243931926323278</v>
      </c>
      <c r="GN90" s="21">
        <f>EXP(-LN(2)/2)*GN89+(1-EXP(-LN(2)/2))/(LN(2)/2)*GH90*GK90*VLOOKUP('Données projet'!$B$17,Paramètres!$A$1:$I$89,3,0)*0.475*44/12</f>
        <v>1.070170547001807</v>
      </c>
      <c r="GO90" s="21">
        <f t="shared" si="81"/>
        <v>54.644719005406543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32.260799999999925</v>
      </c>
      <c r="D91" s="11">
        <f t="shared" si="86"/>
        <v>9.9224155703388863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325.62482194647504</v>
      </c>
      <c r="H91" s="67">
        <f t="shared" si="56"/>
        <v>366.80243378500671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9.4258333333333351</v>
      </c>
      <c r="N91" s="13">
        <f>IF('Données projet'!$A$36&gt;35,N90+M91-V90,IF(A91&lt;'Données projet'!$A$36,$K$205^A91,IF(A91='Données projet'!$A$36,'Données projet'!$B$36,N90+M91-V90)))</f>
        <v>343.66583333333347</v>
      </c>
      <c r="O91" s="13">
        <f>N91*VLOOKUP('Données projet'!$B$9,Paramètres!$A$1:$I$89,3,0)*VLOOKUP('Données projet'!$B$9,Paramètres!$A$1:$I$89,5,0)</f>
        <v>160.83561000000006</v>
      </c>
      <c r="P91" s="13">
        <f t="shared" si="87"/>
        <v>41.030932398377978</v>
      </c>
      <c r="Q91" s="20">
        <f t="shared" si="54"/>
        <v>351.58422801050841</v>
      </c>
      <c r="R91" s="59">
        <f t="shared" si="55"/>
        <v>644.91756134384173</v>
      </c>
      <c r="S91" s="59">
        <f ca="1">AVERAGE(OFFSET($R$3,0,0,'Données projet'!$E$9+1,1))-AVERAGE(OFFSET($H$3,0,0,'Données projet'!$E$9+1,1))</f>
        <v>215.77907571824977</v>
      </c>
      <c r="T91" s="59">
        <f t="shared" si="88"/>
        <v>174.69390149594869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52.033510928949397</v>
      </c>
      <c r="AA91" s="21">
        <f>EXP(-LN(2)/25)*AA90+(1-EXP(-LN(2)/25))/(LN(2)/25)*Calculateur!V91*Calculateur!X91*VLOOKUP('Données projet'!$B$9,Paramètres!$A$1:$I$89,3,0)*0.475*44/12</f>
        <v>19.082999750560383</v>
      </c>
      <c r="AB91" s="21">
        <f>EXP(-LN(2)/2)*AB90+(1-EXP(-LN(2)/2))/(LN(2)/2)*V91*Y91*VLOOKUP('Données projet'!$B$9,Paramètres!$A$1:$I$89,3,0)*0.475*44/12</f>
        <v>7.0451252728078178</v>
      </c>
      <c r="AC91" s="22">
        <f t="shared" si="57"/>
        <v>78.16163595231761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-1.0197709343628959E-13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171.701352621833</v>
      </c>
      <c r="AO91" s="59">
        <f t="shared" si="90"/>
        <v>195.58435749168586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61.083685208136977</v>
      </c>
      <c r="AV91" s="21">
        <f>EXP(-LN(2)/25)*AV90+(1-EXP(-LN(2)/25))/(LN(2)/25)*Calculateur!AQ91*Calculateur!AS91*VLOOKUP('Données projet'!$B$10,Paramètres!$A$1:$I$89,3,0)*0.475*44/12</f>
        <v>18.178696382448045</v>
      </c>
      <c r="AW91" s="21">
        <f>EXP(-LN(2)/2)*AW90+(1-EXP(-LN(2)/2))/(LN(2)/2)*AQ91*AT91*VLOOKUP('Données projet'!$B$10,Paramètres!$A$1:$I$89,3,0)*0.475*44/12</f>
        <v>5.4588533005869872E-3</v>
      </c>
      <c r="AX91" s="21">
        <f t="shared" si="60"/>
        <v>79.267840443885603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-1.1823431123048067E-13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348.29124901999882</v>
      </c>
      <c r="BJ91" s="59">
        <f t="shared" si="92"/>
        <v>284.30034973939053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185.48443410788457</v>
      </c>
      <c r="BQ91" s="21">
        <f>EXP(-LN(2)/25)*BQ90+(1-EXP(-LN(2)/25))/(LN(2)/25)*Calculateur!BL91*Calculateur!BN91*VLOOKUP('Données projet'!$B$11,Paramètres!$A$1:$I$89,3,0)*0.475*44/12</f>
        <v>62.309717760241625</v>
      </c>
      <c r="BR91" s="21">
        <f>EXP(-LN(2)/2)*BR90+(1-EXP(-LN(2)/2))/(LN(2)/2)*BL91*BO91*VLOOKUP('Données projet'!$B$11,Paramètres!$A$1:$I$89,3,0)*0.475*44/12</f>
        <v>5.2729380761824816</v>
      </c>
      <c r="BS91" s="22">
        <f t="shared" si="63"/>
        <v>253.06708994430866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6.3513333333333337</v>
      </c>
      <c r="BY91" s="12">
        <f>IF('Données projet'!$A$114&gt;35,BY90+BX91-CG90,IF(A91&lt;'Données projet'!$A$114,$BV$205^A91,IF(A91='Données projet'!$A$114,'Données projet'!$B$114,BY90+BX91-CG90)))</f>
        <v>281.6073333333332</v>
      </c>
      <c r="BZ91" s="13">
        <f>BY91*VLOOKUP('Données projet'!$B$12,Paramètres!$A$1:$I$89,3,0)*VLOOKUP('Données projet'!$B$12,Paramètres!$A$1:$I$89,5,0)</f>
        <v>168.40118533333327</v>
      </c>
      <c r="CA91" s="13">
        <f t="shared" si="93"/>
        <v>42.731745597197779</v>
      </c>
      <c r="CB91" s="20">
        <f t="shared" si="64"/>
        <v>367.72318803734152</v>
      </c>
      <c r="CC91" s="59">
        <f t="shared" si="65"/>
        <v>661.05652137067477</v>
      </c>
      <c r="CD91" s="59">
        <f ca="1">AVERAGE(OFFSET($CC$3,0,0,'Données projet'!$E$12+1,1))-AVERAGE(OFFSET($H$3,0,0,'Données projet'!$E$12+1,1))</f>
        <v>185.82627135915504</v>
      </c>
      <c r="CE91" s="59">
        <f t="shared" si="94"/>
        <v>155.46126452522037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24.181116361454436</v>
      </c>
      <c r="CL91" s="21">
        <f>EXP(-LN(2)/25)*CL90+(1-EXP(-LN(2)/25))/(LN(2)/25)*Calculateur!CG91*Calculateur!CI91*VLOOKUP('Données projet'!$B$12,Paramètres!$A$1:$I$89,3,0)*0.475*44/12</f>
        <v>9.0637495816384206</v>
      </c>
      <c r="CM91" s="21">
        <f>EXP(-LN(2)/2)*CM90+(1-EXP(-LN(2)/2))/(LN(2)/2)*CG91*CJ91*VLOOKUP('Données projet'!$B$12,Paramètres!$A$1:$I$89,3,0)*0.475*44/12</f>
        <v>0.11354484239945908</v>
      </c>
      <c r="CN91" s="22">
        <f t="shared" si="66"/>
        <v>33.35841078549231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1.5461538461538467</v>
      </c>
      <c r="CT91" s="12">
        <f>IF('Données projet'!$A$140&gt;35,CT90+CS91-DB90,IF(A91&lt;'Données projet'!$A$140,$CQ$205^A91,IF(A91='Données projet'!$A$140,'Données projet'!$B$140,CT90+CS91-DB90)))</f>
        <v>106.75384615384606</v>
      </c>
      <c r="CU91" s="17">
        <f>CT91*VLOOKUP('Données projet'!$B$13,Paramètres!$A$1:$I$89,3,0)*VLOOKUP('Données projet'!$B$13,Paramètres!$A$1:$I$89,5,0)</f>
        <v>122.98043076923065</v>
      </c>
      <c r="CV91" s="13">
        <f t="shared" si="95"/>
        <v>32.369140167820213</v>
      </c>
      <c r="CW91" s="20">
        <f t="shared" si="67"/>
        <v>270.56716938203027</v>
      </c>
      <c r="CX91" s="59">
        <f t="shared" si="68"/>
        <v>563.90050271536359</v>
      </c>
      <c r="CY91" s="59">
        <f ca="1">AVERAGE(OFFSET($CX$3,0,0,'Données projet'!$E$13+1,1))-AVERAGE(OFFSET($H$3,0,0,'Données projet'!$E$13+1,1))</f>
        <v>150.78964413039063</v>
      </c>
      <c r="CZ91" s="59">
        <f t="shared" si="96"/>
        <v>131.90332435966184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5.6095372422213341</v>
      </c>
      <c r="DG91" s="21">
        <f>EXP(-LN(2)/25)*DG90+(1-EXP(-LN(2)/25))/(LN(2)/25)*Calculateur!DB91*Calculateur!DD91*VLOOKUP('Données projet'!$B$13,Paramètres!$A$1:$I$89,3,0)*0.475*44/12</f>
        <v>2.8520848207253038</v>
      </c>
      <c r="DH91" s="21">
        <f>EXP(-LN(2)/2)*DH90+(1-EXP(-LN(2)/2))/(LN(2)/2)*DB91*DE91*VLOOKUP('Données projet'!$B$13,Paramètres!$A$1:$I$89,3,0)*0.475*44/12</f>
        <v>0.11281677267512294</v>
      </c>
      <c r="DI91" s="22">
        <f t="shared" si="69"/>
        <v>8.5744388356217609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1.5384615384615388</v>
      </c>
      <c r="DO91" s="12">
        <f>IF('Données projet'!$A$166&gt;35,DO90+DN91-DW90,IF(A91&lt;'Données projet'!$A$166,$DL$205^A91,IF(A91='Données projet'!$A$166,'Données projet'!$B$166,DO90+DN91-DW90)))</f>
        <v>105.25641025641025</v>
      </c>
      <c r="DP91" s="17">
        <f>DO91*VLOOKUP('Données projet'!$B$14,Paramètres!$A$1:$I$89,3,0)*VLOOKUP('Données projet'!$B$14,Paramètres!$A$1:$I$89,5,0)</f>
        <v>110.014</v>
      </c>
      <c r="DQ91" s="13">
        <f t="shared" si="97"/>
        <v>29.334283057323191</v>
      </c>
      <c r="DR91" s="20">
        <f t="shared" si="70"/>
        <v>242.69825965817122</v>
      </c>
      <c r="DS91" s="59">
        <f t="shared" si="71"/>
        <v>536.03159299150457</v>
      </c>
      <c r="DT91" s="59">
        <f ca="1">AVERAGE(OFFSET($DS$3,0,0,'Données projet'!$E$14+1,1))-AVERAGE(OFFSET($H$3,0,0,'Données projet'!$E$14+1,1))</f>
        <v>110.10595934547638</v>
      </c>
      <c r="DU91" s="59">
        <f t="shared" si="98"/>
        <v>131.10971921141493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9.4846811172413066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9.4846811172413066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6.7600000000000007</v>
      </c>
      <c r="EJ91" s="12">
        <f>IF('Données projet'!$A$192&gt;35,EJ90+EI91-ER90,IF(A91&lt;'Données projet'!$A$192,$EG$205^A91,IF(A91='Données projet'!$A$192,'Données projet'!$B$192,EJ90+EI91-ER90)))</f>
        <v>205.24999999999994</v>
      </c>
      <c r="EK91" s="17">
        <f>EJ91*VLOOKUP('Données projet'!$B$15,Paramètres!$A$1:$I$89,3,0)*VLOOKUP('Données projet'!$B$15,Paramètres!$A$1:$I$89,5,0)</f>
        <v>208.12349999999995</v>
      </c>
      <c r="EL91" s="13">
        <f t="shared" si="99"/>
        <v>51.525309267242157</v>
      </c>
      <c r="EM91" s="20">
        <f t="shared" si="73"/>
        <v>452.22167614044662</v>
      </c>
      <c r="EN91" s="59">
        <f t="shared" si="74"/>
        <v>745.55500947377993</v>
      </c>
      <c r="EO91" s="59">
        <f ca="1">AVERAGE(OFFSET($EN$3,0,0,'Données projet'!$E$15+1,1))-AVERAGE(OFFSET($H$3,0,0,'Données projet'!$E$15+1,1))</f>
        <v>420.38735944595965</v>
      </c>
      <c r="EP91" s="59">
        <f t="shared" si="100"/>
        <v>200.0823542414671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6.0871516225597695</v>
      </c>
      <c r="EW91" s="21">
        <f>EXP(-LN(2)/25)*EW90+(1-EXP(-LN(2)/25))/(LN(2)/25)*Calculateur!ER91*Calculateur!ET91*VLOOKUP('Données projet'!$B$15,Paramètres!$A$1:$I$89,3,0)*0.475*44/12</f>
        <v>35.475188804142768</v>
      </c>
      <c r="EX91" s="21">
        <f>EXP(-LN(2)/2)*EX90+(1-EXP(-LN(2)/2))/(LN(2)/2)*ER91*EU91*VLOOKUP('Données projet'!$B$15,Paramètres!$A$1:$I$89,3,0)*0.475*44/12</f>
        <v>1.9513502357699608</v>
      </c>
      <c r="EY91" s="22">
        <f t="shared" si="75"/>
        <v>43.513690662472492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9.2740000000000009</v>
      </c>
      <c r="FE91" s="12">
        <f>IF('Données projet'!$A$218&gt;35,FE90+FD91-FM90,IF(A91&lt;'Données projet'!$A$218,$FB$205^A91,IF(A91='Données projet'!$A$218,'Données projet'!$B$218,FE90+FD91-FM90)))</f>
        <v>302.49999999999989</v>
      </c>
      <c r="FF91" s="17">
        <f>FE91*VLOOKUP('Données projet'!$B$16,Paramètres!$A$1:$I$89,3,0)*VLOOKUP('Données projet'!$B$16,Paramètres!$A$1:$I$89,5,0)</f>
        <v>325.61099999999988</v>
      </c>
      <c r="FG91" s="13">
        <f t="shared" si="101"/>
        <v>76.519647625515432</v>
      </c>
      <c r="FH91" s="20">
        <f t="shared" si="76"/>
        <v>700.3775446144391</v>
      </c>
      <c r="FI91" s="59">
        <f t="shared" si="77"/>
        <v>993.71087794777236</v>
      </c>
      <c r="FJ91" s="59">
        <f ca="1">AVERAGE(OFFSET($FI$3,0,0,'Données projet'!$E$16+1,1))-AVERAGE(OFFSET($H$3,0,0,'Données projet'!$E$16+1,1))</f>
        <v>415.8741608506952</v>
      </c>
      <c r="FK91" s="59">
        <f t="shared" si="102"/>
        <v>259.15848913719356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27.272663808562232</v>
      </c>
      <c r="FR91" s="21">
        <f>EXP(-LN(2)/25)*FR90+(1-EXP(-LN(2)/25))/(LN(2)/25)*Calculateur!FM91*Calculateur!FO91*VLOOKUP('Données projet'!$B$16,Paramètres!$A$1:$I$89,3,0)*0.475*44/12</f>
        <v>25.981647720602041</v>
      </c>
      <c r="FS91" s="21">
        <f>EXP(-LN(2)/2)*FS90+(1-EXP(-LN(2)/2))/(LN(2)/2)*FM91*FP91*VLOOKUP('Données projet'!$B$16,Paramètres!$A$1:$I$89,3,0)*0.475*44/12</f>
        <v>0.94934572192664646</v>
      </c>
      <c r="FT91" s="22">
        <f t="shared" si="78"/>
        <v>54.203657251090917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9.2740000000000009</v>
      </c>
      <c r="FZ91" s="12">
        <f>IF('Données projet'!$A$244&gt;35,FZ90+FY91-GH90,IF(A91&lt;'Données projet'!$A$244,$FW$205^A91,IF(A91='Données projet'!$A$244,'Données projet'!$B$244,FZ90+FY91-GH90)))</f>
        <v>302.49999999999989</v>
      </c>
      <c r="GA91" s="17">
        <f>FZ91*VLOOKUP('Données projet'!$B$17,Paramètres!$A$1:$I$89,3,0)*VLOOKUP('Données projet'!$B$17,Paramètres!$A$1:$I$89,5,0)</f>
        <v>259.5449999999999</v>
      </c>
      <c r="GB91" s="13">
        <f t="shared" si="103"/>
        <v>62.625380458501681</v>
      </c>
      <c r="GC91" s="20">
        <f t="shared" si="79"/>
        <v>561.11341263189024</v>
      </c>
      <c r="GD91" s="59">
        <f t="shared" si="80"/>
        <v>854.4467459652235</v>
      </c>
      <c r="GE91" s="59">
        <f ca="1">AVERAGE(OFFSET($GD$3,0,0,'Données projet'!$E$17+1,1))-AVERAGE(OFFSET($H$3,0,0,'Données projet'!$E$17+1,1))</f>
        <v>322.39807389980882</v>
      </c>
      <c r="GF91" s="59">
        <f t="shared" si="104"/>
        <v>202.59410055732792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26.794679811917398</v>
      </c>
      <c r="GM91" s="21">
        <f>EXP(-LN(2)/25)*GM90+(1-EXP(-LN(2)/25))/(LN(2)/25)*Calculateur!GH91*Calculateur!GJ91*VLOOKUP('Données projet'!$B$17,Paramètres!$A$1:$I$89,3,0)*0.475*44/12</f>
        <v>25.526290227689568</v>
      </c>
      <c r="GN91" s="21">
        <f>EXP(-LN(2)/2)*GN90+(1-EXP(-LN(2)/2))/(LN(2)/2)*GH91*GK91*VLOOKUP('Données projet'!$B$17,Paramètres!$A$1:$I$89,3,0)*0.475*44/12</f>
        <v>0.75672485081109464</v>
      </c>
      <c r="GO91" s="21">
        <f t="shared" si="81"/>
        <v>53.077694890418059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32.627399999999923</v>
      </c>
      <c r="D92" s="11">
        <f t="shared" si="86"/>
        <v>10.021980028314196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329.22328442909151</v>
      </c>
      <c r="H92" s="67">
        <f t="shared" si="56"/>
        <v>367.61433688264708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9.4258333333333351</v>
      </c>
      <c r="N92" s="13">
        <f>IF('Données projet'!$A$36&gt;35,N91+M92-V91,IF(A92&lt;'Données projet'!$A$36,$K$205^A92,IF(A92='Données projet'!$A$36,'Données projet'!$B$36,N91+M92-V91)))</f>
        <v>353.09166666666681</v>
      </c>
      <c r="O92" s="13">
        <f>N92*VLOOKUP('Données projet'!$B$9,Paramètres!$A$1:$I$89,3,0)*VLOOKUP('Données projet'!$B$9,Paramètres!$A$1:$I$89,5,0)</f>
        <v>165.24690000000007</v>
      </c>
      <c r="P92" s="13">
        <f t="shared" si="87"/>
        <v>42.023736751793869</v>
      </c>
      <c r="Q92" s="20">
        <f t="shared" si="54"/>
        <v>360.99635900937443</v>
      </c>
      <c r="R92" s="59">
        <f t="shared" si="55"/>
        <v>654.32969234270774</v>
      </c>
      <c r="S92" s="59">
        <f ca="1">AVERAGE(OFFSET($R$3,0,0,'Données projet'!$E$9+1,1))-AVERAGE(OFFSET($H$3,0,0,'Données projet'!$E$9+1,1))</f>
        <v>215.77907571824977</v>
      </c>
      <c r="T92" s="59">
        <f t="shared" si="88"/>
        <v>174.69390149594869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51.013165516940568</v>
      </c>
      <c r="AA92" s="21">
        <f>EXP(-LN(2)/25)*AA91+(1-EXP(-LN(2)/25))/(LN(2)/25)*Calculateur!V92*Calculateur!X92*VLOOKUP('Données projet'!$B$9,Paramètres!$A$1:$I$89,3,0)*0.475*44/12</f>
        <v>18.561174118849966</v>
      </c>
      <c r="AB92" s="21">
        <f>EXP(-LN(2)/2)*AB91+(1-EXP(-LN(2)/2))/(LN(2)/2)*V92*Y92*VLOOKUP('Données projet'!$B$9,Paramètres!$A$1:$I$89,3,0)*0.475*44/12</f>
        <v>4.9816558547111338</v>
      </c>
      <c r="AC92" s="22">
        <f t="shared" si="57"/>
        <v>74.555995490501672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-1.0197709343628959E-13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171.701352621833</v>
      </c>
      <c r="AO92" s="59">
        <f t="shared" si="90"/>
        <v>195.58435749168586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59.88587139857453</v>
      </c>
      <c r="AV92" s="21">
        <f>EXP(-LN(2)/25)*AV91+(1-EXP(-LN(2)/25))/(LN(2)/25)*Calculateur!AQ92*Calculateur!AS92*VLOOKUP('Données projet'!$B$10,Paramètres!$A$1:$I$89,3,0)*0.475*44/12</f>
        <v>17.681598973893909</v>
      </c>
      <c r="AW92" s="21">
        <f>EXP(-LN(2)/2)*AW91+(1-EXP(-LN(2)/2))/(LN(2)/2)*AQ92*AT92*VLOOKUP('Données projet'!$B$10,Paramètres!$A$1:$I$89,3,0)*0.475*44/12</f>
        <v>3.8599921863476257E-3</v>
      </c>
      <c r="AX92" s="21">
        <f t="shared" si="60"/>
        <v>77.571330364654784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-1.1823431123048067E-13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348.29124901999882</v>
      </c>
      <c r="BJ92" s="59">
        <f t="shared" si="92"/>
        <v>284.30034973939053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181.84719748936266</v>
      </c>
      <c r="BQ92" s="21">
        <f>EXP(-LN(2)/25)*BQ91+(1-EXP(-LN(2)/25))/(LN(2)/25)*Calculateur!BL92*Calculateur!BN92*VLOOKUP('Données projet'!$B$11,Paramètres!$A$1:$I$89,3,0)*0.475*44/12</f>
        <v>60.605855251362172</v>
      </c>
      <c r="BR92" s="21">
        <f>EXP(-LN(2)/2)*BR91+(1-EXP(-LN(2)/2))/(LN(2)/2)*BL92*BO92*VLOOKUP('Données projet'!$B$11,Paramètres!$A$1:$I$89,3,0)*0.475*44/12</f>
        <v>3.7285302704453813</v>
      </c>
      <c r="BS92" s="22">
        <f t="shared" si="63"/>
        <v>246.18158301117023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6.3513333333333337</v>
      </c>
      <c r="BY92" s="12">
        <f>IF('Données projet'!$A$114&gt;35,BY91+BX92-CG91,IF(A92&lt;'Données projet'!$A$114,$BV$205^A92,IF(A92='Données projet'!$A$114,'Données projet'!$B$114,BY91+BX92-CG91)))</f>
        <v>287.95866666666655</v>
      </c>
      <c r="BZ92" s="13">
        <f>BY92*VLOOKUP('Données projet'!$B$12,Paramètres!$A$1:$I$89,3,0)*VLOOKUP('Données projet'!$B$12,Paramètres!$A$1:$I$89,5,0)</f>
        <v>172.19928266666662</v>
      </c>
      <c r="CA92" s="13">
        <f t="shared" si="93"/>
        <v>43.582220647147125</v>
      </c>
      <c r="CB92" s="20">
        <f t="shared" si="64"/>
        <v>375.81945160489227</v>
      </c>
      <c r="CC92" s="59">
        <f t="shared" si="65"/>
        <v>669.15278493822552</v>
      </c>
      <c r="CD92" s="59">
        <f ca="1">AVERAGE(OFFSET($CC$3,0,0,'Données projet'!$E$12+1,1))-AVERAGE(OFFSET($H$3,0,0,'Données projet'!$E$12+1,1))</f>
        <v>185.82627135915504</v>
      </c>
      <c r="CE92" s="59">
        <f t="shared" si="94"/>
        <v>155.46126452522037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23.706939418630949</v>
      </c>
      <c r="CL92" s="21">
        <f>EXP(-LN(2)/25)*CL91+(1-EXP(-LN(2)/25))/(LN(2)/25)*Calculateur!CG92*Calculateur!CI92*VLOOKUP('Données projet'!$B$12,Paramètres!$A$1:$I$89,3,0)*0.475*44/12</f>
        <v>8.8159008726866421</v>
      </c>
      <c r="CM92" s="21">
        <f>EXP(-LN(2)/2)*CM91+(1-EXP(-LN(2)/2))/(LN(2)/2)*CG92*CJ92*VLOOKUP('Données projet'!$B$12,Paramètres!$A$1:$I$89,3,0)*0.475*44/12</f>
        <v>8.0288328029415337E-2</v>
      </c>
      <c r="CN92" s="22">
        <f t="shared" si="66"/>
        <v>32.603128619347011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1.5461538461538467</v>
      </c>
      <c r="CT92" s="12">
        <f>IF('Données projet'!$A$140&gt;35,CT91+CS92-DB91,IF(A92&lt;'Données projet'!$A$140,$CQ$205^A92,IF(A92='Données projet'!$A$140,'Données projet'!$B$140,CT91+CS92-DB91)))</f>
        <v>108.2999999999999</v>
      </c>
      <c r="CU92" s="17">
        <f>CT92*VLOOKUP('Données projet'!$B$13,Paramètres!$A$1:$I$89,3,0)*VLOOKUP('Données projet'!$B$13,Paramètres!$A$1:$I$89,5,0)</f>
        <v>124.76159999999987</v>
      </c>
      <c r="CV92" s="13">
        <f t="shared" si="95"/>
        <v>32.783036682836567</v>
      </c>
      <c r="CW92" s="20">
        <f t="shared" si="67"/>
        <v>274.39024222260673</v>
      </c>
      <c r="CX92" s="59">
        <f t="shared" si="68"/>
        <v>567.72357555593999</v>
      </c>
      <c r="CY92" s="59">
        <f ca="1">AVERAGE(OFFSET($CX$3,0,0,'Données projet'!$E$13+1,1))-AVERAGE(OFFSET($H$3,0,0,'Données projet'!$E$13+1,1))</f>
        <v>150.78964413039063</v>
      </c>
      <c r="CZ92" s="59">
        <f t="shared" si="96"/>
        <v>131.90332435966184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5.4995376383812484</v>
      </c>
      <c r="DG92" s="21">
        <f>EXP(-LN(2)/25)*DG91+(1-EXP(-LN(2)/25))/(LN(2)/25)*Calculateur!DB92*Calculateur!DD92*VLOOKUP('Données projet'!$B$13,Paramètres!$A$1:$I$89,3,0)*0.475*44/12</f>
        <v>2.774094411317948</v>
      </c>
      <c r="DH92" s="21">
        <f>EXP(-LN(2)/2)*DH91+(1-EXP(-LN(2)/2))/(LN(2)/2)*DB92*DE92*VLOOKUP('Données projet'!$B$13,Paramètres!$A$1:$I$89,3,0)*0.475*44/12</f>
        <v>7.9773504990160629E-2</v>
      </c>
      <c r="DI92" s="22">
        <f t="shared" si="69"/>
        <v>8.353405554689358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1.5384615384615388</v>
      </c>
      <c r="DO92" s="12">
        <f>IF('Données projet'!$A$166&gt;35,DO91+DN92-DW91,IF(A92&lt;'Données projet'!$A$166,$DL$205^A92,IF(A92='Données projet'!$A$166,'Données projet'!$B$166,DO91+DN92-DW91)))</f>
        <v>106.79487179487178</v>
      </c>
      <c r="DP92" s="17">
        <f>DO92*VLOOKUP('Données projet'!$B$14,Paramètres!$A$1:$I$89,3,0)*VLOOKUP('Données projet'!$B$14,Paramètres!$A$1:$I$89,5,0)</f>
        <v>111.62199999999999</v>
      </c>
      <c r="DQ92" s="13">
        <f t="shared" si="97"/>
        <v>29.712814248796512</v>
      </c>
      <c r="DR92" s="20">
        <f t="shared" si="70"/>
        <v>246.15813481665387</v>
      </c>
      <c r="DS92" s="59">
        <f t="shared" si="71"/>
        <v>539.49146814998721</v>
      </c>
      <c r="DT92" s="59">
        <f ca="1">AVERAGE(OFFSET($DS$3,0,0,'Données projet'!$E$14+1,1))-AVERAGE(OFFSET($H$3,0,0,'Données projet'!$E$14+1,1))</f>
        <v>110.10595934547638</v>
      </c>
      <c r="DU92" s="59">
        <f t="shared" si="98"/>
        <v>131.10971921141493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9.2253220133126401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9.2253220133126401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6.7600000000000007</v>
      </c>
      <c r="EJ92" s="12">
        <f>IF('Données projet'!$A$192&gt;35,EJ91+EI92-ER91,IF(A92&lt;'Données projet'!$A$192,$EG$205^A92,IF(A92='Données projet'!$A$192,'Données projet'!$B$192,EJ91+EI92-ER91)))</f>
        <v>212.00999999999993</v>
      </c>
      <c r="EK92" s="17">
        <f>EJ92*VLOOKUP('Données projet'!$B$15,Paramètres!$A$1:$I$89,3,0)*VLOOKUP('Données projet'!$B$15,Paramètres!$A$1:$I$89,5,0)</f>
        <v>214.97813999999997</v>
      </c>
      <c r="EL92" s="13">
        <f t="shared" si="99"/>
        <v>53.021946755647264</v>
      </c>
      <c r="EM92" s="20">
        <f t="shared" si="73"/>
        <v>466.76681776608552</v>
      </c>
      <c r="EN92" s="59">
        <f t="shared" si="74"/>
        <v>760.10015109941878</v>
      </c>
      <c r="EO92" s="59">
        <f ca="1">AVERAGE(OFFSET($EN$3,0,0,'Données projet'!$E$15+1,1))-AVERAGE(OFFSET($H$3,0,0,'Données projet'!$E$15+1,1))</f>
        <v>420.38735944595965</v>
      </c>
      <c r="EP92" s="59">
        <f t="shared" si="100"/>
        <v>200.0823542414671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5.9677862920372542</v>
      </c>
      <c r="EW92" s="21">
        <f>EXP(-LN(2)/25)*EW91+(1-EXP(-LN(2)/25))/(LN(2)/25)*Calculateur!ER92*Calculateur!ET92*VLOOKUP('Données projet'!$B$15,Paramètres!$A$1:$I$89,3,0)*0.475*44/12</f>
        <v>34.505117900734383</v>
      </c>
      <c r="EX92" s="21">
        <f>EXP(-LN(2)/2)*EX91+(1-EXP(-LN(2)/2))/(LN(2)/2)*ER92*EU92*VLOOKUP('Données projet'!$B$15,Paramètres!$A$1:$I$89,3,0)*0.475*44/12</f>
        <v>1.3798129841829077</v>
      </c>
      <c r="EY92" s="22">
        <f t="shared" si="75"/>
        <v>41.852717176954542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9.2740000000000009</v>
      </c>
      <c r="FE92" s="12">
        <f>IF('Données projet'!$A$218&gt;35,FE91+FD92-FM91,IF(A92&lt;'Données projet'!$A$218,$FB$205^A92,IF(A92='Données projet'!$A$218,'Données projet'!$B$218,FE91+FD92-FM91)))</f>
        <v>311.77399999999989</v>
      </c>
      <c r="FF92" s="17">
        <f>FE92*VLOOKUP('Données projet'!$B$16,Paramètres!$A$1:$I$89,3,0)*VLOOKUP('Données projet'!$B$16,Paramètres!$A$1:$I$89,5,0)</f>
        <v>335.59353359999983</v>
      </c>
      <c r="FG92" s="13">
        <f t="shared" si="101"/>
        <v>78.588852527390316</v>
      </c>
      <c r="FH92" s="20">
        <f t="shared" si="76"/>
        <v>721.36765583853776</v>
      </c>
      <c r="FI92" s="59">
        <f t="shared" si="77"/>
        <v>1014.700989171871</v>
      </c>
      <c r="FJ92" s="59">
        <f ca="1">AVERAGE(OFFSET($FI$3,0,0,'Données projet'!$E$16+1,1))-AVERAGE(OFFSET($H$3,0,0,'Données projet'!$E$16+1,1))</f>
        <v>415.8741608506952</v>
      </c>
      <c r="FK92" s="59">
        <f t="shared" si="102"/>
        <v>259.15848913719356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26.73786350595871</v>
      </c>
      <c r="FR92" s="21">
        <f>EXP(-LN(2)/25)*FR91+(1-EXP(-LN(2)/25))/(LN(2)/25)*Calculateur!FM92*Calculateur!FO92*VLOOKUP('Données projet'!$B$16,Paramètres!$A$1:$I$89,3,0)*0.475*44/12</f>
        <v>25.271178197366705</v>
      </c>
      <c r="FS92" s="21">
        <f>EXP(-LN(2)/2)*FS91+(1-EXP(-LN(2)/2))/(LN(2)/2)*FM92*FP92*VLOOKUP('Données projet'!$B$16,Paramètres!$A$1:$I$89,3,0)*0.475*44/12</f>
        <v>0.67128879766477023</v>
      </c>
      <c r="FT92" s="22">
        <f t="shared" si="78"/>
        <v>52.680330500990188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9.2740000000000009</v>
      </c>
      <c r="FZ92" s="12">
        <f>IF('Données projet'!$A$244&gt;35,FZ91+FY92-GH91,IF(A92&lt;'Données projet'!$A$244,$FW$205^A92,IF(A92='Données projet'!$A$244,'Données projet'!$B$244,FZ91+FY92-GH91)))</f>
        <v>311.77399999999989</v>
      </c>
      <c r="GA92" s="17">
        <f>FZ92*VLOOKUP('Données projet'!$B$17,Paramètres!$A$1:$I$89,3,0)*VLOOKUP('Données projet'!$B$17,Paramètres!$A$1:$I$89,5,0)</f>
        <v>267.50209199999995</v>
      </c>
      <c r="GB92" s="13">
        <f t="shared" si="103"/>
        <v>64.318863743483519</v>
      </c>
      <c r="GC92" s="20">
        <f t="shared" si="79"/>
        <v>577.92149791990039</v>
      </c>
      <c r="GD92" s="59">
        <f t="shared" si="80"/>
        <v>871.25483125323376</v>
      </c>
      <c r="GE92" s="59">
        <f ca="1">AVERAGE(OFFSET($GD$3,0,0,'Données projet'!$E$17+1,1))-AVERAGE(OFFSET($H$3,0,0,'Données projet'!$E$17+1,1))</f>
        <v>322.39807389980882</v>
      </c>
      <c r="GF92" s="59">
        <f t="shared" si="104"/>
        <v>202.59410055732792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26.26925248394663</v>
      </c>
      <c r="GM92" s="21">
        <f>EXP(-LN(2)/25)*GM91+(1-EXP(-LN(2)/25))/(LN(2)/25)*Calculateur!GH92*Calculateur!GJ92*VLOOKUP('Données projet'!$B$17,Paramètres!$A$1:$I$89,3,0)*0.475*44/12</f>
        <v>24.828272479044134</v>
      </c>
      <c r="GN92" s="21">
        <f>EXP(-LN(2)/2)*GN91+(1-EXP(-LN(2)/2))/(LN(2)/2)*GH92*GK92*VLOOKUP('Données projet'!$B$17,Paramètres!$A$1:$I$89,3,0)*0.475*44/12</f>
        <v>0.53508527350090351</v>
      </c>
      <c r="GO92" s="21">
        <f t="shared" si="81"/>
        <v>51.632610236491665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32.993999999999922</v>
      </c>
      <c r="D93" s="11">
        <f t="shared" si="86"/>
        <v>10.121414351623114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332.82074236340594</v>
      </c>
      <c r="H93" s="67">
        <f t="shared" si="56"/>
        <v>368.4260133290768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9.4258333333333351</v>
      </c>
      <c r="N93" s="13">
        <f>IF('Données projet'!$A$36&gt;35,N92+M93-V92,IF(A93&lt;'Données projet'!$A$36,$K$205^A93,IF(A93='Données projet'!$A$36,'Données projet'!$B$36,N92+M93-V92)))</f>
        <v>362.51750000000015</v>
      </c>
      <c r="O93" s="13">
        <f>N93*VLOOKUP('Données projet'!$B$9,Paramètres!$A$1:$I$89,3,0)*VLOOKUP('Données projet'!$B$9,Paramètres!$A$1:$I$89,5,0)</f>
        <v>169.65819000000005</v>
      </c>
      <c r="P93" s="13">
        <f t="shared" si="87"/>
        <v>43.013460550801888</v>
      </c>
      <c r="Q93" s="20">
        <f t="shared" si="54"/>
        <v>370.40312470931332</v>
      </c>
      <c r="R93" s="59">
        <f t="shared" si="55"/>
        <v>663.73645804264663</v>
      </c>
      <c r="S93" s="59">
        <f ca="1">AVERAGE(OFFSET($R$3,0,0,'Données projet'!$E$9+1,1))-AVERAGE(OFFSET($H$3,0,0,'Données projet'!$E$9+1,1))</f>
        <v>215.77907571824977</v>
      </c>
      <c r="T93" s="59">
        <f t="shared" si="88"/>
        <v>174.69390149594869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50.012828456111983</v>
      </c>
      <c r="AA93" s="21">
        <f>EXP(-LN(2)/25)*AA92+(1-EXP(-LN(2)/25))/(LN(2)/25)*Calculateur!V93*Calculateur!X93*VLOOKUP('Données projet'!$B$9,Paramètres!$A$1:$I$89,3,0)*0.475*44/12</f>
        <v>18.053617836480289</v>
      </c>
      <c r="AB93" s="21">
        <f>EXP(-LN(2)/2)*AB92+(1-EXP(-LN(2)/2))/(LN(2)/2)*V93*Y93*VLOOKUP('Données projet'!$B$9,Paramètres!$A$1:$I$89,3,0)*0.475*44/12</f>
        <v>3.5225626364039093</v>
      </c>
      <c r="AC93" s="22">
        <f t="shared" si="57"/>
        <v>71.589008928996179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-1.0197709343628959E-13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171.701352621833</v>
      </c>
      <c r="AO93" s="59">
        <f t="shared" si="90"/>
        <v>195.58435749168586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58.711545987223317</v>
      </c>
      <c r="AV93" s="21">
        <f>EXP(-LN(2)/25)*AV92+(1-EXP(-LN(2)/25))/(LN(2)/25)*Calculateur!AQ93*Calculateur!AS93*VLOOKUP('Données projet'!$B$10,Paramètres!$A$1:$I$89,3,0)*0.475*44/12</f>
        <v>17.198094720117901</v>
      </c>
      <c r="AW93" s="21">
        <f>EXP(-LN(2)/2)*AW92+(1-EXP(-LN(2)/2))/(LN(2)/2)*AQ93*AT93*VLOOKUP('Données projet'!$B$10,Paramètres!$A$1:$I$89,3,0)*0.475*44/12</f>
        <v>2.729426650293494E-3</v>
      </c>
      <c r="AX93" s="21">
        <f t="shared" si="60"/>
        <v>75.912370133991516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-1.1823431123048067E-13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348.29124901999882</v>
      </c>
      <c r="BJ93" s="59">
        <f t="shared" si="92"/>
        <v>284.30034973939053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178.28128486243469</v>
      </c>
      <c r="BQ93" s="21">
        <f>EXP(-LN(2)/25)*BQ92+(1-EXP(-LN(2)/25))/(LN(2)/25)*Calculateur!BL93*Calculateur!BN93*VLOOKUP('Données projet'!$B$11,Paramètres!$A$1:$I$89,3,0)*0.475*44/12</f>
        <v>58.948584952390263</v>
      </c>
      <c r="BR93" s="21">
        <f>EXP(-LN(2)/2)*BR92+(1-EXP(-LN(2)/2))/(LN(2)/2)*BL93*BO93*VLOOKUP('Données projet'!$B$11,Paramètres!$A$1:$I$89,3,0)*0.475*44/12</f>
        <v>2.6364690380912412</v>
      </c>
      <c r="BS93" s="22">
        <f t="shared" si="63"/>
        <v>239.86633885291619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294.31</v>
      </c>
      <c r="BW93" s="12">
        <f>VLOOKUP(A93,'Données projet'!$A$113:$I$133,9,0)</f>
        <v>6.3513333333333337</v>
      </c>
      <c r="BX93" s="12">
        <f t="array" ref="BX93">INDEX(BW:BW,MIN(IF(ISNUMBER(BW93:BW289),ROW(BW93:BW289),"")))</f>
        <v>6.3513333333333337</v>
      </c>
      <c r="BY93" s="12">
        <f>IF('Données projet'!$A$114&gt;35,BY92+BX93-CG92,IF(A93&lt;'Données projet'!$A$114,$BV$205^A93,IF(A93='Données projet'!$A$114,'Données projet'!$B$114,BY92+BX93-CG92)))</f>
        <v>294.30999999999989</v>
      </c>
      <c r="BZ93" s="13">
        <f>BY93*VLOOKUP('Données projet'!$B$12,Paramètres!$A$1:$I$89,3,0)*VLOOKUP('Données projet'!$B$12,Paramètres!$A$1:$I$89,5,0)</f>
        <v>175.99737999999996</v>
      </c>
      <c r="CA93" s="13">
        <f t="shared" si="93"/>
        <v>44.430514830235261</v>
      </c>
      <c r="CB93" s="20">
        <f t="shared" si="64"/>
        <v>383.91191682932634</v>
      </c>
      <c r="CC93" s="59">
        <f t="shared" si="65"/>
        <v>677.24525016265966</v>
      </c>
      <c r="CD93" s="59">
        <f ca="1">AVERAGE(OFFSET($CC$3,0,0,'Données projet'!$E$12+1,1))-AVERAGE(OFFSET($H$3,0,0,'Données projet'!$E$12+1,1))</f>
        <v>185.82627135915504</v>
      </c>
      <c r="CE93" s="59">
        <f t="shared" si="94"/>
        <v>155.46126452522037</v>
      </c>
      <c r="CF93" s="15">
        <f>IF(ISNA(VLOOKUP(A93,'Données projet'!$A$113:$I$133,3,0)),0,VLOOKUP(A93,'Données projet'!$A$113:$I$133,3,0))</f>
        <v>4</v>
      </c>
      <c r="CG93" s="15">
        <f>IF(ISNA(VLOOKUP(A93,'Données projet'!$A$113:$I$133,4,0)),0,VLOOKUP(A93,'Données projet'!$A$113:$I$133,4,0))</f>
        <v>66.27000000000001</v>
      </c>
      <c r="CH93" s="16">
        <f>IF(ISNA(VLOOKUP(A93,'Données projet'!$A$113:$I$133,5,0)),0%,VLOOKUP(A93,'Données projet'!$A$113:$I$133,5,0)*VLOOKUP('Données projet'!$B$12,Paramètres!$A$1:$I$89,7,0))</f>
        <v>0.27</v>
      </c>
      <c r="CI93" s="16">
        <f>IF(ISNA(VLOOKUP(A93,'Données projet'!$A$113:$I$133,6,0)),0%,VLOOKUP(A93,'Données projet'!$A$113:$I$133,6,0)*VLOOKUP('Données projet'!$B$12,Paramètres!$A$1:$I$89,7,0))</f>
        <v>9.0000000000000011E-2</v>
      </c>
      <c r="CJ93" s="16">
        <f>IF(ISNA(VLOOKUP(A93,'Données projet'!$A$113:$I$133,7,0)),0%,VLOOKUP(A93,'Données projet'!$A$113:$I$133,7,0))</f>
        <v>0.2</v>
      </c>
      <c r="CK93" s="21">
        <f>EXP(-LN(2)/35)*CK92+(1-EXP(-LN(2)/35))/(LN(2)/35)*CG93*CH93*VLOOKUP('Données projet'!$B$12,Paramètres!$A$1:$I$89,3,0)*0.475*44/12</f>
        <v>37.436239712987877</v>
      </c>
      <c r="CL93" s="21">
        <f>EXP(-LN(2)/25)*CL92+(1-EXP(-LN(2)/25))/(LN(2)/25)*Calculateur!CG93*Calculateur!CI93*VLOOKUP('Données projet'!$B$12,Paramètres!$A$1:$I$89,3,0)*0.475*44/12</f>
        <v>13.287593274965076</v>
      </c>
      <c r="CM93" s="21">
        <f>EXP(-LN(2)/2)*CM92+(1-EXP(-LN(2)/2))/(LN(2)/2)*CG93*CJ93*VLOOKUP('Données projet'!$B$12,Paramètres!$A$1:$I$89,3,0)*0.475*44/12</f>
        <v>9.0307233303063672</v>
      </c>
      <c r="CN93" s="22">
        <f t="shared" si="66"/>
        <v>59.754556318259318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109.84615384615385</v>
      </c>
      <c r="CR93" s="12">
        <f>VLOOKUP(A93,'Données projet'!$A$139:$I$159,9,0)</f>
        <v>1.5461538461538467</v>
      </c>
      <c r="CS93" s="12">
        <f t="array" ref="CS93">INDEX(CR:CR,MIN(IF(ISNUMBER(CR93:CR289),ROW(CR93:CR289),"")))</f>
        <v>1.5461538461538467</v>
      </c>
      <c r="CT93" s="12">
        <f>IF('Données projet'!$A$140&gt;35,CT92+CS93-DB92,IF(A93&lt;'Données projet'!$A$140,$CQ$205^A93,IF(A93='Données projet'!$A$140,'Données projet'!$B$140,CT92+CS93-DB92)))</f>
        <v>109.84615384615374</v>
      </c>
      <c r="CU93" s="17">
        <f>CT93*VLOOKUP('Données projet'!$B$13,Paramètres!$A$1:$I$89,3,0)*VLOOKUP('Données projet'!$B$13,Paramètres!$A$1:$I$89,5,0)</f>
        <v>126.5427692307691</v>
      </c>
      <c r="CV93" s="13">
        <f t="shared" si="95"/>
        <v>33.196245933538385</v>
      </c>
      <c r="CW93" s="20">
        <f t="shared" si="67"/>
        <v>278.21211807783556</v>
      </c>
      <c r="CX93" s="59">
        <f t="shared" si="68"/>
        <v>571.54545141116887</v>
      </c>
      <c r="CY93" s="59">
        <f ca="1">AVERAGE(OFFSET($CX$3,0,0,'Données projet'!$E$13+1,1))-AVERAGE(OFFSET($H$3,0,0,'Données projet'!$E$13+1,1))</f>
        <v>150.78964413039063</v>
      </c>
      <c r="CZ93" s="59">
        <f t="shared" si="96"/>
        <v>131.90332435966184</v>
      </c>
      <c r="DA93" s="15">
        <f>IF(ISNA(VLOOKUP(A93,'Données projet'!$A$139:$I$159,3,0)),0,VLOOKUP(A93,'Données projet'!$A$139:$I$159,3,0))</f>
        <v>9</v>
      </c>
      <c r="DB93" s="15">
        <f>IF(ISNA(VLOOKUP(A93,'Données projet'!$A$139:$I$159,4,0)),0,VLOOKUP(A93,'Données projet'!$A$139:$I$159,4,0))</f>
        <v>11.846153846153847</v>
      </c>
      <c r="DC93" s="16">
        <f>IF(ISNA(VLOOKUP(A93,'Données projet'!$A$139:$I$159,5,0)),0%,VLOOKUP(A93,'Données projet'!$A$139:$I$159,5,0)*VLOOKUP('Données projet'!$B$13,Paramètres!$A$1:$I$89,7,0))</f>
        <v>0.18000000000000002</v>
      </c>
      <c r="DD93" s="16">
        <f>IF(ISNA(VLOOKUP(A93,'Données projet'!$A$139:$I$159,6,0)),0%,VLOOKUP(A93,'Données projet'!$A$139:$I$159,6,0)*VLOOKUP('Données projet'!$B$13,Paramètres!$A$1:$I$89,7,0))</f>
        <v>9.0000000000000011E-2</v>
      </c>
      <c r="DE93" s="16">
        <f>IF(ISNA(VLOOKUP(A93,'Données projet'!$A$139:$I$159,7,0)),0%,VLOOKUP(A93,'Données projet'!$A$139:$I$159,7,0))</f>
        <v>0.2</v>
      </c>
      <c r="DF93" s="21">
        <f>EXP(-LN(2)/35)*DF92+(1-EXP(-LN(2)/35))/(LN(2)/35)*DB93*DC93*VLOOKUP('Données projet'!$B$13,Paramètres!$A$1:$I$89,3,0)*0.475*44/12</f>
        <v>7.1567686615089672</v>
      </c>
      <c r="DG93" s="21">
        <f>EXP(-LN(2)/25)*DG92+(1-EXP(-LN(2)/25))/(LN(2)/25)*Calculateur!DB93*Calculateur!DD93*VLOOKUP('Données projet'!$B$13,Paramètres!$A$1:$I$89,3,0)*0.475*44/12</f>
        <v>3.5772985710139049</v>
      </c>
      <c r="DH93" s="21">
        <f>EXP(-LN(2)/2)*DH92+(1-EXP(-LN(2)/2))/(LN(2)/2)*DB93*DE93*VLOOKUP('Données projet'!$B$13,Paramètres!$A$1:$I$89,3,0)*0.475*44/12</f>
        <v>1.7303006150006888</v>
      </c>
      <c r="DI93" s="22">
        <f t="shared" si="69"/>
        <v>12.46436784752356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108.33333333333333</v>
      </c>
      <c r="DM93" s="12">
        <f>VLOOKUP(A93,'Données projet'!$A$165:$I$185,9,0)</f>
        <v>1.5384615384615388</v>
      </c>
      <c r="DN93" s="12">
        <f t="array" ref="DN93">INDEX(DM:DM,MIN(IF(ISNUMBER(DM93:DM289),ROW(DM93:DM289),"")))</f>
        <v>1.5384615384615388</v>
      </c>
      <c r="DO93" s="12">
        <f>IF('Données projet'!$A$166&gt;35,DO92+DN93-DW92,IF(A93&lt;'Données projet'!$A$166,$DL$205^A93,IF(A93='Données projet'!$A$166,'Données projet'!$B$166,DO92+DN93-DW92)))</f>
        <v>108.33333333333331</v>
      </c>
      <c r="DP93" s="17">
        <f>DO93*VLOOKUP('Données projet'!$B$14,Paramètres!$A$1:$I$89,3,0)*VLOOKUP('Données projet'!$B$14,Paramètres!$A$1:$I$89,5,0)</f>
        <v>113.22999999999999</v>
      </c>
      <c r="DQ93" s="13">
        <f t="shared" si="97"/>
        <v>30.090711216212455</v>
      </c>
      <c r="DR93" s="20">
        <f t="shared" si="70"/>
        <v>249.61690536823664</v>
      </c>
      <c r="DS93" s="59">
        <f t="shared" si="71"/>
        <v>542.95023870157002</v>
      </c>
      <c r="DT93" s="59">
        <f ca="1">AVERAGE(OFFSET($DS$3,0,0,'Données projet'!$E$14+1,1))-AVERAGE(OFFSET($H$3,0,0,'Données projet'!$E$14+1,1))</f>
        <v>110.10595934547638</v>
      </c>
      <c r="DU93" s="59">
        <f t="shared" si="98"/>
        <v>131.10971921141493</v>
      </c>
      <c r="DV93" s="15">
        <f>IF(ISNA(VLOOKUP(A93,'Données projet'!$A$165:$I$185,3,0)),0,VLOOKUP(A93,'Données projet'!$A$165:$I$185,3,0))</f>
        <v>13</v>
      </c>
      <c r="DW93" s="15">
        <f>IF(ISNA(VLOOKUP(A93,'Données projet'!$A$165:$I$185,4,0)),0,VLOOKUP(A93,'Données projet'!$A$165:$I$185,4,0))</f>
        <v>5.1282051282051277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0.215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10.241983159897657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10.241983159897657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6.7600000000000007</v>
      </c>
      <c r="EJ93" s="12">
        <f>IF('Données projet'!$A$192&gt;35,EJ92+EI93-ER92,IF(A93&lt;'Données projet'!$A$192,$EG$205^A93,IF(A93='Données projet'!$A$192,'Données projet'!$B$192,EJ92+EI93-ER92)))</f>
        <v>218.76999999999992</v>
      </c>
      <c r="EK93" s="17">
        <f>EJ93*VLOOKUP('Données projet'!$B$15,Paramètres!$A$1:$I$89,3,0)*VLOOKUP('Données projet'!$B$15,Paramètres!$A$1:$I$89,5,0)</f>
        <v>221.83277999999993</v>
      </c>
      <c r="EL93" s="13">
        <f t="shared" si="99"/>
        <v>54.513038854982973</v>
      </c>
      <c r="EM93" s="20">
        <f t="shared" si="73"/>
        <v>481.30230117242854</v>
      </c>
      <c r="EN93" s="59">
        <f t="shared" si="74"/>
        <v>774.6356345057618</v>
      </c>
      <c r="EO93" s="59">
        <f ca="1">AVERAGE(OFFSET($EN$3,0,0,'Données projet'!$E$15+1,1))-AVERAGE(OFFSET($H$3,0,0,'Données projet'!$E$15+1,1))</f>
        <v>420.38735944595965</v>
      </c>
      <c r="EP93" s="59">
        <f t="shared" si="100"/>
        <v>200.0823542414671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5.8507616428406228</v>
      </c>
      <c r="EW93" s="21">
        <f>EXP(-LN(2)/25)*EW92+(1-EXP(-LN(2)/25))/(LN(2)/25)*Calculateur!ER93*Calculateur!ET93*VLOOKUP('Données projet'!$B$15,Paramètres!$A$1:$I$89,3,0)*0.475*44/12</f>
        <v>33.561573637193511</v>
      </c>
      <c r="EX93" s="21">
        <f>EXP(-LN(2)/2)*EX92+(1-EXP(-LN(2)/2))/(LN(2)/2)*ER93*EU93*VLOOKUP('Données projet'!$B$15,Paramètres!$A$1:$I$89,3,0)*0.475*44/12</f>
        <v>0.97567511788498051</v>
      </c>
      <c r="EY93" s="22">
        <f t="shared" si="75"/>
        <v>40.388010397919118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9.2740000000000009</v>
      </c>
      <c r="FE93" s="12">
        <f>IF('Données projet'!$A$218&gt;35,FE92+FD93-FM92,IF(A93&lt;'Données projet'!$A$218,$FB$205^A93,IF(A93='Données projet'!$A$218,'Données projet'!$B$218,FE92+FD93-FM92)))</f>
        <v>321.04799999999989</v>
      </c>
      <c r="FF93" s="17">
        <f>FE93*VLOOKUP('Données projet'!$B$16,Paramètres!$A$1:$I$89,3,0)*VLOOKUP('Données projet'!$B$16,Paramètres!$A$1:$I$89,5,0)</f>
        <v>345.57606719999984</v>
      </c>
      <c r="FG93" s="13">
        <f t="shared" si="101"/>
        <v>80.650904240067121</v>
      </c>
      <c r="FH93" s="20">
        <f t="shared" si="76"/>
        <v>742.34530859144991</v>
      </c>
      <c r="FI93" s="59">
        <f t="shared" si="77"/>
        <v>1035.6786419247833</v>
      </c>
      <c r="FJ93" s="59">
        <f ca="1">AVERAGE(OFFSET($FI$3,0,0,'Données projet'!$E$16+1,1))-AVERAGE(OFFSET($H$3,0,0,'Données projet'!$E$16+1,1))</f>
        <v>415.8741608506952</v>
      </c>
      <c r="FK93" s="59">
        <f t="shared" si="102"/>
        <v>259.15848913719356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26.213550311093268</v>
      </c>
      <c r="FR93" s="21">
        <f>EXP(-LN(2)/25)*FR92+(1-EXP(-LN(2)/25))/(LN(2)/25)*Calculateur!FM93*Calculateur!FO93*VLOOKUP('Données projet'!$B$16,Paramètres!$A$1:$I$89,3,0)*0.475*44/12</f>
        <v>24.580136500606208</v>
      </c>
      <c r="FS93" s="21">
        <f>EXP(-LN(2)/2)*FS92+(1-EXP(-LN(2)/2))/(LN(2)/2)*FM93*FP93*VLOOKUP('Données projet'!$B$16,Paramètres!$A$1:$I$89,3,0)*0.475*44/12</f>
        <v>0.47467286096332328</v>
      </c>
      <c r="FT93" s="22">
        <f t="shared" si="78"/>
        <v>51.268359672662797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9.2740000000000009</v>
      </c>
      <c r="FZ93" s="12">
        <f>IF('Données projet'!$A$244&gt;35,FZ92+FY93-GH92,IF(A93&lt;'Données projet'!$A$244,$FW$205^A93,IF(A93='Données projet'!$A$244,'Données projet'!$B$244,FZ92+FY93-GH92)))</f>
        <v>321.04799999999989</v>
      </c>
      <c r="GA93" s="17">
        <f>FZ93*VLOOKUP('Données projet'!$B$17,Paramètres!$A$1:$I$89,3,0)*VLOOKUP('Données projet'!$B$17,Paramètres!$A$1:$I$89,5,0)</f>
        <v>275.45918399999994</v>
      </c>
      <c r="GB93" s="13">
        <f t="shared" si="103"/>
        <v>66.006492699428023</v>
      </c>
      <c r="GC93" s="20">
        <f t="shared" si="79"/>
        <v>594.71938691817036</v>
      </c>
      <c r="GD93" s="59">
        <f t="shared" si="80"/>
        <v>888.05272025150362</v>
      </c>
      <c r="GE93" s="59">
        <f ca="1">AVERAGE(OFFSET($GD$3,0,0,'Données projet'!$E$17+1,1))-AVERAGE(OFFSET($H$3,0,0,'Données projet'!$E$17+1,1))</f>
        <v>322.39807389980882</v>
      </c>
      <c r="GF93" s="59">
        <f t="shared" si="104"/>
        <v>202.59410055732792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25.754128465398345</v>
      </c>
      <c r="GM93" s="21">
        <f>EXP(-LN(2)/25)*GM92+(1-EXP(-LN(2)/25))/(LN(2)/25)*Calculateur!GH93*Calculateur!GJ93*VLOOKUP('Données projet'!$B$17,Paramètres!$A$1:$I$89,3,0)*0.475*44/12</f>
        <v>24.149342062442567</v>
      </c>
      <c r="GN93" s="21">
        <f>EXP(-LN(2)/2)*GN92+(1-EXP(-LN(2)/2))/(LN(2)/2)*GH93*GK93*VLOOKUP('Données projet'!$B$17,Paramètres!$A$1:$I$89,3,0)*0.475*44/12</f>
        <v>0.37836242540554732</v>
      </c>
      <c r="GO93" s="21">
        <f t="shared" si="81"/>
        <v>50.281832953246457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33.36059999999992</v>
      </c>
      <c r="D94" s="11">
        <f t="shared" si="86"/>
        <v>10.220720153537178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336.41720820274253</v>
      </c>
      <c r="H94" s="67">
        <f t="shared" si="56"/>
        <v>369.23746593407708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9.4258333333333351</v>
      </c>
      <c r="N94" s="13">
        <f>IF('Données projet'!$A$36&gt;35,N93+M94-V93,IF(A94&lt;'Données projet'!$A$36,$K$205^A94,IF(A94='Données projet'!$A$36,'Données projet'!$B$36,N93+M94-V93)))</f>
        <v>371.9433333333335</v>
      </c>
      <c r="O94" s="13">
        <f>N94*VLOOKUP('Données projet'!$B$9,Paramètres!$A$1:$I$89,3,0)*VLOOKUP('Données projet'!$B$9,Paramètres!$A$1:$I$89,5,0)</f>
        <v>174.06948000000008</v>
      </c>
      <c r="P94" s="13">
        <f t="shared" si="87"/>
        <v>44.000193101581445</v>
      </c>
      <c r="Q94" s="20">
        <f t="shared" si="54"/>
        <v>379.80468065192116</v>
      </c>
      <c r="R94" s="59">
        <f t="shared" si="55"/>
        <v>673.13801398525447</v>
      </c>
      <c r="S94" s="59">
        <f ca="1">AVERAGE(OFFSET($R$3,0,0,'Données projet'!$E$9+1,1))-AVERAGE(OFFSET($H$3,0,0,'Données projet'!$E$9+1,1))</f>
        <v>215.77907571824977</v>
      </c>
      <c r="T94" s="59">
        <f t="shared" si="88"/>
        <v>174.69390149594869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49.032107394900883</v>
      </c>
      <c r="AA94" s="21">
        <f>EXP(-LN(2)/25)*AA93+(1-EXP(-LN(2)/25))/(LN(2)/25)*Calculateur!V94*Calculateur!X94*VLOOKUP('Données projet'!$B$9,Paramètres!$A$1:$I$89,3,0)*0.475*44/12</f>
        <v>17.559940707343234</v>
      </c>
      <c r="AB94" s="21">
        <f>EXP(-LN(2)/2)*AB93+(1-EXP(-LN(2)/2))/(LN(2)/2)*V94*Y94*VLOOKUP('Données projet'!$B$9,Paramètres!$A$1:$I$89,3,0)*0.475*44/12</f>
        <v>2.4908279273555674</v>
      </c>
      <c r="AC94" s="22">
        <f t="shared" si="57"/>
        <v>69.082876029599689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-1.0197709343628959E-13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171.701352621833</v>
      </c>
      <c r="AO94" s="59">
        <f t="shared" si="90"/>
        <v>195.58435749168586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57.560248380920925</v>
      </c>
      <c r="AV94" s="21">
        <f>EXP(-LN(2)/25)*AV93+(1-EXP(-LN(2)/25))/(LN(2)/25)*Calculateur!AQ94*Calculateur!AS94*VLOOKUP('Données projet'!$B$10,Paramètres!$A$1:$I$89,3,0)*0.475*44/12</f>
        <v>16.727811915587782</v>
      </c>
      <c r="AW94" s="21">
        <f>EXP(-LN(2)/2)*AW93+(1-EXP(-LN(2)/2))/(LN(2)/2)*AQ94*AT94*VLOOKUP('Données projet'!$B$10,Paramètres!$A$1:$I$89,3,0)*0.475*44/12</f>
        <v>1.9299960931738133E-3</v>
      </c>
      <c r="AX94" s="21">
        <f t="shared" si="60"/>
        <v>74.289990292601871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-1.1823431123048067E-13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348.29124901999882</v>
      </c>
      <c r="BJ94" s="59">
        <f t="shared" si="92"/>
        <v>284.30034973939053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174.78529760712885</v>
      </c>
      <c r="BQ94" s="21">
        <f>EXP(-LN(2)/25)*BQ93+(1-EXP(-LN(2)/25))/(LN(2)/25)*Calculateur!BL94*Calculateur!BN94*VLOOKUP('Données projet'!$B$11,Paramètres!$A$1:$I$89,3,0)*0.475*44/12</f>
        <v>57.336632796895799</v>
      </c>
      <c r="BR94" s="21">
        <f>EXP(-LN(2)/2)*BR93+(1-EXP(-LN(2)/2))/(LN(2)/2)*BL94*BO94*VLOOKUP('Données projet'!$B$11,Paramètres!$A$1:$I$89,3,0)*0.475*44/12</f>
        <v>1.8642651352226909</v>
      </c>
      <c r="BS94" s="22">
        <f t="shared" si="63"/>
        <v>233.98619553924735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6.0030000000000001</v>
      </c>
      <c r="BY94" s="12">
        <f>IF('Données projet'!$A$114&gt;35,BY93+BX94-CG93,IF(A94&lt;'Données projet'!$A$114,$BV$205^A94,IF(A94='Données projet'!$A$114,'Données projet'!$B$114,BY93+BX94-CG93)))</f>
        <v>234.04299999999986</v>
      </c>
      <c r="BZ94" s="13">
        <f>BY94*VLOOKUP('Données projet'!$B$12,Paramètres!$A$1:$I$89,3,0)*VLOOKUP('Données projet'!$B$12,Paramètres!$A$1:$I$89,5,0)</f>
        <v>139.95771399999992</v>
      </c>
      <c r="CA94" s="13">
        <f t="shared" si="93"/>
        <v>36.287318195899331</v>
      </c>
      <c r="CB94" s="20">
        <f t="shared" si="64"/>
        <v>306.96009774119119</v>
      </c>
      <c r="CC94" s="59">
        <f t="shared" si="65"/>
        <v>600.29343107452451</v>
      </c>
      <c r="CD94" s="59">
        <f ca="1">AVERAGE(OFFSET($CC$3,0,0,'Données projet'!$E$12+1,1))-AVERAGE(OFFSET($H$3,0,0,'Données projet'!$E$12+1,1))</f>
        <v>185.82627135915504</v>
      </c>
      <c r="CE94" s="59">
        <f t="shared" si="94"/>
        <v>155.46126452522037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36.702137886067753</v>
      </c>
      <c r="CL94" s="21">
        <f>EXP(-LN(2)/25)*CL93+(1-EXP(-LN(2)/25))/(LN(2)/25)*Calculateur!CG94*Calculateur!CI94*VLOOKUP('Données projet'!$B$12,Paramètres!$A$1:$I$89,3,0)*0.475*44/12</f>
        <v>12.924243338096995</v>
      </c>
      <c r="CM94" s="21">
        <f>EXP(-LN(2)/2)*CM93+(1-EXP(-LN(2)/2))/(LN(2)/2)*CG94*CJ94*VLOOKUP('Données projet'!$B$12,Paramètres!$A$1:$I$89,3,0)*0.475*44/12</f>
        <v>6.3856857058791947</v>
      </c>
      <c r="CN94" s="22">
        <f t="shared" si="66"/>
        <v>56.012066930043943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1.3999999999999986</v>
      </c>
      <c r="CT94" s="12">
        <f>IF('Données projet'!$A$140&gt;35,CT93+CS94-DB93,IF(A94&lt;'Données projet'!$A$140,$CQ$205^A94,IF(A94='Données projet'!$A$140,'Données projet'!$B$140,CT93+CS94-DB93)))</f>
        <v>99.399999999999892</v>
      </c>
      <c r="CU94" s="17">
        <f>CT94*VLOOKUP('Données projet'!$B$13,Paramètres!$A$1:$I$89,3,0)*VLOOKUP('Données projet'!$B$13,Paramètres!$A$1:$I$89,5,0)</f>
        <v>114.50879999999987</v>
      </c>
      <c r="CV94" s="13">
        <f t="shared" si="95"/>
        <v>30.390796651730231</v>
      </c>
      <c r="CW94" s="20">
        <f t="shared" si="67"/>
        <v>252.36679750176322</v>
      </c>
      <c r="CX94" s="59">
        <f t="shared" si="68"/>
        <v>545.7001308350965</v>
      </c>
      <c r="CY94" s="59">
        <f ca="1">AVERAGE(OFFSET($CX$3,0,0,'Données projet'!$E$13+1,1))-AVERAGE(OFFSET($H$3,0,0,'Données projet'!$E$13+1,1))</f>
        <v>150.78964413039063</v>
      </c>
      <c r="CZ94" s="59">
        <f t="shared" si="96"/>
        <v>131.90332435966184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7.0164287932546321</v>
      </c>
      <c r="DG94" s="21">
        <f>EXP(-LN(2)/25)*DG93+(1-EXP(-LN(2)/25))/(LN(2)/25)*Calculateur!DB94*Calculateur!DD94*VLOOKUP('Données projet'!$B$13,Paramètres!$A$1:$I$89,3,0)*0.475*44/12</f>
        <v>3.4794771534675739</v>
      </c>
      <c r="DH94" s="21">
        <f>EXP(-LN(2)/2)*DH93+(1-EXP(-LN(2)/2))/(LN(2)/2)*DB94*DE94*VLOOKUP('Données projet'!$B$13,Paramètres!$A$1:$I$89,3,0)*0.475*44/12</f>
        <v>1.2235072983582407</v>
      </c>
      <c r="DI94" s="22">
        <f t="shared" si="69"/>
        <v>11.719413245080448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1.6666666666666656</v>
      </c>
      <c r="DO94" s="12">
        <f>IF('Données projet'!$A$166&gt;35,DO93+DN94-DW93,IF(A94&lt;'Données projet'!$A$166,$DL$205^A94,IF(A94='Données projet'!$A$166,'Données projet'!$B$166,DO93+DN94-DW93)))</f>
        <v>104.87179487179486</v>
      </c>
      <c r="DP94" s="17">
        <f>DO94*VLOOKUP('Données projet'!$B$14,Paramètres!$A$1:$I$89,3,0)*VLOOKUP('Données projet'!$B$14,Paramètres!$A$1:$I$89,5,0)</f>
        <v>109.61199999999999</v>
      </c>
      <c r="DQ94" s="13">
        <f t="shared" si="97"/>
        <v>29.239549955085849</v>
      </c>
      <c r="DR94" s="20">
        <f t="shared" si="70"/>
        <v>241.83311617177449</v>
      </c>
      <c r="DS94" s="59">
        <f t="shared" si="71"/>
        <v>535.16644950510783</v>
      </c>
      <c r="DT94" s="59">
        <f ca="1">AVERAGE(OFFSET($DS$3,0,0,'Données projet'!$E$14+1,1))-AVERAGE(OFFSET($H$3,0,0,'Données projet'!$E$14+1,1))</f>
        <v>110.10595934547638</v>
      </c>
      <c r="DU94" s="59">
        <f t="shared" si="98"/>
        <v>131.10971921141493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9.9619155917877702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9.9619155917877702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6.7600000000000007</v>
      </c>
      <c r="EJ94" s="12">
        <f>IF('Données projet'!$A$192&gt;35,EJ93+EI94-ER93,IF(A94&lt;'Données projet'!$A$192,$EG$205^A94,IF(A94='Données projet'!$A$192,'Données projet'!$B$192,EJ93+EI94-ER93)))</f>
        <v>225.52999999999992</v>
      </c>
      <c r="EK94" s="17">
        <f>EJ94*VLOOKUP('Données projet'!$B$15,Paramètres!$A$1:$I$89,3,0)*VLOOKUP('Données projet'!$B$15,Paramètres!$A$1:$I$89,5,0)</f>
        <v>228.68741999999995</v>
      </c>
      <c r="EL94" s="13">
        <f t="shared" si="99"/>
        <v>55.998776581457236</v>
      </c>
      <c r="EM94" s="20">
        <f t="shared" si="73"/>
        <v>495.82845904603795</v>
      </c>
      <c r="EN94" s="59">
        <f t="shared" si="74"/>
        <v>789.16179237937126</v>
      </c>
      <c r="EO94" s="59">
        <f ca="1">AVERAGE(OFFSET($EN$3,0,0,'Données projet'!$E$15+1,1))-AVERAGE(OFFSET($H$3,0,0,'Données projet'!$E$15+1,1))</f>
        <v>420.38735944595965</v>
      </c>
      <c r="EP94" s="59">
        <f t="shared" si="100"/>
        <v>200.0823542414671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5.7360317756367492</v>
      </c>
      <c r="EW94" s="21">
        <f>EXP(-LN(2)/25)*EW93+(1-EXP(-LN(2)/25))/(LN(2)/25)*Calculateur!ER94*Calculateur!ET94*VLOOKUP('Données projet'!$B$15,Paramètres!$A$1:$I$89,3,0)*0.475*44/12</f>
        <v>32.643830641158004</v>
      </c>
      <c r="EX94" s="21">
        <f>EXP(-LN(2)/2)*EX93+(1-EXP(-LN(2)/2))/(LN(2)/2)*ER94*EU94*VLOOKUP('Données projet'!$B$15,Paramètres!$A$1:$I$89,3,0)*0.475*44/12</f>
        <v>0.68990649209145394</v>
      </c>
      <c r="EY94" s="22">
        <f t="shared" si="75"/>
        <v>39.069768908886203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9.2740000000000009</v>
      </c>
      <c r="FE94" s="12">
        <f>IF('Données projet'!$A$218&gt;35,FE93+FD94-FM93,IF(A94&lt;'Données projet'!$A$218,$FB$205^A94,IF(A94='Données projet'!$A$218,'Données projet'!$B$218,FE93+FD94-FM93)))</f>
        <v>330.32199999999989</v>
      </c>
      <c r="FF94" s="17">
        <f>FE94*VLOOKUP('Données projet'!$B$16,Paramètres!$A$1:$I$89,3,0)*VLOOKUP('Données projet'!$B$16,Paramètres!$A$1:$I$89,5,0)</f>
        <v>355.55860079999985</v>
      </c>
      <c r="FG94" s="13">
        <f t="shared" si="101"/>
        <v>82.706033124655704</v>
      </c>
      <c r="FH94" s="20">
        <f t="shared" si="76"/>
        <v>763.31090408544162</v>
      </c>
      <c r="FI94" s="59">
        <f t="shared" si="77"/>
        <v>1056.644237418775</v>
      </c>
      <c r="FJ94" s="59">
        <f ca="1">AVERAGE(OFFSET($FI$3,0,0,'Données projet'!$E$16+1,1))-AVERAGE(OFFSET($H$3,0,0,'Données projet'!$E$16+1,1))</f>
        <v>415.8741608506952</v>
      </c>
      <c r="FK94" s="59">
        <f t="shared" si="102"/>
        <v>259.15848913719356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25.699518578179667</v>
      </c>
      <c r="FR94" s="21">
        <f>EXP(-LN(2)/25)*FR93+(1-EXP(-LN(2)/25))/(LN(2)/25)*Calculateur!FM94*Calculateur!FO94*VLOOKUP('Données projet'!$B$16,Paramètres!$A$1:$I$89,3,0)*0.475*44/12</f>
        <v>23.907991375383933</v>
      </c>
      <c r="FS94" s="21">
        <f>EXP(-LN(2)/2)*FS93+(1-EXP(-LN(2)/2))/(LN(2)/2)*FM94*FP94*VLOOKUP('Données projet'!$B$16,Paramètres!$A$1:$I$89,3,0)*0.475*44/12</f>
        <v>0.33564439883238517</v>
      </c>
      <c r="FT94" s="22">
        <f t="shared" si="78"/>
        <v>49.943154352395986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9.2740000000000009</v>
      </c>
      <c r="FZ94" s="12">
        <f>IF('Données projet'!$A$244&gt;35,FZ93+FY94-GH93,IF(A94&lt;'Données projet'!$A$244,$FW$205^A94,IF(A94='Données projet'!$A$244,'Données projet'!$B$244,FZ93+FY94-GH93)))</f>
        <v>330.32199999999989</v>
      </c>
      <c r="GA94" s="17">
        <f>FZ94*VLOOKUP('Données projet'!$B$17,Paramètres!$A$1:$I$89,3,0)*VLOOKUP('Données projet'!$B$17,Paramètres!$A$1:$I$89,5,0)</f>
        <v>283.41627599999998</v>
      </c>
      <c r="GB94" s="13">
        <f t="shared" si="103"/>
        <v>67.688455858987908</v>
      </c>
      <c r="GC94" s="20">
        <f t="shared" si="79"/>
        <v>611.50740798773711</v>
      </c>
      <c r="GD94" s="59">
        <f t="shared" si="80"/>
        <v>904.84074132107048</v>
      </c>
      <c r="GE94" s="59">
        <f ca="1">AVERAGE(OFFSET($GD$3,0,0,'Données projet'!$E$17+1,1))-AVERAGE(OFFSET($H$3,0,0,'Données projet'!$E$17+1,1))</f>
        <v>322.39807389980882</v>
      </c>
      <c r="GF94" s="59">
        <f t="shared" si="104"/>
        <v>202.59410055732792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25.249105714659166</v>
      </c>
      <c r="GM94" s="21">
        <f>EXP(-LN(2)/25)*GM93+(1-EXP(-LN(2)/25))/(LN(2)/25)*Calculateur!GH94*Calculateur!GJ94*VLOOKUP('Données projet'!$B$17,Paramètres!$A$1:$I$89,3,0)*0.475*44/12</f>
        <v>23.488977033786369</v>
      </c>
      <c r="GN94" s="21">
        <f>EXP(-LN(2)/2)*GN93+(1-EXP(-LN(2)/2))/(LN(2)/2)*GH94*GK94*VLOOKUP('Données projet'!$B$17,Paramètres!$A$1:$I$89,3,0)*0.475*44/12</f>
        <v>0.26754263675045176</v>
      </c>
      <c r="GO94" s="21">
        <f t="shared" si="81"/>
        <v>49.005625385195984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33.727199999999918</v>
      </c>
      <c r="D95" s="11">
        <f t="shared" si="86"/>
        <v>10.319899009829559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340.01269411096445</v>
      </c>
      <c r="H95" s="67">
        <f t="shared" si="56"/>
        <v>370.04869744211965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9.4258333333333351</v>
      </c>
      <c r="N95" s="13">
        <f>IF('Données projet'!$A$36&gt;35,N94+M95-V94,IF(A95&lt;'Données projet'!$A$36,$K$205^A95,IF(A95='Données projet'!$A$36,'Données projet'!$B$36,N94+M95-V94)))</f>
        <v>381.36916666666684</v>
      </c>
      <c r="O95" s="13">
        <f>N95*VLOOKUP('Données projet'!$B$9,Paramètres!$A$1:$I$89,3,0)*VLOOKUP('Données projet'!$B$9,Paramètres!$A$1:$I$89,5,0)</f>
        <v>178.48077000000009</v>
      </c>
      <c r="P95" s="13">
        <f t="shared" si="87"/>
        <v>44.984018925971618</v>
      </c>
      <c r="Q95" s="20">
        <f t="shared" si="54"/>
        <v>389.20117404606736</v>
      </c>
      <c r="R95" s="59">
        <f t="shared" si="55"/>
        <v>682.53450737940068</v>
      </c>
      <c r="S95" s="59">
        <f ca="1">AVERAGE(OFFSET($R$3,0,0,'Données projet'!$E$9+1,1))-AVERAGE(OFFSET($H$3,0,0,'Données projet'!$E$9+1,1))</f>
        <v>215.77907571824977</v>
      </c>
      <c r="T95" s="59">
        <f t="shared" si="88"/>
        <v>174.69390149594869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48.070617675519351</v>
      </c>
      <c r="AA95" s="21">
        <f>EXP(-LN(2)/25)*AA94+(1-EXP(-LN(2)/25))/(LN(2)/25)*Calculateur!V95*Calculateur!X95*VLOOKUP('Données projet'!$B$9,Paramètres!$A$1:$I$89,3,0)*0.475*44/12</f>
        <v>17.079763205263784</v>
      </c>
      <c r="AB95" s="21">
        <f>EXP(-LN(2)/2)*AB94+(1-EXP(-LN(2)/2))/(LN(2)/2)*V95*Y95*VLOOKUP('Données projet'!$B$9,Paramètres!$A$1:$I$89,3,0)*0.475*44/12</f>
        <v>1.7612813182019549</v>
      </c>
      <c r="AC95" s="22">
        <f t="shared" si="57"/>
        <v>66.911662198985084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-1.0197709343628959E-13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171.701352621833</v>
      </c>
      <c r="AO95" s="59">
        <f t="shared" si="90"/>
        <v>195.58435749168586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56.431527018455924</v>
      </c>
      <c r="AV95" s="21">
        <f>EXP(-LN(2)/25)*AV94+(1-EXP(-LN(2)/25))/(LN(2)/25)*Calculateur!AQ95*Calculateur!AS95*VLOOKUP('Données projet'!$B$10,Paramètres!$A$1:$I$89,3,0)*0.475*44/12</f>
        <v>16.270389019078639</v>
      </c>
      <c r="AW95" s="21">
        <f>EXP(-LN(2)/2)*AW94+(1-EXP(-LN(2)/2))/(LN(2)/2)*AQ95*AT95*VLOOKUP('Données projet'!$B$10,Paramètres!$A$1:$I$89,3,0)*0.475*44/12</f>
        <v>1.3647133251467472E-3</v>
      </c>
      <c r="AX95" s="21">
        <f t="shared" si="60"/>
        <v>72.703280750859705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-1.1823431123048067E-13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348.29124901999882</v>
      </c>
      <c r="BJ95" s="59">
        <f t="shared" si="92"/>
        <v>284.30034973939053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171.35786452955787</v>
      </c>
      <c r="BQ95" s="21">
        <f>EXP(-LN(2)/25)*BQ94+(1-EXP(-LN(2)/25))/(LN(2)/25)*Calculateur!BL95*Calculateur!BN95*VLOOKUP('Données projet'!$B$11,Paramètres!$A$1:$I$89,3,0)*0.475*44/12</f>
        <v>55.768759557862211</v>
      </c>
      <c r="BR95" s="21">
        <f>EXP(-LN(2)/2)*BR94+(1-EXP(-LN(2)/2))/(LN(2)/2)*BL95*BO95*VLOOKUP('Données projet'!$B$11,Paramètres!$A$1:$I$89,3,0)*0.475*44/12</f>
        <v>1.3182345190456208</v>
      </c>
      <c r="BS95" s="22">
        <f t="shared" si="63"/>
        <v>228.44485860646571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6.0030000000000001</v>
      </c>
      <c r="BY95" s="12">
        <f>IF('Données projet'!$A$114&gt;35,BY94+BX95-CG94,IF(A95&lt;'Données projet'!$A$114,$BV$205^A95,IF(A95='Données projet'!$A$114,'Données projet'!$B$114,BY94+BX95-CG94)))</f>
        <v>240.04599999999988</v>
      </c>
      <c r="BZ95" s="13">
        <f>BY95*VLOOKUP('Données projet'!$B$12,Paramètres!$A$1:$I$89,3,0)*VLOOKUP('Données projet'!$B$12,Paramètres!$A$1:$I$89,5,0)</f>
        <v>143.54750799999994</v>
      </c>
      <c r="CA95" s="13">
        <f t="shared" si="93"/>
        <v>37.108502408421806</v>
      </c>
      <c r="CB95" s="20">
        <f t="shared" si="64"/>
        <v>314.64255146133451</v>
      </c>
      <c r="CC95" s="59">
        <f t="shared" si="65"/>
        <v>607.97588479466776</v>
      </c>
      <c r="CD95" s="59">
        <f ca="1">AVERAGE(OFFSET($CC$3,0,0,'Données projet'!$E$12+1,1))-AVERAGE(OFFSET($H$3,0,0,'Données projet'!$E$12+1,1))</f>
        <v>185.82627135915504</v>
      </c>
      <c r="CE95" s="59">
        <f t="shared" si="94"/>
        <v>155.46126452522037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35.982431348215634</v>
      </c>
      <c r="CL95" s="21">
        <f>EXP(-LN(2)/25)*CL94+(1-EXP(-LN(2)/25))/(LN(2)/25)*Calculateur!CG95*Calculateur!CI95*VLOOKUP('Données projet'!$B$12,Paramètres!$A$1:$I$89,3,0)*0.475*44/12</f>
        <v>12.570829224360313</v>
      </c>
      <c r="CM95" s="21">
        <f>EXP(-LN(2)/2)*CM94+(1-EXP(-LN(2)/2))/(LN(2)/2)*CG95*CJ95*VLOOKUP('Données projet'!$B$12,Paramètres!$A$1:$I$89,3,0)*0.475*44/12</f>
        <v>4.5153616651531845</v>
      </c>
      <c r="CN95" s="22">
        <f t="shared" si="66"/>
        <v>53.068622237729137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1.3999999999999986</v>
      </c>
      <c r="CT95" s="12">
        <f>IF('Données projet'!$A$140&gt;35,CT94+CS95-DB94,IF(A95&lt;'Données projet'!$A$140,$CQ$205^A95,IF(A95='Données projet'!$A$140,'Données projet'!$B$140,CT94+CS95-DB94)))</f>
        <v>100.7999999999999</v>
      </c>
      <c r="CU95" s="17">
        <f>CT95*VLOOKUP('Données projet'!$B$13,Paramètres!$A$1:$I$89,3,0)*VLOOKUP('Données projet'!$B$13,Paramètres!$A$1:$I$89,5,0)</f>
        <v>116.12159999999987</v>
      </c>
      <c r="CV95" s="13">
        <f t="shared" si="95"/>
        <v>30.768703838963784</v>
      </c>
      <c r="CW95" s="20">
        <f t="shared" si="67"/>
        <v>255.83394585286172</v>
      </c>
      <c r="CX95" s="59">
        <f t="shared" si="68"/>
        <v>549.16727918619506</v>
      </c>
      <c r="CY95" s="59">
        <f ca="1">AVERAGE(OFFSET($CX$3,0,0,'Données projet'!$E$13+1,1))-AVERAGE(OFFSET($H$3,0,0,'Données projet'!$E$13+1,1))</f>
        <v>150.78964413039063</v>
      </c>
      <c r="CZ95" s="59">
        <f t="shared" si="96"/>
        <v>131.90332435966184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6.8788409042178973</v>
      </c>
      <c r="DG95" s="21">
        <f>EXP(-LN(2)/25)*DG94+(1-EXP(-LN(2)/25))/(LN(2)/25)*Calculateur!DB95*Calculateur!DD95*VLOOKUP('Données projet'!$B$13,Paramètres!$A$1:$I$89,3,0)*0.475*44/12</f>
        <v>3.3843306677282521</v>
      </c>
      <c r="DH95" s="21">
        <f>EXP(-LN(2)/2)*DH94+(1-EXP(-LN(2)/2))/(LN(2)/2)*DB95*DE95*VLOOKUP('Données projet'!$B$13,Paramètres!$A$1:$I$89,3,0)*0.475*44/12</f>
        <v>0.8651503075003445</v>
      </c>
      <c r="DI95" s="22">
        <f t="shared" si="69"/>
        <v>11.128321879446494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1.6666666666666656</v>
      </c>
      <c r="DO95" s="12">
        <f>IF('Données projet'!$A$166&gt;35,DO94+DN95-DW94,IF(A95&lt;'Données projet'!$A$166,$DL$205^A95,IF(A95='Données projet'!$A$166,'Données projet'!$B$166,DO94+DN95-DW94)))</f>
        <v>106.53846153846153</v>
      </c>
      <c r="DP95" s="17">
        <f>DO95*VLOOKUP('Données projet'!$B$14,Paramètres!$A$1:$I$89,3,0)*VLOOKUP('Données projet'!$B$14,Paramètres!$A$1:$I$89,5,0)</f>
        <v>111.354</v>
      </c>
      <c r="DQ95" s="13">
        <f t="shared" si="97"/>
        <v>29.649770036041783</v>
      </c>
      <c r="DR95" s="20">
        <f t="shared" si="70"/>
        <v>245.58156614610607</v>
      </c>
      <c r="DS95" s="59">
        <f t="shared" si="71"/>
        <v>538.91489947943933</v>
      </c>
      <c r="DT95" s="59">
        <f ca="1">AVERAGE(OFFSET($DS$3,0,0,'Données projet'!$E$14+1,1))-AVERAGE(OFFSET($H$3,0,0,'Données projet'!$E$14+1,1))</f>
        <v>110.10595934547638</v>
      </c>
      <c r="DU95" s="59">
        <f t="shared" si="98"/>
        <v>131.10971921141493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9.6895064860559614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9.6895064860559614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6.7600000000000007</v>
      </c>
      <c r="EJ95" s="12">
        <f>IF('Données projet'!$A$192&gt;35,EJ94+EI95-ER94,IF(A95&lt;'Données projet'!$A$192,$EG$205^A95,IF(A95='Données projet'!$A$192,'Données projet'!$B$192,EJ94+EI95-ER94)))</f>
        <v>232.28999999999991</v>
      </c>
      <c r="EK95" s="17">
        <f>EJ95*VLOOKUP('Données projet'!$B$15,Paramètres!$A$1:$I$89,3,0)*VLOOKUP('Données projet'!$B$15,Paramètres!$A$1:$I$89,5,0)</f>
        <v>235.54205999999991</v>
      </c>
      <c r="EL95" s="13">
        <f t="shared" si="99"/>
        <v>57.479338849475639</v>
      </c>
      <c r="EM95" s="20">
        <f t="shared" si="73"/>
        <v>510.34560299616987</v>
      </c>
      <c r="EN95" s="59">
        <f t="shared" si="74"/>
        <v>803.67893632950313</v>
      </c>
      <c r="EO95" s="59">
        <f ca="1">AVERAGE(OFFSET($EN$3,0,0,'Données projet'!$E$15+1,1))-AVERAGE(OFFSET($H$3,0,0,'Données projet'!$E$15+1,1))</f>
        <v>420.38735944595965</v>
      </c>
      <c r="EP95" s="59">
        <f t="shared" si="100"/>
        <v>200.0823542414671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5.6235516911504346</v>
      </c>
      <c r="EW95" s="21">
        <f>EXP(-LN(2)/25)*EW94+(1-EXP(-LN(2)/25))/(LN(2)/25)*Calculateur!ER95*Calculateur!ET95*VLOOKUP('Données projet'!$B$15,Paramètres!$A$1:$I$89,3,0)*0.475*44/12</f>
        <v>31.751183375611095</v>
      </c>
      <c r="EX95" s="21">
        <f>EXP(-LN(2)/2)*EX94+(1-EXP(-LN(2)/2))/(LN(2)/2)*ER95*EU95*VLOOKUP('Données projet'!$B$15,Paramètres!$A$1:$I$89,3,0)*0.475*44/12</f>
        <v>0.48783755894249031</v>
      </c>
      <c r="EY95" s="22">
        <f t="shared" si="75"/>
        <v>37.862572625704018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9.2740000000000009</v>
      </c>
      <c r="FE95" s="12">
        <f>IF('Données projet'!$A$218&gt;35,FE94+FD95-FM94,IF(A95&lt;'Données projet'!$A$218,$FB$205^A95,IF(A95='Données projet'!$A$218,'Données projet'!$B$218,FE94+FD95-FM94)))</f>
        <v>339.59599999999989</v>
      </c>
      <c r="FF95" s="17">
        <f>FE95*VLOOKUP('Données projet'!$B$16,Paramètres!$A$1:$I$89,3,0)*VLOOKUP('Données projet'!$B$16,Paramètres!$A$1:$I$89,5,0)</f>
        <v>365.54113439999986</v>
      </c>
      <c r="FG95" s="13">
        <f t="shared" si="101"/>
        <v>84.754455871286439</v>
      </c>
      <c r="FH95" s="20">
        <f t="shared" si="76"/>
        <v>784.2648197224903</v>
      </c>
      <c r="FI95" s="59">
        <f t="shared" si="77"/>
        <v>1077.5981530558236</v>
      </c>
      <c r="FJ95" s="59">
        <f ca="1">AVERAGE(OFFSET($FI$3,0,0,'Données projet'!$E$16+1,1))-AVERAGE(OFFSET($H$3,0,0,'Données projet'!$E$16+1,1))</f>
        <v>415.8741608506952</v>
      </c>
      <c r="FK95" s="59">
        <f t="shared" si="102"/>
        <v>259.15848913719356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25.195566694020105</v>
      </c>
      <c r="FR95" s="21">
        <f>EXP(-LN(2)/25)*FR94+(1-EXP(-LN(2)/25))/(LN(2)/25)*Calculateur!FM95*Calculateur!FO95*VLOOKUP('Données projet'!$B$16,Paramètres!$A$1:$I$89,3,0)*0.475*44/12</f>
        <v>23.254226093957435</v>
      </c>
      <c r="FS95" s="21">
        <f>EXP(-LN(2)/2)*FS94+(1-EXP(-LN(2)/2))/(LN(2)/2)*FM95*FP95*VLOOKUP('Données projet'!$B$16,Paramètres!$A$1:$I$89,3,0)*0.475*44/12</f>
        <v>0.2373364304816617</v>
      </c>
      <c r="FT95" s="22">
        <f t="shared" si="78"/>
        <v>48.687129218459205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9.2740000000000009</v>
      </c>
      <c r="FZ95" s="12">
        <f>IF('Données projet'!$A$244&gt;35,FZ94+FY95-GH94,IF(A95&lt;'Données projet'!$A$244,$FW$205^A95,IF(A95='Données projet'!$A$244,'Données projet'!$B$244,FZ94+FY95-GH94)))</f>
        <v>339.59599999999989</v>
      </c>
      <c r="GA95" s="17">
        <f>FZ95*VLOOKUP('Données projet'!$B$17,Paramètres!$A$1:$I$89,3,0)*VLOOKUP('Données projet'!$B$17,Paramètres!$A$1:$I$89,5,0)</f>
        <v>291.37336799999991</v>
      </c>
      <c r="GB95" s="13">
        <f t="shared" si="103"/>
        <v>69.364930566182167</v>
      </c>
      <c r="GC95" s="20">
        <f t="shared" si="79"/>
        <v>628.28587000276718</v>
      </c>
      <c r="GD95" s="59">
        <f t="shared" si="80"/>
        <v>921.61920333610055</v>
      </c>
      <c r="GE95" s="59">
        <f ca="1">AVERAGE(OFFSET($GD$3,0,0,'Données projet'!$E$17+1,1))-AVERAGE(OFFSET($H$3,0,0,'Données projet'!$E$17+1,1))</f>
        <v>322.39807389980882</v>
      </c>
      <c r="GF95" s="59">
        <f t="shared" si="104"/>
        <v>202.59410055732792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24.753986152028517</v>
      </c>
      <c r="GM95" s="21">
        <f>EXP(-LN(2)/25)*GM94+(1-EXP(-LN(2)/25))/(LN(2)/25)*Calculateur!GH95*Calculateur!GJ95*VLOOKUP('Données projet'!$B$17,Paramètres!$A$1:$I$89,3,0)*0.475*44/12</f>
        <v>22.846669721565863</v>
      </c>
      <c r="GN95" s="21">
        <f>EXP(-LN(2)/2)*GN94+(1-EXP(-LN(2)/2))/(LN(2)/2)*GH95*GK95*VLOOKUP('Données projet'!$B$17,Paramètres!$A$1:$I$89,3,0)*0.475*44/12</f>
        <v>0.18918121270277366</v>
      </c>
      <c r="GO95" s="21">
        <f t="shared" si="81"/>
        <v>47.789837086297148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34.093799999999916</v>
      </c>
      <c r="D96" s="11">
        <f t="shared" si="86"/>
        <v>10.41895246004462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343.60721197227366</v>
      </c>
      <c r="H96" s="67">
        <f t="shared" si="56"/>
        <v>370.85971053457757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9.4258333333333351</v>
      </c>
      <c r="N96" s="13">
        <f>IF('Données projet'!$A$36&gt;35,N95+M96-V95,IF(A96&lt;'Données projet'!$A$36,$K$205^A96,IF(A96='Données projet'!$A$36,'Données projet'!$B$36,N95+M96-V95)))</f>
        <v>390.79500000000019</v>
      </c>
      <c r="O96" s="13">
        <f>N96*VLOOKUP('Données projet'!$B$9,Paramètres!$A$1:$I$89,3,0)*VLOOKUP('Données projet'!$B$9,Paramètres!$A$1:$I$89,5,0)</f>
        <v>182.8920600000001</v>
      </c>
      <c r="P96" s="13">
        <f t="shared" si="87"/>
        <v>45.965018129602747</v>
      </c>
      <c r="Q96" s="20">
        <f t="shared" si="54"/>
        <v>398.59274440905824</v>
      </c>
      <c r="R96" s="59">
        <f t="shared" si="55"/>
        <v>691.9260777423915</v>
      </c>
      <c r="S96" s="59">
        <f ca="1">AVERAGE(OFFSET($R$3,0,0,'Données projet'!$E$9+1,1))-AVERAGE(OFFSET($H$3,0,0,'Données projet'!$E$9+1,1))</f>
        <v>215.77907571824977</v>
      </c>
      <c r="T96" s="59">
        <f t="shared" si="88"/>
        <v>174.69390149594869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47.127982183084072</v>
      </c>
      <c r="AA96" s="21">
        <f>EXP(-LN(2)/25)*AA95+(1-EXP(-LN(2)/25))/(LN(2)/25)*Calculateur!V96*Calculateur!X96*VLOOKUP('Données projet'!$B$9,Paramètres!$A$1:$I$89,3,0)*0.475*44/12</f>
        <v>16.612716182230134</v>
      </c>
      <c r="AB96" s="21">
        <f>EXP(-LN(2)/2)*AB95+(1-EXP(-LN(2)/2))/(LN(2)/2)*V96*Y96*VLOOKUP('Données projet'!$B$9,Paramètres!$A$1:$I$89,3,0)*0.475*44/12</f>
        <v>1.2454139636777837</v>
      </c>
      <c r="AC96" s="22">
        <f t="shared" si="57"/>
        <v>64.986112328991979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-1.0197709343628959E-13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171.701352621833</v>
      </c>
      <c r="AO96" s="59">
        <f t="shared" si="90"/>
        <v>195.58435749168586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55.324939193456807</v>
      </c>
      <c r="AV96" s="21">
        <f>EXP(-LN(2)/25)*AV95+(1-EXP(-LN(2)/25))/(LN(2)/25)*Calculateur!AQ96*Calculateur!AS96*VLOOKUP('Données projet'!$B$10,Paramètres!$A$1:$I$89,3,0)*0.475*44/12</f>
        <v>15.825474375729362</v>
      </c>
      <c r="AW96" s="21">
        <f>EXP(-LN(2)/2)*AW95+(1-EXP(-LN(2)/2))/(LN(2)/2)*AQ96*AT96*VLOOKUP('Données projet'!$B$10,Paramètres!$A$1:$I$89,3,0)*0.475*44/12</f>
        <v>9.6499804658690676E-4</v>
      </c>
      <c r="AX96" s="21">
        <f t="shared" si="60"/>
        <v>71.151378567232754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-1.1823431123048067E-13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348.29124901999882</v>
      </c>
      <c r="BJ96" s="59">
        <f t="shared" si="92"/>
        <v>284.30034973939053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167.9976413241103</v>
      </c>
      <c r="BQ96" s="21">
        <f>EXP(-LN(2)/25)*BQ95+(1-EXP(-LN(2)/25))/(LN(2)/25)*Calculateur!BL96*Calculateur!BN96*VLOOKUP('Données projet'!$B$11,Paramètres!$A$1:$I$89,3,0)*0.475*44/12</f>
        <v>54.243759895000863</v>
      </c>
      <c r="BR96" s="21">
        <f>EXP(-LN(2)/2)*BR95+(1-EXP(-LN(2)/2))/(LN(2)/2)*BL96*BO96*VLOOKUP('Données projet'!$B$11,Paramètres!$A$1:$I$89,3,0)*0.475*44/12</f>
        <v>0.93213256761134555</v>
      </c>
      <c r="BS96" s="22">
        <f t="shared" si="63"/>
        <v>223.17353378672252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6.0030000000000001</v>
      </c>
      <c r="BY96" s="12">
        <f>IF('Données projet'!$A$114&gt;35,BY95+BX96-CG95,IF(A96&lt;'Données projet'!$A$114,$BV$205^A96,IF(A96='Données projet'!$A$114,'Données projet'!$B$114,BY95+BX96-CG95)))</f>
        <v>246.04899999999986</v>
      </c>
      <c r="BZ96" s="13">
        <f>BY96*VLOOKUP('Données projet'!$B$12,Paramètres!$A$1:$I$89,3,0)*VLOOKUP('Données projet'!$B$12,Paramètres!$A$1:$I$89,5,0)</f>
        <v>147.13730199999995</v>
      </c>
      <c r="CA96" s="13">
        <f t="shared" si="93"/>
        <v>37.927299450970374</v>
      </c>
      <c r="CB96" s="20">
        <f t="shared" si="64"/>
        <v>322.32084752710665</v>
      </c>
      <c r="CC96" s="59">
        <f t="shared" si="65"/>
        <v>615.65418086043996</v>
      </c>
      <c r="CD96" s="59">
        <f ca="1">AVERAGE(OFFSET($CC$3,0,0,'Données projet'!$E$12+1,1))-AVERAGE(OFFSET($H$3,0,0,'Données projet'!$E$12+1,1))</f>
        <v>185.82627135915504</v>
      </c>
      <c r="CE96" s="59">
        <f t="shared" si="94"/>
        <v>155.46126452522037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35.276837816593151</v>
      </c>
      <c r="CL96" s="21">
        <f>EXP(-LN(2)/25)*CL95+(1-EXP(-LN(2)/25))/(LN(2)/25)*Calculateur!CG96*Calculateur!CI96*VLOOKUP('Données projet'!$B$12,Paramètres!$A$1:$I$89,3,0)*0.475*44/12</f>
        <v>12.227079238149003</v>
      </c>
      <c r="CM96" s="21">
        <f>EXP(-LN(2)/2)*CM95+(1-EXP(-LN(2)/2))/(LN(2)/2)*CG96*CJ96*VLOOKUP('Données projet'!$B$12,Paramètres!$A$1:$I$89,3,0)*0.475*44/12</f>
        <v>3.1928428529395978</v>
      </c>
      <c r="CN96" s="22">
        <f t="shared" si="66"/>
        <v>50.696759907681752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1.3999999999999986</v>
      </c>
      <c r="CT96" s="12">
        <f>IF('Données projet'!$A$140&gt;35,CT95+CS96-DB95,IF(A96&lt;'Données projet'!$A$140,$CQ$205^A96,IF(A96='Données projet'!$A$140,'Données projet'!$B$140,CT95+CS96-DB95)))</f>
        <v>102.1999999999999</v>
      </c>
      <c r="CU96" s="17">
        <f>CT96*VLOOKUP('Données projet'!$B$13,Paramètres!$A$1:$I$89,3,0)*VLOOKUP('Données projet'!$B$13,Paramètres!$A$1:$I$89,5,0)</f>
        <v>117.73439999999988</v>
      </c>
      <c r="CV96" s="13">
        <f t="shared" si="95"/>
        <v>31.14600054907643</v>
      </c>
      <c r="CW96" s="20">
        <f t="shared" si="67"/>
        <v>259.30003095630786</v>
      </c>
      <c r="CX96" s="59">
        <f t="shared" si="68"/>
        <v>552.63336428964112</v>
      </c>
      <c r="CY96" s="59">
        <f ca="1">AVERAGE(OFFSET($CX$3,0,0,'Données projet'!$E$13+1,1))-AVERAGE(OFFSET($H$3,0,0,'Données projet'!$E$13+1,1))</f>
        <v>150.78964413039063</v>
      </c>
      <c r="CZ96" s="59">
        <f t="shared" si="96"/>
        <v>131.90332435966184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6.7439510297648466</v>
      </c>
      <c r="DG96" s="21">
        <f>EXP(-LN(2)/25)*DG95+(1-EXP(-LN(2)/25))/(LN(2)/25)*Calculateur!DB96*Calculateur!DD96*VLOOKUP('Données projet'!$B$13,Paramètres!$A$1:$I$89,3,0)*0.475*44/12</f>
        <v>3.2917859676450081</v>
      </c>
      <c r="DH96" s="21">
        <f>EXP(-LN(2)/2)*DH95+(1-EXP(-LN(2)/2))/(LN(2)/2)*DB96*DE96*VLOOKUP('Données projet'!$B$13,Paramètres!$A$1:$I$89,3,0)*0.475*44/12</f>
        <v>0.61175364917912045</v>
      </c>
      <c r="DI96" s="22">
        <f t="shared" si="69"/>
        <v>10.647490646588974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1.6666666666666656</v>
      </c>
      <c r="DO96" s="12">
        <f>IF('Données projet'!$A$166&gt;35,DO95+DN96-DW95,IF(A96&lt;'Données projet'!$A$166,$DL$205^A96,IF(A96='Données projet'!$A$166,'Données projet'!$B$166,DO95+DN96-DW95)))</f>
        <v>108.2051282051282</v>
      </c>
      <c r="DP96" s="17">
        <f>DO96*VLOOKUP('Données projet'!$B$14,Paramètres!$A$1:$I$89,3,0)*VLOOKUP('Données projet'!$B$14,Paramètres!$A$1:$I$89,5,0)</f>
        <v>113.09600000000002</v>
      </c>
      <c r="DQ96" s="13">
        <f t="shared" si="97"/>
        <v>30.059243778915057</v>
      </c>
      <c r="DR96" s="20">
        <f t="shared" si="70"/>
        <v>249.32871624827706</v>
      </c>
      <c r="DS96" s="59">
        <f t="shared" si="71"/>
        <v>542.6620495816104</v>
      </c>
      <c r="DT96" s="59">
        <f ca="1">AVERAGE(OFFSET($DS$3,0,0,'Données projet'!$E$14+1,1))-AVERAGE(OFFSET($H$3,0,0,'Données projet'!$E$14+1,1))</f>
        <v>110.10595934547638</v>
      </c>
      <c r="DU96" s="59">
        <f t="shared" si="98"/>
        <v>131.10971921141493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9.4245464216457613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9.4245464216457613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6.7600000000000007</v>
      </c>
      <c r="EJ96" s="12">
        <f>IF('Données projet'!$A$192&gt;35,EJ95+EI96-ER95,IF(A96&lt;'Données projet'!$A$192,$EG$205^A96,IF(A96='Données projet'!$A$192,'Données projet'!$B$192,EJ95+EI96-ER95)))</f>
        <v>239.0499999999999</v>
      </c>
      <c r="EK96" s="17">
        <f>EJ96*VLOOKUP('Données projet'!$B$15,Paramètres!$A$1:$I$89,3,0)*VLOOKUP('Données projet'!$B$15,Paramètres!$A$1:$I$89,5,0)</f>
        <v>242.3966999999999</v>
      </c>
      <c r="EL96" s="13">
        <f t="shared" si="99"/>
        <v>58.954893567950833</v>
      </c>
      <c r="EM96" s="20">
        <f t="shared" si="73"/>
        <v>524.85402546418084</v>
      </c>
      <c r="EN96" s="59">
        <f t="shared" si="74"/>
        <v>818.18735879751421</v>
      </c>
      <c r="EO96" s="59">
        <f ca="1">AVERAGE(OFFSET($EN$3,0,0,'Données projet'!$E$15+1,1))-AVERAGE(OFFSET($H$3,0,0,'Données projet'!$E$15+1,1))</f>
        <v>420.38735944595965</v>
      </c>
      <c r="EP96" s="59">
        <f t="shared" si="100"/>
        <v>200.0823542414671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5.5132772725148191</v>
      </c>
      <c r="EW96" s="21">
        <f>EXP(-LN(2)/25)*EW95+(1-EXP(-LN(2)/25))/(LN(2)/25)*Calculateur!ER96*Calculateur!ET96*VLOOKUP('Données projet'!$B$15,Paramètres!$A$1:$I$89,3,0)*0.475*44/12</f>
        <v>30.882945596482845</v>
      </c>
      <c r="EX96" s="21">
        <f>EXP(-LN(2)/2)*EX95+(1-EXP(-LN(2)/2))/(LN(2)/2)*ER96*EU96*VLOOKUP('Données projet'!$B$15,Paramètres!$A$1:$I$89,3,0)*0.475*44/12</f>
        <v>0.34495324604572702</v>
      </c>
      <c r="EY96" s="22">
        <f t="shared" si="75"/>
        <v>36.741176115043388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projet'!$A$217:$I$237,2,0)</f>
        <v>348.87</v>
      </c>
      <c r="FC96" s="12">
        <f>VLOOKUP(A96,'Données projet'!$A$217:$I$237,9,0)</f>
        <v>9.2740000000000009</v>
      </c>
      <c r="FD96" s="12">
        <f t="array" ref="FD96">INDEX(FC:FC,MIN(IF(ISNUMBER(FC96:FC292),ROW(FC96:FC292),"")))</f>
        <v>9.2740000000000009</v>
      </c>
      <c r="FE96" s="12">
        <f>IF('Données projet'!$A$218&gt;35,FE95+FD96-FM95,IF(A96&lt;'Données projet'!$A$218,$FB$205^A96,IF(A96='Données projet'!$A$218,'Données projet'!$B$218,FE95+FD96-FM95)))</f>
        <v>348.86999999999989</v>
      </c>
      <c r="FF96" s="17">
        <f>FE96*VLOOKUP('Données projet'!$B$16,Paramètres!$A$1:$I$89,3,0)*VLOOKUP('Données projet'!$B$16,Paramètres!$A$1:$I$89,5,0)</f>
        <v>375.52366799999987</v>
      </c>
      <c r="FG96" s="13">
        <f t="shared" si="101"/>
        <v>86.796376661322839</v>
      </c>
      <c r="FH96" s="20">
        <f t="shared" si="76"/>
        <v>805.2074111184703</v>
      </c>
      <c r="FI96" s="59">
        <f t="shared" si="77"/>
        <v>1098.5407444518037</v>
      </c>
      <c r="FJ96" s="59">
        <f ca="1">AVERAGE(OFFSET($FI$3,0,0,'Données projet'!$E$16+1,1))-AVERAGE(OFFSET($H$3,0,0,'Données projet'!$E$16+1,1))</f>
        <v>415.8741608506952</v>
      </c>
      <c r="FK96" s="59">
        <f t="shared" si="102"/>
        <v>259.15848913719356</v>
      </c>
      <c r="FL96" s="15">
        <f>IF(ISNA(VLOOKUP(A96,'Données projet'!$A$217:$I$237,3,0)),0,VLOOKUP(A96,'Données projet'!$A$217:$I$237,3,0))</f>
        <v>8</v>
      </c>
      <c r="FM96" s="15">
        <f>IF(ISNA(VLOOKUP(A96,'Données projet'!$A$217:$I$237,4,0)),0,VLOOKUP(A96,'Données projet'!$A$217:$I$237,4,0))</f>
        <v>67.45999999999998</v>
      </c>
      <c r="FN96" s="16">
        <f>IF(ISNA(VLOOKUP(A96,'Données projet'!$A$217:$I$237,5,0)),0%,VLOOKUP(A96,'Données projet'!$A$217:$I$237,5,0)*VLOOKUP('Données projet'!$B$16,Paramètres!$A$1:$I$89,7,0))</f>
        <v>0.215</v>
      </c>
      <c r="FO96" s="16">
        <f>IF(ISNA(VLOOKUP(A96,'Données projet'!$A$217:$I$237,6,0)),0%,VLOOKUP(A96,'Données projet'!$A$217:$I$237,6,0)*VLOOKUP('Données projet'!$B$16,Paramètres!$A$1:$I$89,7,0))</f>
        <v>8.6000000000000007E-2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41.960098309037448</v>
      </c>
      <c r="FR96" s="21">
        <f>EXP(-LN(2)/25)*FR95+(1-EXP(-LN(2)/25))/(LN(2)/25)*Calculateur!FM96*Calculateur!FO96*VLOOKUP('Données projet'!$B$16,Paramètres!$A$1:$I$89,3,0)*0.475*44/12</f>
        <v>29.494597106814883</v>
      </c>
      <c r="FS96" s="21">
        <f>EXP(-LN(2)/2)*FS95+(1-EXP(-LN(2)/2))/(LN(2)/2)*FM96*FP96*VLOOKUP('Données projet'!$B$16,Paramètres!$A$1:$I$89,3,0)*0.475*44/12</f>
        <v>0.16782219941619261</v>
      </c>
      <c r="FT96" s="22">
        <f t="shared" si="78"/>
        <v>71.622517615268521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>
        <f>VLOOKUP(A96,'Données projet'!$A$243:$I$263,2,0)</f>
        <v>348.87</v>
      </c>
      <c r="FX96" s="12">
        <f>VLOOKUP(A96,'Données projet'!$A$243:$I$263,9,0)</f>
        <v>9.2740000000000009</v>
      </c>
      <c r="FY96" s="12">
        <f t="array" ref="FY96">INDEX(FX:FX,MIN(IF(ISNUMBER(FX96:FX292),ROW(FX96:FX292),"")))</f>
        <v>9.2740000000000009</v>
      </c>
      <c r="FZ96" s="12">
        <f>IF('Données projet'!$A$244&gt;35,FZ95+FY96-GH95,IF(A96&lt;'Données projet'!$A$244,$FW$205^A96,IF(A96='Données projet'!$A$244,'Données projet'!$B$244,FZ95+FY96-GH95)))</f>
        <v>348.86999999999989</v>
      </c>
      <c r="GA96" s="17">
        <f>FZ96*VLOOKUP('Données projet'!$B$17,Paramètres!$A$1:$I$89,3,0)*VLOOKUP('Données projet'!$B$17,Paramètres!$A$1:$I$89,5,0)</f>
        <v>299.3304599999999</v>
      </c>
      <c r="GB96" s="13">
        <f t="shared" si="103"/>
        <v>71.036083927577337</v>
      </c>
      <c r="GC96" s="20">
        <f t="shared" si="79"/>
        <v>645.05506400719696</v>
      </c>
      <c r="GD96" s="59">
        <f t="shared" si="80"/>
        <v>938.38839734053022</v>
      </c>
      <c r="GE96" s="59">
        <f ca="1">AVERAGE(OFFSET($GD$3,0,0,'Données projet'!$E$17+1,1))-AVERAGE(OFFSET($H$3,0,0,'Données projet'!$E$17+1,1))</f>
        <v>322.39807389980882</v>
      </c>
      <c r="GF96" s="59">
        <f t="shared" si="104"/>
        <v>202.59410055732792</v>
      </c>
      <c r="GG96" s="15">
        <f>IF(ISNA(VLOOKUP(A96,'Données projet'!$A$243:$I$263,3,0)),0,VLOOKUP(A96,'Données projet'!$A$243:$I$263,3,0))</f>
        <v>8</v>
      </c>
      <c r="GH96" s="15">
        <f>IF(ISNA(VLOOKUP(A96,'Données projet'!$A$243:$I$263,4,0)),0,VLOOKUP(A96,'Données projet'!$A$243:$I$263,4,0))</f>
        <v>67.45999999999998</v>
      </c>
      <c r="GI96" s="16">
        <f>IF(ISNA(VLOOKUP(A96,'Données projet'!$A$243:$I$263,5,0)),0%,VLOOKUP(A96,'Données projet'!$A$243:$I$263,5,0)*VLOOKUP('Données projet'!$B$17,Paramètres!$A$1:$I$89,7,0))</f>
        <v>0.26500000000000001</v>
      </c>
      <c r="GJ96" s="16">
        <f>IF(ISNA(VLOOKUP(A96,'Données projet'!$A$243:$I$263,6,0)),0%,VLOOKUP(A96,'Données projet'!$A$243:$I$263,6,0)*VLOOKUP('Données projet'!$B$17,Paramètres!$A$1:$I$89,7,0))</f>
        <v>0.10600000000000001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41.224700563142633</v>
      </c>
      <c r="GM96" s="21">
        <f>EXP(-LN(2)/25)*GM95+(1-EXP(-LN(2)/25))/(LN(2)/25)*Calculateur!GH96*Calculateur!GJ96*VLOOKUP('Données projet'!$B$17,Paramètres!$A$1:$I$89,3,0)*0.475*44/12</f>
        <v>28.977671239085062</v>
      </c>
      <c r="GN96" s="21">
        <f>EXP(-LN(2)/2)*GN95+(1-EXP(-LN(2)/2))/(LN(2)/2)*GH96*GK96*VLOOKUP('Données projet'!$B$17,Paramètres!$A$1:$I$89,3,0)*0.475*44/12</f>
        <v>0.13377131837522588</v>
      </c>
      <c r="GO96" s="21">
        <f t="shared" si="81"/>
        <v>70.336143120602927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34.460399999999915</v>
      </c>
      <c r="D97" s="11">
        <f t="shared" si="86"/>
        <v>10.517882008711229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347.20077340057725</v>
      </c>
      <c r="H97" s="67">
        <f t="shared" si="56"/>
        <v>371.67050783183856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9.4258333333333351</v>
      </c>
      <c r="N97" s="13">
        <f>IF('Données projet'!$A$36&gt;35,N96+M97-V96,IF(A97&lt;'Données projet'!$A$36,$K$205^A97,IF(A97='Données projet'!$A$36,'Données projet'!$B$36,N96+M97-V96)))</f>
        <v>400.22083333333353</v>
      </c>
      <c r="O97" s="13">
        <f>N97*VLOOKUP('Données projet'!$B$9,Paramètres!$A$1:$I$89,3,0)*VLOOKUP('Données projet'!$B$9,Paramètres!$A$1:$I$89,5,0)</f>
        <v>187.30335000000008</v>
      </c>
      <c r="P97" s="13">
        <f t="shared" si="87"/>
        <v>46.943266733511237</v>
      </c>
      <c r="Q97" s="20">
        <f t="shared" si="54"/>
        <v>407.97952414419888</v>
      </c>
      <c r="R97" s="59">
        <f t="shared" si="55"/>
        <v>701.31285747753213</v>
      </c>
      <c r="S97" s="59">
        <f ca="1">AVERAGE(OFFSET($R$3,0,0,'Données projet'!$E$9+1,1))-AVERAGE(OFFSET($H$3,0,0,'Données projet'!$E$9+1,1))</f>
        <v>215.77907571824977</v>
      </c>
      <c r="T97" s="59">
        <f t="shared" si="88"/>
        <v>174.69390149594869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46.203831197704567</v>
      </c>
      <c r="AA97" s="21">
        <f>EXP(-LN(2)/25)*AA96+(1-EXP(-LN(2)/25))/(LN(2)/25)*Calculateur!V97*Calculateur!X97*VLOOKUP('Données projet'!$B$9,Paramètres!$A$1:$I$89,3,0)*0.475*44/12</f>
        <v>16.158440584602275</v>
      </c>
      <c r="AB97" s="21">
        <f>EXP(-LN(2)/2)*AB96+(1-EXP(-LN(2)/2))/(LN(2)/2)*V97*Y97*VLOOKUP('Données projet'!$B$9,Paramètres!$A$1:$I$89,3,0)*0.475*44/12</f>
        <v>0.88064065910097744</v>
      </c>
      <c r="AC97" s="22">
        <f t="shared" si="57"/>
        <v>63.242912441407817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-1.0197709343628959E-13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171.701352621833</v>
      </c>
      <c r="AO97" s="59">
        <f t="shared" si="90"/>
        <v>195.58435749168586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54.240050880753998</v>
      </c>
      <c r="AV97" s="21">
        <f>EXP(-LN(2)/25)*AV96+(1-EXP(-LN(2)/25))/(LN(2)/25)*Calculateur!AQ97*Calculateur!AS97*VLOOKUP('Données projet'!$B$10,Paramètres!$A$1:$I$89,3,0)*0.475*44/12</f>
        <v>15.392725946699516</v>
      </c>
      <c r="AW97" s="21">
        <f>EXP(-LN(2)/2)*AW96+(1-EXP(-LN(2)/2))/(LN(2)/2)*AQ97*AT97*VLOOKUP('Données projet'!$B$10,Paramètres!$A$1:$I$89,3,0)*0.475*44/12</f>
        <v>6.8235666257337373E-4</v>
      </c>
      <c r="AX97" s="21">
        <f t="shared" si="60"/>
        <v>69.633459184116091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-1.1823431123048067E-13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348.29124901999882</v>
      </c>
      <c r="BJ97" s="59">
        <f t="shared" si="92"/>
        <v>284.30034973939053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164.7033100461878</v>
      </c>
      <c r="BQ97" s="21">
        <f>EXP(-LN(2)/25)*BQ96+(1-EXP(-LN(2)/25))/(LN(2)/25)*Calculateur!BL97*Calculateur!BN97*VLOOKUP('Données projet'!$B$11,Paramètres!$A$1:$I$89,3,0)*0.475*44/12</f>
        <v>52.760461428116706</v>
      </c>
      <c r="BR97" s="21">
        <f>EXP(-LN(2)/2)*BR96+(1-EXP(-LN(2)/2))/(LN(2)/2)*BL97*BO97*VLOOKUP('Données projet'!$B$11,Paramètres!$A$1:$I$89,3,0)*0.475*44/12</f>
        <v>0.65911725952281053</v>
      </c>
      <c r="BS97" s="22">
        <f t="shared" si="63"/>
        <v>218.12288873382732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6.0030000000000001</v>
      </c>
      <c r="BY97" s="12">
        <f>IF('Données projet'!$A$114&gt;35,BY96+BX97-CG96,IF(A97&lt;'Données projet'!$A$114,$BV$205^A97,IF(A97='Données projet'!$A$114,'Données projet'!$B$114,BY96+BX97-CG96)))</f>
        <v>252.05199999999985</v>
      </c>
      <c r="BZ97" s="13">
        <f>BY97*VLOOKUP('Données projet'!$B$12,Paramètres!$A$1:$I$89,3,0)*VLOOKUP('Données projet'!$B$12,Paramètres!$A$1:$I$89,5,0)</f>
        <v>150.72709599999993</v>
      </c>
      <c r="CA97" s="13">
        <f t="shared" si="93"/>
        <v>38.743774264778047</v>
      </c>
      <c r="CB97" s="20">
        <f t="shared" si="64"/>
        <v>329.99509904448831</v>
      </c>
      <c r="CC97" s="59">
        <f t="shared" si="65"/>
        <v>623.32843237782163</v>
      </c>
      <c r="CD97" s="59">
        <f ca="1">AVERAGE(OFFSET($CC$3,0,0,'Données projet'!$E$12+1,1))-AVERAGE(OFFSET($H$3,0,0,'Données projet'!$E$12+1,1))</f>
        <v>185.82627135915504</v>
      </c>
      <c r="CE97" s="59">
        <f t="shared" si="94"/>
        <v>155.46126452522037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34.585080543756227</v>
      </c>
      <c r="CL97" s="21">
        <f>EXP(-LN(2)/25)*CL96+(1-EXP(-LN(2)/25))/(LN(2)/25)*Calculateur!CG97*Calculateur!CI97*VLOOKUP('Données projet'!$B$12,Paramètres!$A$1:$I$89,3,0)*0.475*44/12</f>
        <v>11.892729113387666</v>
      </c>
      <c r="CM97" s="21">
        <f>EXP(-LN(2)/2)*CM96+(1-EXP(-LN(2)/2))/(LN(2)/2)*CG97*CJ97*VLOOKUP('Données projet'!$B$12,Paramètres!$A$1:$I$89,3,0)*0.475*44/12</f>
        <v>2.2576808325765927</v>
      </c>
      <c r="CN97" s="22">
        <f t="shared" si="66"/>
        <v>48.735490489720483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1.3999999999999986</v>
      </c>
      <c r="CT97" s="12">
        <f>IF('Données projet'!$A$140&gt;35,CT96+CS97-DB96,IF(A97&lt;'Données projet'!$A$140,$CQ$205^A97,IF(A97='Données projet'!$A$140,'Données projet'!$B$140,CT96+CS97-DB96)))</f>
        <v>103.59999999999991</v>
      </c>
      <c r="CU97" s="17">
        <f>CT97*VLOOKUP('Données projet'!$B$13,Paramètres!$A$1:$I$89,3,0)*VLOOKUP('Données projet'!$B$13,Paramètres!$A$1:$I$89,5,0)</f>
        <v>119.34719999999987</v>
      </c>
      <c r="CV97" s="13">
        <f t="shared" si="95"/>
        <v>31.522696111334511</v>
      </c>
      <c r="CW97" s="20">
        <f t="shared" si="67"/>
        <v>262.76506906057404</v>
      </c>
      <c r="CX97" s="59">
        <f t="shared" si="68"/>
        <v>556.09840239390735</v>
      </c>
      <c r="CY97" s="59">
        <f ca="1">AVERAGE(OFFSET($CX$3,0,0,'Données projet'!$E$13+1,1))-AVERAGE(OFFSET($H$3,0,0,'Données projet'!$E$13+1,1))</f>
        <v>150.78964413039063</v>
      </c>
      <c r="CZ97" s="59">
        <f t="shared" si="96"/>
        <v>131.90332435966184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6.6117062634751216</v>
      </c>
      <c r="DG97" s="21">
        <f>EXP(-LN(2)/25)*DG96+(1-EXP(-LN(2)/25))/(LN(2)/25)*Calculateur!DB97*Calculateur!DD97*VLOOKUP('Données projet'!$B$13,Paramètres!$A$1:$I$89,3,0)*0.475*44/12</f>
        <v>3.2017719072522546</v>
      </c>
      <c r="DH97" s="21">
        <f>EXP(-LN(2)/2)*DH96+(1-EXP(-LN(2)/2))/(LN(2)/2)*DB97*DE97*VLOOKUP('Données projet'!$B$13,Paramètres!$A$1:$I$89,3,0)*0.475*44/12</f>
        <v>0.4325751537501723</v>
      </c>
      <c r="DI97" s="22">
        <f t="shared" si="69"/>
        <v>10.246053324477547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1.6666666666666656</v>
      </c>
      <c r="DO97" s="12">
        <f>IF('Données projet'!$A$166&gt;35,DO96+DN97-DW96,IF(A97&lt;'Données projet'!$A$166,$DL$205^A97,IF(A97='Données projet'!$A$166,'Données projet'!$B$166,DO96+DN97-DW96)))</f>
        <v>109.87179487179488</v>
      </c>
      <c r="DP97" s="17">
        <f>DO97*VLOOKUP('Données projet'!$B$14,Paramètres!$A$1:$I$89,3,0)*VLOOKUP('Données projet'!$B$14,Paramètres!$A$1:$I$89,5,0)</f>
        <v>114.83800000000001</v>
      </c>
      <c r="DQ97" s="13">
        <f t="shared" si="97"/>
        <v>30.467984007060519</v>
      </c>
      <c r="DR97" s="20">
        <f t="shared" si="70"/>
        <v>253.07458881229704</v>
      </c>
      <c r="DS97" s="59">
        <f t="shared" si="71"/>
        <v>546.40792214563032</v>
      </c>
      <c r="DT97" s="59">
        <f ca="1">AVERAGE(OFFSET($DS$3,0,0,'Données projet'!$E$14+1,1))-AVERAGE(OFFSET($H$3,0,0,'Données projet'!$E$14+1,1))</f>
        <v>110.10595934547638</v>
      </c>
      <c r="DU97" s="59">
        <f t="shared" si="98"/>
        <v>131.10971921141493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9.1668317041305016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9.1668317041305016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6.7600000000000007</v>
      </c>
      <c r="EJ97" s="12">
        <f>IF('Données projet'!$A$192&gt;35,EJ96+EI97-ER96,IF(A97&lt;'Données projet'!$A$192,$EG$205^A97,IF(A97='Données projet'!$A$192,'Données projet'!$B$192,EJ96+EI97-ER96)))</f>
        <v>245.80999999999989</v>
      </c>
      <c r="EK97" s="17">
        <f>EJ97*VLOOKUP('Données projet'!$B$15,Paramètres!$A$1:$I$89,3,0)*VLOOKUP('Données projet'!$B$15,Paramètres!$A$1:$I$89,5,0)</f>
        <v>249.25133999999991</v>
      </c>
      <c r="EL97" s="13">
        <f t="shared" si="99"/>
        <v>60.42559860911723</v>
      </c>
      <c r="EM97" s="20">
        <f t="shared" si="73"/>
        <v>539.35400141087905</v>
      </c>
      <c r="EN97" s="59">
        <f t="shared" si="74"/>
        <v>832.68733474421242</v>
      </c>
      <c r="EO97" s="59">
        <f ca="1">AVERAGE(OFFSET($EN$3,0,0,'Données projet'!$E$15+1,1))-AVERAGE(OFFSET($H$3,0,0,'Données projet'!$E$15+1,1))</f>
        <v>420.38735944595965</v>
      </c>
      <c r="EP97" s="59">
        <f t="shared" si="100"/>
        <v>200.0823542414671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5.4051652679678943</v>
      </c>
      <c r="EW97" s="21">
        <f>EXP(-LN(2)/25)*EW96+(1-EXP(-LN(2)/25))/(LN(2)/25)*Calculateur!ER97*Calculateur!ET97*VLOOKUP('Données projet'!$B$15,Paramètres!$A$1:$I$89,3,0)*0.475*44/12</f>
        <v>30.038449825083497</v>
      </c>
      <c r="EX97" s="21">
        <f>EXP(-LN(2)/2)*EX96+(1-EXP(-LN(2)/2))/(LN(2)/2)*ER97*EU97*VLOOKUP('Données projet'!$B$15,Paramètres!$A$1:$I$89,3,0)*0.475*44/12</f>
        <v>0.24391877947124521</v>
      </c>
      <c r="EY97" s="22">
        <f t="shared" si="75"/>
        <v>35.687533872522636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8.9989999999999952</v>
      </c>
      <c r="FE97" s="12">
        <f>IF('Données projet'!$A$218&gt;35,FE96+FD97-FM96,IF(A97&lt;'Données projet'!$A$218,$FB$205^A97,IF(A97='Données projet'!$A$218,'Données projet'!$B$218,FE96+FD97-FM96)))</f>
        <v>290.40899999999993</v>
      </c>
      <c r="FF97" s="17">
        <f>FE97*VLOOKUP('Données projet'!$B$16,Paramètres!$A$1:$I$89,3,0)*VLOOKUP('Données projet'!$B$16,Paramètres!$A$1:$I$89,5,0)</f>
        <v>312.59624759999991</v>
      </c>
      <c r="FG97" s="13">
        <f t="shared" si="101"/>
        <v>73.810766542684433</v>
      </c>
      <c r="FH97" s="20">
        <f t="shared" si="76"/>
        <v>672.99221629850854</v>
      </c>
      <c r="FI97" s="59">
        <f t="shared" si="77"/>
        <v>966.3255496318418</v>
      </c>
      <c r="FJ97" s="59">
        <f ca="1">AVERAGE(OFFSET($FI$3,0,0,'Données projet'!$E$16+1,1))-AVERAGE(OFFSET($H$3,0,0,'Données projet'!$E$16+1,1))</f>
        <v>415.8741608506952</v>
      </c>
      <c r="FK97" s="59">
        <f t="shared" si="102"/>
        <v>259.15848913719356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41.137286374330081</v>
      </c>
      <c r="FR97" s="21">
        <f>EXP(-LN(2)/25)*FR96+(1-EXP(-LN(2)/25))/(LN(2)/25)*Calculateur!FM97*Calculateur!FO97*VLOOKUP('Données projet'!$B$16,Paramètres!$A$1:$I$89,3,0)*0.475*44/12</f>
        <v>28.688065797875581</v>
      </c>
      <c r="FS97" s="21">
        <f>EXP(-LN(2)/2)*FS96+(1-EXP(-LN(2)/2))/(LN(2)/2)*FM97*FP97*VLOOKUP('Données projet'!$B$16,Paramètres!$A$1:$I$89,3,0)*0.475*44/12</f>
        <v>0.11866821524083086</v>
      </c>
      <c r="FT97" s="22">
        <f t="shared" si="78"/>
        <v>69.9440203874465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8.9989999999999952</v>
      </c>
      <c r="FZ97" s="12">
        <f>IF('Données projet'!$A$244&gt;35,FZ96+FY97-GH96,IF(A97&lt;'Données projet'!$A$244,$FW$205^A97,IF(A97='Données projet'!$A$244,'Données projet'!$B$244,FZ96+FY97-GH96)))</f>
        <v>290.40899999999993</v>
      </c>
      <c r="GA97" s="17">
        <f>FZ97*VLOOKUP('Données projet'!$B$17,Paramètres!$A$1:$I$89,3,0)*VLOOKUP('Données projet'!$B$17,Paramètres!$A$1:$I$89,5,0)</f>
        <v>249.17092199999996</v>
      </c>
      <c r="GB97" s="13">
        <f t="shared" si="103"/>
        <v>60.408371968612116</v>
      </c>
      <c r="GC97" s="20">
        <f t="shared" si="79"/>
        <v>539.18393699533272</v>
      </c>
      <c r="GD97" s="59">
        <f t="shared" si="80"/>
        <v>832.51727032866597</v>
      </c>
      <c r="GE97" s="59">
        <f ca="1">AVERAGE(OFFSET($GD$3,0,0,'Données projet'!$E$17+1,1))-AVERAGE(OFFSET($H$3,0,0,'Données projet'!$E$17+1,1))</f>
        <v>322.39807389980882</v>
      </c>
      <c r="GF97" s="59">
        <f t="shared" si="104"/>
        <v>202.59410055732792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40.416309329683926</v>
      </c>
      <c r="GM97" s="21">
        <f>EXP(-LN(2)/25)*GM96+(1-EXP(-LN(2)/25))/(LN(2)/25)*Calculateur!GH97*Calculateur!GJ97*VLOOKUP('Données projet'!$B$17,Paramètres!$A$1:$I$89,3,0)*0.475*44/12</f>
        <v>28.18527529518278</v>
      </c>
      <c r="GN97" s="21">
        <f>EXP(-LN(2)/2)*GN96+(1-EXP(-LN(2)/2))/(LN(2)/2)*GH97*GK97*VLOOKUP('Données projet'!$B$17,Paramètres!$A$1:$I$89,3,0)*0.475*44/12</f>
        <v>9.459060635138683E-2</v>
      </c>
      <c r="GO97" s="21">
        <f t="shared" si="81"/>
        <v>68.696175231218092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34.826999999999913</v>
      </c>
      <c r="D98" s="11">
        <f t="shared" si="86"/>
        <v>10.616689126503015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350.79338974844376</v>
      </c>
      <c r="H98" s="67">
        <f t="shared" si="56"/>
        <v>372.4810918953259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9.4258333333333351</v>
      </c>
      <c r="N98" s="13">
        <f>IF('Données projet'!$A$36&gt;35,N97+M98-V97,IF(A98&lt;'Données projet'!$A$36,$K$205^A98,IF(A98='Données projet'!$A$36,'Données projet'!$B$36,N97+M98-V97)))</f>
        <v>409.64666666666687</v>
      </c>
      <c r="O98" s="13">
        <f>N98*VLOOKUP('Données projet'!$B$9,Paramètres!$A$1:$I$89,3,0)*VLOOKUP('Données projet'!$B$9,Paramètres!$A$1:$I$89,5,0)</f>
        <v>191.71464000000009</v>
      </c>
      <c r="P98" s="13">
        <f t="shared" si="87"/>
        <v>47.918836973633752</v>
      </c>
      <c r="Q98" s="20">
        <f t="shared" si="54"/>
        <v>417.36163906241222</v>
      </c>
      <c r="R98" s="59">
        <f t="shared" si="55"/>
        <v>710.69497239574548</v>
      </c>
      <c r="S98" s="59">
        <f ca="1">AVERAGE(OFFSET($R$3,0,0,'Données projet'!$E$9+1,1))-AVERAGE(OFFSET($H$3,0,0,'Données projet'!$E$9+1,1))</f>
        <v>215.77907571824977</v>
      </c>
      <c r="T98" s="59">
        <f t="shared" si="88"/>
        <v>174.69390149594869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45.297802249471914</v>
      </c>
      <c r="AA98" s="21">
        <f>EXP(-LN(2)/25)*AA97+(1-EXP(-LN(2)/25))/(LN(2)/25)*Calculateur!V98*Calculateur!X98*VLOOKUP('Données projet'!$B$9,Paramètres!$A$1:$I$89,3,0)*0.475*44/12</f>
        <v>15.716587177080866</v>
      </c>
      <c r="AB98" s="21">
        <f>EXP(-LN(2)/2)*AB97+(1-EXP(-LN(2)/2))/(LN(2)/2)*V98*Y98*VLOOKUP('Données projet'!$B$9,Paramètres!$A$1:$I$89,3,0)*0.475*44/12</f>
        <v>0.62270698183889184</v>
      </c>
      <c r="AC98" s="22">
        <f t="shared" si="57"/>
        <v>61.63709640839167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-1.0197709343628959E-13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171.701352621833</v>
      </c>
      <c r="AO98" s="59">
        <f t="shared" si="90"/>
        <v>195.58435749168586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53.176436566146755</v>
      </c>
      <c r="AV98" s="21">
        <f>EXP(-LN(2)/25)*AV97+(1-EXP(-LN(2)/25))/(LN(2)/25)*Calculateur!AQ98*Calculateur!AS98*VLOOKUP('Données projet'!$B$10,Paramètres!$A$1:$I$89,3,0)*0.475*44/12</f>
        <v>14.97181104621874</v>
      </c>
      <c r="AW98" s="21">
        <f>EXP(-LN(2)/2)*AW97+(1-EXP(-LN(2)/2))/(LN(2)/2)*AQ98*AT98*VLOOKUP('Données projet'!$B$10,Paramètres!$A$1:$I$89,3,0)*0.475*44/12</f>
        <v>4.8249902329345343E-4</v>
      </c>
      <c r="AX98" s="21">
        <f t="shared" si="60"/>
        <v>68.148730111388787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-1.1823431123048067E-13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348.29124901999882</v>
      </c>
      <c r="BJ98" s="59">
        <f t="shared" si="92"/>
        <v>284.30034973939053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161.47357859528168</v>
      </c>
      <c r="BQ98" s="21">
        <f>EXP(-LN(2)/25)*BQ97+(1-EXP(-LN(2)/25))/(LN(2)/25)*Calculateur!BL98*Calculateur!BN98*VLOOKUP('Données projet'!$B$11,Paramètres!$A$1:$I$89,3,0)*0.475*44/12</f>
        <v>51.317723835812771</v>
      </c>
      <c r="BR98" s="21">
        <f>EXP(-LN(2)/2)*BR97+(1-EXP(-LN(2)/2))/(LN(2)/2)*BL98*BO98*VLOOKUP('Données projet'!$B$11,Paramètres!$A$1:$I$89,3,0)*0.475*44/12</f>
        <v>0.46606628380567289</v>
      </c>
      <c r="BS98" s="22">
        <f t="shared" si="63"/>
        <v>213.25736871490011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6.0030000000000001</v>
      </c>
      <c r="BY98" s="12">
        <f>IF('Données projet'!$A$114&gt;35,BY97+BX98-CG97,IF(A98&lt;'Données projet'!$A$114,$BV$205^A98,IF(A98='Données projet'!$A$114,'Données projet'!$B$114,BY97+BX98-CG97)))</f>
        <v>258.05499999999984</v>
      </c>
      <c r="BZ98" s="13">
        <f>BY98*VLOOKUP('Données projet'!$B$12,Paramètres!$A$1:$I$89,3,0)*VLOOKUP('Données projet'!$B$12,Paramètres!$A$1:$I$89,5,0)</f>
        <v>154.31688999999992</v>
      </c>
      <c r="CA98" s="13">
        <f t="shared" si="93"/>
        <v>39.557988521299706</v>
      </c>
      <c r="CB98" s="20">
        <f t="shared" si="64"/>
        <v>337.66541342459681</v>
      </c>
      <c r="CC98" s="59">
        <f t="shared" si="65"/>
        <v>630.99874675793012</v>
      </c>
      <c r="CD98" s="59">
        <f ca="1">AVERAGE(OFFSET($CC$3,0,0,'Données projet'!$E$12+1,1))-AVERAGE(OFFSET($H$3,0,0,'Données projet'!$E$12+1,1))</f>
        <v>185.82627135915504</v>
      </c>
      <c r="CE98" s="59">
        <f t="shared" si="94"/>
        <v>155.46126452522037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33.906888209109361</v>
      </c>
      <c r="CL98" s="21">
        <f>EXP(-LN(2)/25)*CL97+(1-EXP(-LN(2)/25))/(LN(2)/25)*Calculateur!CG98*Calculateur!CI98*VLOOKUP('Données projet'!$B$12,Paramètres!$A$1:$I$89,3,0)*0.475*44/12</f>
        <v>11.567521810370637</v>
      </c>
      <c r="CM98" s="21">
        <f>EXP(-LN(2)/2)*CM97+(1-EXP(-LN(2)/2))/(LN(2)/2)*CG98*CJ98*VLOOKUP('Données projet'!$B$12,Paramètres!$A$1:$I$89,3,0)*0.475*44/12</f>
        <v>1.5964214264697993</v>
      </c>
      <c r="CN98" s="22">
        <f t="shared" si="66"/>
        <v>47.070831445949793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1.3999999999999986</v>
      </c>
      <c r="CT98" s="12">
        <f>IF('Données projet'!$A$140&gt;35,CT97+CS98-DB97,IF(A98&lt;'Données projet'!$A$140,$CQ$205^A98,IF(A98='Données projet'!$A$140,'Données projet'!$B$140,CT97+CS98-DB97)))</f>
        <v>104.99999999999991</v>
      </c>
      <c r="CU98" s="17">
        <f>CT98*VLOOKUP('Données projet'!$B$13,Paramètres!$A$1:$I$89,3,0)*VLOOKUP('Données projet'!$B$13,Paramètres!$A$1:$I$89,5,0)</f>
        <v>120.95999999999989</v>
      </c>
      <c r="CV98" s="13">
        <f t="shared" si="95"/>
        <v>31.898799588372977</v>
      </c>
      <c r="CW98" s="20">
        <f t="shared" si="67"/>
        <v>266.22907594974942</v>
      </c>
      <c r="CX98" s="59">
        <f t="shared" si="68"/>
        <v>559.56240928308273</v>
      </c>
      <c r="CY98" s="59">
        <f ca="1">AVERAGE(OFFSET($CX$3,0,0,'Données projet'!$E$13+1,1))-AVERAGE(OFFSET($H$3,0,0,'Données projet'!$E$13+1,1))</f>
        <v>150.78964413039063</v>
      </c>
      <c r="CZ98" s="59">
        <f t="shared" si="96"/>
        <v>131.90332435966184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6.4820547363909951</v>
      </c>
      <c r="DG98" s="21">
        <f>EXP(-LN(2)/25)*DG97+(1-EXP(-LN(2)/25))/(LN(2)/25)*Calculateur!DB98*Calculateur!DD98*VLOOKUP('Données projet'!$B$13,Paramètres!$A$1:$I$89,3,0)*0.475*44/12</f>
        <v>3.114219286074575</v>
      </c>
      <c r="DH98" s="21">
        <f>EXP(-LN(2)/2)*DH97+(1-EXP(-LN(2)/2))/(LN(2)/2)*DB98*DE98*VLOOKUP('Données projet'!$B$13,Paramètres!$A$1:$I$89,3,0)*0.475*44/12</f>
        <v>0.30587682458956028</v>
      </c>
      <c r="DI98" s="22">
        <f t="shared" si="69"/>
        <v>9.9021508470551307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111.53846153846153</v>
      </c>
      <c r="DM98" s="12">
        <f>VLOOKUP(A98,'Données projet'!$A$165:$I$185,9,0)</f>
        <v>1.6666666666666656</v>
      </c>
      <c r="DN98" s="12">
        <f t="array" ref="DN98">INDEX(DM:DM,MIN(IF(ISNUMBER(DM98:DM294),ROW(DM98:DM294),"")))</f>
        <v>1.6666666666666656</v>
      </c>
      <c r="DO98" s="12">
        <f>IF('Données projet'!$A$166&gt;35,DO97+DN98-DW97,IF(A98&lt;'Données projet'!$A$166,$DL$205^A98,IF(A98='Données projet'!$A$166,'Données projet'!$B$166,DO97+DN98-DW97)))</f>
        <v>111.53846153846155</v>
      </c>
      <c r="DP98" s="17">
        <f>DO98*VLOOKUP('Données projet'!$B$14,Paramètres!$A$1:$I$89,3,0)*VLOOKUP('Données projet'!$B$14,Paramètres!$A$1:$I$89,5,0)</f>
        <v>116.58000000000001</v>
      </c>
      <c r="DQ98" s="13">
        <f t="shared" si="97"/>
        <v>30.876003132467016</v>
      </c>
      <c r="DR98" s="20">
        <f t="shared" si="70"/>
        <v>256.81920545571342</v>
      </c>
      <c r="DS98" s="59">
        <f t="shared" si="71"/>
        <v>550.15253878904673</v>
      </c>
      <c r="DT98" s="59">
        <f ca="1">AVERAGE(OFFSET($DS$3,0,0,'Données projet'!$E$14+1,1))-AVERAGE(OFFSET($H$3,0,0,'Données projet'!$E$14+1,1))</f>
        <v>110.10595934547638</v>
      </c>
      <c r="DU98" s="59">
        <f t="shared" si="98"/>
        <v>131.10971921141493</v>
      </c>
      <c r="DV98" s="15">
        <f>IF(ISNA(VLOOKUP(A98,'Données projet'!$A$165:$I$185,3,0)),0,VLOOKUP(A98,'Données projet'!$A$165:$I$185,3,0))</f>
        <v>14</v>
      </c>
      <c r="DW98" s="15">
        <f>IF(ISNA(VLOOKUP(A98,'Données projet'!$A$165:$I$185,4,0)),0,VLOOKUP(A98,'Données projet'!$A$165:$I$185,4,0))</f>
        <v>5.7692307692307692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0.215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10.343708279068181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10.343708279068181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252.57</v>
      </c>
      <c r="EH98" s="12">
        <f>VLOOKUP(A98,'Données projet'!$A$191:$I$211,9,0)</f>
        <v>6.7600000000000007</v>
      </c>
      <c r="EI98" s="12">
        <f t="array" ref="EI98">INDEX(EH:EH,MIN(IF(ISNUMBER(EH98:EH294),ROW(EH98:EH294),"")))</f>
        <v>6.7600000000000007</v>
      </c>
      <c r="EJ98" s="12">
        <f>IF('Données projet'!$A$192&gt;35,EJ97+EI98-ER97,IF(A98&lt;'Données projet'!$A$192,$EG$205^A98,IF(A98='Données projet'!$A$192,'Données projet'!$B$192,EJ97+EI98-ER97)))</f>
        <v>252.56999999999988</v>
      </c>
      <c r="EK98" s="17">
        <f>EJ98*VLOOKUP('Données projet'!$B$15,Paramètres!$A$1:$I$89,3,0)*VLOOKUP('Données projet'!$B$15,Paramètres!$A$1:$I$89,5,0)</f>
        <v>256.10597999999987</v>
      </c>
      <c r="EL98" s="13">
        <f t="shared" si="99"/>
        <v>61.89160266777624</v>
      </c>
      <c r="EM98" s="20">
        <f t="shared" si="73"/>
        <v>553.84578981304333</v>
      </c>
      <c r="EN98" s="59">
        <f t="shared" si="74"/>
        <v>847.1791231463767</v>
      </c>
      <c r="EO98" s="59">
        <f ca="1">AVERAGE(OFFSET($EN$3,0,0,'Données projet'!$E$15+1,1))-AVERAGE(OFFSET($H$3,0,0,'Données projet'!$E$15+1,1))</f>
        <v>420.38735944595965</v>
      </c>
      <c r="EP98" s="59">
        <f t="shared" si="100"/>
        <v>200.0823542414671</v>
      </c>
      <c r="EQ98" s="15">
        <f>IF(ISNA(VLOOKUP(A98,'Données projet'!$A$191:$I$211,3,0)),0,VLOOKUP(A98,'Données projet'!$A$191:$I$211,3,0))</f>
        <v>5</v>
      </c>
      <c r="ER98" s="15">
        <f>IF(ISNA(VLOOKUP(A98,'Données projet'!$A$191:$I$211,4,0)),0,VLOOKUP(A98,'Données projet'!$A$191:$I$211,4,0))</f>
        <v>42.199999999999989</v>
      </c>
      <c r="ES98" s="16">
        <f>IF(ISNA(VLOOKUP(A98,'Données projet'!$A$191:$I$211,5,0)),0%,VLOOKUP(A98,'Données projet'!$A$191:$I$211,5,0)*VLOOKUP('Données projet'!$B$15,Paramètres!$A$1:$I$89,7,0))</f>
        <v>0.15049999999999999</v>
      </c>
      <c r="ET98" s="16">
        <f>IF(ISNA(VLOOKUP(A98,'Données projet'!$A$191:$I$211,6,0)),0%,VLOOKUP(A98,'Données projet'!$A$191:$I$211,6,0)*VLOOKUP('Données projet'!$B$15,Paramètres!$A$1:$I$89,7,0))</f>
        <v>8.6000000000000007E-2</v>
      </c>
      <c r="EU98" s="16">
        <f>IF(ISNA(VLOOKUP(A98,'Données projet'!$A$191:$I$211,7,0)),0%,VLOOKUP(A98,'Données projet'!$A$191:$I$211,7,0))</f>
        <v>0.1</v>
      </c>
      <c r="EV98" s="21">
        <f>EXP(-LN(2)/35)*EV97+(1-EXP(-LN(2)/35))/(LN(2)/35)*ER98*ES98*VLOOKUP('Données projet'!$B$15,Paramètres!$A$1:$I$89,3,0)*0.475*44/12</f>
        <v>12.418419542324367</v>
      </c>
      <c r="EW98" s="21">
        <f>EXP(-LN(2)/25)*EW97+(1-EXP(-LN(2)/25))/(LN(2)/25)*Calculateur!ER98*Calculateur!ET98*VLOOKUP('Données projet'!$B$15,Paramètres!$A$1:$I$89,3,0)*0.475*44/12</f>
        <v>33.269169739667007</v>
      </c>
      <c r="EX98" s="21">
        <f>EXP(-LN(2)/2)*EX97+(1-EXP(-LN(2)/2))/(LN(2)/2)*ER98*EU98*VLOOKUP('Données projet'!$B$15,Paramètres!$A$1:$I$89,3,0)*0.475*44/12</f>
        <v>4.2099037727724866</v>
      </c>
      <c r="EY98" s="22">
        <f t="shared" si="75"/>
        <v>49.897493054763856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8.9989999999999952</v>
      </c>
      <c r="FE98" s="12">
        <f>IF('Données projet'!$A$218&gt;35,FE97+FD98-FM97,IF(A98&lt;'Données projet'!$A$218,$FB$205^A98,IF(A98='Données projet'!$A$218,'Données projet'!$B$218,FE97+FD98-FM97)))</f>
        <v>299.4079999999999</v>
      </c>
      <c r="FF98" s="17">
        <f>FE98*VLOOKUP('Données projet'!$B$16,Paramètres!$A$1:$I$89,3,0)*VLOOKUP('Données projet'!$B$16,Paramètres!$A$1:$I$89,5,0)</f>
        <v>322.2827711999999</v>
      </c>
      <c r="FG98" s="13">
        <f t="shared" si="101"/>
        <v>75.828131927775956</v>
      </c>
      <c r="FH98" s="20">
        <f t="shared" si="76"/>
        <v>693.37648961420962</v>
      </c>
      <c r="FI98" s="59">
        <f t="shared" si="77"/>
        <v>986.70982294754299</v>
      </c>
      <c r="FJ98" s="59">
        <f ca="1">AVERAGE(OFFSET($FI$3,0,0,'Données projet'!$E$16+1,1))-AVERAGE(OFFSET($H$3,0,0,'Données projet'!$E$16+1,1))</f>
        <v>415.8741608506952</v>
      </c>
      <c r="FK98" s="59">
        <f t="shared" si="102"/>
        <v>259.15848913719356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40.330609279796597</v>
      </c>
      <c r="FR98" s="21">
        <f>EXP(-LN(2)/25)*FR97+(1-EXP(-LN(2)/25))/(LN(2)/25)*Calculateur!FM98*Calculateur!FO98*VLOOKUP('Données projet'!$B$16,Paramètres!$A$1:$I$89,3,0)*0.475*44/12</f>
        <v>27.903589129992859</v>
      </c>
      <c r="FS98" s="21">
        <f>EXP(-LN(2)/2)*FS97+(1-EXP(-LN(2)/2))/(LN(2)/2)*FM98*FP98*VLOOKUP('Données projet'!$B$16,Paramètres!$A$1:$I$89,3,0)*0.475*44/12</f>
        <v>8.3911099708096321E-2</v>
      </c>
      <c r="FT98" s="22">
        <f t="shared" si="78"/>
        <v>68.318109509497546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8.9989999999999952</v>
      </c>
      <c r="FZ98" s="12">
        <f>IF('Données projet'!$A$244&gt;35,FZ97+FY98-GH97,IF(A98&lt;'Données projet'!$A$244,$FW$205^A98,IF(A98='Données projet'!$A$244,'Données projet'!$B$244,FZ97+FY98-GH97)))</f>
        <v>299.4079999999999</v>
      </c>
      <c r="GA98" s="17">
        <f>FZ98*VLOOKUP('Données projet'!$B$17,Paramètres!$A$1:$I$89,3,0)*VLOOKUP('Données projet'!$B$17,Paramètres!$A$1:$I$89,5,0)</f>
        <v>256.89206399999995</v>
      </c>
      <c r="GB98" s="13">
        <f t="shared" si="103"/>
        <v>62.059428640794707</v>
      </c>
      <c r="GC98" s="20">
        <f t="shared" si="79"/>
        <v>555.50718301605059</v>
      </c>
      <c r="GD98" s="59">
        <f t="shared" si="80"/>
        <v>848.84051634938396</v>
      </c>
      <c r="GE98" s="59">
        <f ca="1">AVERAGE(OFFSET($GD$3,0,0,'Données projet'!$E$17+1,1))-AVERAGE(OFFSET($H$3,0,0,'Données projet'!$E$17+1,1))</f>
        <v>322.39807389980882</v>
      </c>
      <c r="GF98" s="59">
        <f t="shared" si="104"/>
        <v>202.59410055732792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39.623770155243378</v>
      </c>
      <c r="GM98" s="21">
        <f>EXP(-LN(2)/25)*GM97+(1-EXP(-LN(2)/25))/(LN(2)/25)*Calculateur!GH98*Calculateur!GJ98*VLOOKUP('Données projet'!$B$17,Paramètres!$A$1:$I$89,3,0)*0.475*44/12</f>
        <v>27.414547460036797</v>
      </c>
      <c r="GN98" s="21">
        <f>EXP(-LN(2)/2)*GN97+(1-EXP(-LN(2)/2))/(LN(2)/2)*GH98*GK98*VLOOKUP('Données projet'!$B$17,Paramètres!$A$1:$I$89,3,0)*0.475*44/12</f>
        <v>6.6885659187612939E-2</v>
      </c>
      <c r="GO98" s="21">
        <f t="shared" si="81"/>
        <v>67.105203274467797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35.193599999999911</v>
      </c>
      <c r="D99" s="11">
        <f t="shared" si="86"/>
        <v>10.715375251348362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354.38507211567088</v>
      </c>
      <c r="H99" s="67">
        <f t="shared" si="56"/>
        <v>373.29146522943154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9.4258333333333351</v>
      </c>
      <c r="N99" s="13">
        <f>IF('Données projet'!$A$36&gt;35,N98+M99-V98,IF(A99&lt;'Données projet'!$A$36,$K$205^A99,IF(A99='Données projet'!$A$36,'Données projet'!$B$36,N98+M99-V98)))</f>
        <v>419.07250000000022</v>
      </c>
      <c r="O99" s="13">
        <f>N99*VLOOKUP('Données projet'!$B$9,Paramètres!$A$1:$I$89,3,0)*VLOOKUP('Données projet'!$B$9,Paramètres!$A$1:$I$89,5,0)</f>
        <v>196.1259300000001</v>
      </c>
      <c r="P99" s="13">
        <f t="shared" si="87"/>
        <v>48.891797571959543</v>
      </c>
      <c r="Q99" s="20">
        <f t="shared" ref="Q99:Q130" si="107">(O99+P99)*0.475*44/12</f>
        <v>426.73920885449638</v>
      </c>
      <c r="R99" s="59">
        <f t="shared" si="55"/>
        <v>720.07254218782964</v>
      </c>
      <c r="S99" s="59">
        <f ca="1">AVERAGE(OFFSET($R$3,0,0,'Données projet'!$E$9+1,1))-AVERAGE(OFFSET($H$3,0,0,'Données projet'!$E$9+1,1))</f>
        <v>215.77907571824977</v>
      </c>
      <c r="T99" s="59">
        <f t="shared" si="88"/>
        <v>174.69390149594869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44.409539976291015</v>
      </c>
      <c r="AA99" s="21">
        <f>EXP(-LN(2)/25)*AA98+(1-EXP(-LN(2)/25))/(LN(2)/25)*Calculateur!V99*Calculateur!X99*VLOOKUP('Données projet'!$B$9,Paramètres!$A$1:$I$89,3,0)*0.475*44/12</f>
        <v>15.286816274224192</v>
      </c>
      <c r="AB99" s="21">
        <f>EXP(-LN(2)/2)*AB98+(1-EXP(-LN(2)/2))/(LN(2)/2)*V99*Y99*VLOOKUP('Données projet'!$B$9,Paramètres!$A$1:$I$89,3,0)*0.475*44/12</f>
        <v>0.44032032955048872</v>
      </c>
      <c r="AC99" s="22">
        <f t="shared" si="57"/>
        <v>60.136676580065696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-1.0197709343628959E-13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171.701352621833</v>
      </c>
      <c r="AO99" s="59">
        <f t="shared" si="90"/>
        <v>195.58435749168586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52.13367907950829</v>
      </c>
      <c r="AV99" s="21">
        <f>EXP(-LN(2)/25)*AV98+(1-EXP(-LN(2)/25))/(LN(2)/25)*Calculateur!AQ99*Calculateur!AS99*VLOOKUP('Données projet'!$B$10,Paramètres!$A$1:$I$89,3,0)*0.475*44/12</f>
        <v>14.562406085826565</v>
      </c>
      <c r="AW99" s="21">
        <f>EXP(-LN(2)/2)*AW98+(1-EXP(-LN(2)/2))/(LN(2)/2)*AQ99*AT99*VLOOKUP('Données projet'!$B$10,Paramètres!$A$1:$I$89,3,0)*0.475*44/12</f>
        <v>3.4117833128668692E-4</v>
      </c>
      <c r="AX99" s="21">
        <f t="shared" si="60"/>
        <v>66.696426343666133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-1.1823431123048067E-13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348.29124901999882</v>
      </c>
      <c r="BJ99" s="59">
        <f t="shared" si="92"/>
        <v>284.30034973939053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158.30718020818614</v>
      </c>
      <c r="BQ99" s="21">
        <f>EXP(-LN(2)/25)*BQ98+(1-EXP(-LN(2)/25))/(LN(2)/25)*Calculateur!BL99*Calculateur!BN99*VLOOKUP('Données projet'!$B$11,Paramètres!$A$1:$I$89,3,0)*0.475*44/12</f>
        <v>49.91443797884066</v>
      </c>
      <c r="BR99" s="21">
        <f>EXP(-LN(2)/2)*BR98+(1-EXP(-LN(2)/2))/(LN(2)/2)*BL99*BO99*VLOOKUP('Données projet'!$B$11,Paramètres!$A$1:$I$89,3,0)*0.475*44/12</f>
        <v>0.32955862976140532</v>
      </c>
      <c r="BS99" s="22">
        <f t="shared" si="63"/>
        <v>208.5511768167882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6.0030000000000001</v>
      </c>
      <c r="BY99" s="12">
        <f>IF('Données projet'!$A$114&gt;35,BY98+BX99-CG98,IF(A99&lt;'Données projet'!$A$114,$BV$205^A99,IF(A99='Données projet'!$A$114,'Données projet'!$B$114,BY98+BX99-CG98)))</f>
        <v>264.05799999999982</v>
      </c>
      <c r="BZ99" s="13">
        <f>BY99*VLOOKUP('Données projet'!$B$12,Paramètres!$A$1:$I$89,3,0)*VLOOKUP('Données projet'!$B$12,Paramètres!$A$1:$I$89,5,0)</f>
        <v>157.9066839999999</v>
      </c>
      <c r="CA99" s="13">
        <f t="shared" si="93"/>
        <v>40.370000859020728</v>
      </c>
      <c r="CB99" s="20">
        <f t="shared" si="64"/>
        <v>345.33189279612753</v>
      </c>
      <c r="CC99" s="59">
        <f t="shared" si="65"/>
        <v>638.66522612946085</v>
      </c>
      <c r="CD99" s="59">
        <f ca="1">AVERAGE(OFFSET($CC$3,0,0,'Données projet'!$E$12+1,1))-AVERAGE(OFFSET($H$3,0,0,'Données projet'!$E$12+1,1))</f>
        <v>185.82627135915504</v>
      </c>
      <c r="CE99" s="59">
        <f t="shared" si="94"/>
        <v>155.46126452522037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33.241994812488443</v>
      </c>
      <c r="CL99" s="21">
        <f>EXP(-LN(2)/25)*CL98+(1-EXP(-LN(2)/25))/(LN(2)/25)*Calculateur!CG99*Calculateur!CI99*VLOOKUP('Données projet'!$B$12,Paramètres!$A$1:$I$89,3,0)*0.475*44/12</f>
        <v>11.251207318156519</v>
      </c>
      <c r="CM99" s="21">
        <f>EXP(-LN(2)/2)*CM98+(1-EXP(-LN(2)/2))/(LN(2)/2)*CG99*CJ99*VLOOKUP('Données projet'!$B$12,Paramètres!$A$1:$I$89,3,0)*0.475*44/12</f>
        <v>1.1288404162882966</v>
      </c>
      <c r="CN99" s="22">
        <f t="shared" si="66"/>
        <v>45.622042546933258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1.3999999999999986</v>
      </c>
      <c r="CT99" s="12">
        <f>IF('Données projet'!$A$140&gt;35,CT98+CS99-DB98,IF(A99&lt;'Données projet'!$A$140,$CQ$205^A99,IF(A99='Données projet'!$A$140,'Données projet'!$B$140,CT98+CS99-DB98)))</f>
        <v>106.39999999999992</v>
      </c>
      <c r="CU99" s="17">
        <f>CT99*VLOOKUP('Données projet'!$B$13,Paramètres!$A$1:$I$89,3,0)*VLOOKUP('Données projet'!$B$13,Paramètres!$A$1:$I$89,5,0)</f>
        <v>122.5727999999999</v>
      </c>
      <c r="CV99" s="13">
        <f t="shared" si="95"/>
        <v>32.274319787267032</v>
      </c>
      <c r="CW99" s="20">
        <f t="shared" si="67"/>
        <v>269.69206696282328</v>
      </c>
      <c r="CX99" s="59">
        <f t="shared" si="68"/>
        <v>563.02540029615659</v>
      </c>
      <c r="CY99" s="59">
        <f ca="1">AVERAGE(OFFSET($CX$3,0,0,'Données projet'!$E$13+1,1))-AVERAGE(OFFSET($H$3,0,0,'Données projet'!$E$13+1,1))</f>
        <v>150.78964413039063</v>
      </c>
      <c r="CZ99" s="59">
        <f t="shared" si="96"/>
        <v>131.90332435966184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6.3549455966733648</v>
      </c>
      <c r="DG99" s="21">
        <f>EXP(-LN(2)/25)*DG98+(1-EXP(-LN(2)/25))/(LN(2)/25)*Calculateur!DB99*Calculateur!DD99*VLOOKUP('Données projet'!$B$13,Paramètres!$A$1:$I$89,3,0)*0.475*44/12</f>
        <v>3.0290607959271911</v>
      </c>
      <c r="DH99" s="21">
        <f>EXP(-LN(2)/2)*DH98+(1-EXP(-LN(2)/2))/(LN(2)/2)*DB99*DE99*VLOOKUP('Données projet'!$B$13,Paramètres!$A$1:$I$89,3,0)*0.475*44/12</f>
        <v>0.21628757687508621</v>
      </c>
      <c r="DI99" s="22">
        <f t="shared" si="69"/>
        <v>9.6002939694756417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1.5384615384615388</v>
      </c>
      <c r="DO99" s="12">
        <f>IF('Données projet'!$A$166&gt;35,DO98+DN99-DW98,IF(A99&lt;'Données projet'!$A$166,$DL$205^A99,IF(A99='Données projet'!$A$166,'Données projet'!$B$166,DO98+DN99-DW98)))</f>
        <v>107.30769230769231</v>
      </c>
      <c r="DP99" s="17">
        <f>DO99*VLOOKUP('Données projet'!$B$14,Paramètres!$A$1:$I$89,3,0)*VLOOKUP('Données projet'!$B$14,Paramètres!$A$1:$I$89,5,0)</f>
        <v>112.15800000000002</v>
      </c>
      <c r="DQ99" s="13">
        <f t="shared" si="97"/>
        <v>29.838849871501552</v>
      </c>
      <c r="DR99" s="20">
        <f t="shared" si="70"/>
        <v>247.31118019286521</v>
      </c>
      <c r="DS99" s="59">
        <f t="shared" si="71"/>
        <v>540.64451352619858</v>
      </c>
      <c r="DT99" s="59">
        <f ca="1">AVERAGE(OFFSET($DS$3,0,0,'Données projet'!$E$14+1,1))-AVERAGE(OFFSET($H$3,0,0,'Données projet'!$E$14+1,1))</f>
        <v>110.10595934547638</v>
      </c>
      <c r="DU99" s="59">
        <f t="shared" si="98"/>
        <v>131.10971921141493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10.060859032225084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10.060859032225084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6.7777777777777777</v>
      </c>
      <c r="EJ99" s="12">
        <f>IF('Données projet'!$A$192&gt;35,EJ98+EI99-ER98,IF(A99&lt;'Données projet'!$A$192,$EG$205^A99,IF(A99='Données projet'!$A$192,'Données projet'!$B$192,EJ98+EI99-ER98)))</f>
        <v>217.14777777777766</v>
      </c>
      <c r="EK99" s="17">
        <f>EJ99*VLOOKUP('Données projet'!$B$15,Paramètres!$A$1:$I$89,3,0)*VLOOKUP('Données projet'!$B$15,Paramètres!$A$1:$I$89,5,0)</f>
        <v>220.18784666666656</v>
      </c>
      <c r="EL99" s="13">
        <f t="shared" si="99"/>
        <v>54.155711237243175</v>
      </c>
      <c r="EM99" s="20">
        <f t="shared" si="73"/>
        <v>477.81503001597611</v>
      </c>
      <c r="EN99" s="59">
        <f t="shared" si="74"/>
        <v>771.14836334930942</v>
      </c>
      <c r="EO99" s="59">
        <f ca="1">AVERAGE(OFFSET($EN$3,0,0,'Données projet'!$E$15+1,1))-AVERAGE(OFFSET($H$3,0,0,'Données projet'!$E$15+1,1))</f>
        <v>420.38735944595965</v>
      </c>
      <c r="EP99" s="59">
        <f t="shared" si="100"/>
        <v>200.0823542414671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12.174901909587389</v>
      </c>
      <c r="EW99" s="21">
        <f>EXP(-LN(2)/25)*EW98+(1-EXP(-LN(2)/25))/(LN(2)/25)*Calculateur!ER99*Calculateur!ET99*VLOOKUP('Données projet'!$B$15,Paramètres!$A$1:$I$89,3,0)*0.475*44/12</f>
        <v>32.359422543586213</v>
      </c>
      <c r="EX99" s="21">
        <f>EXP(-LN(2)/2)*EX98+(1-EXP(-LN(2)/2))/(LN(2)/2)*ER99*EU99*VLOOKUP('Données projet'!$B$15,Paramètres!$A$1:$I$89,3,0)*0.475*44/12</f>
        <v>2.9768515058702558</v>
      </c>
      <c r="EY99" s="22">
        <f t="shared" si="75"/>
        <v>47.511175959043861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8.9989999999999952</v>
      </c>
      <c r="FE99" s="12">
        <f>IF('Données projet'!$A$218&gt;35,FE98+FD99-FM98,IF(A99&lt;'Données projet'!$A$218,$FB$205^A99,IF(A99='Données projet'!$A$218,'Données projet'!$B$218,FE98+FD99-FM98)))</f>
        <v>308.40699999999993</v>
      </c>
      <c r="FF99" s="17">
        <f>FE99*VLOOKUP('Données projet'!$B$16,Paramètres!$A$1:$I$89,3,0)*VLOOKUP('Données projet'!$B$16,Paramètres!$A$1:$I$89,5,0)</f>
        <v>331.96929479999989</v>
      </c>
      <c r="FG99" s="13">
        <f t="shared" si="101"/>
        <v>77.838450738855911</v>
      </c>
      <c r="FH99" s="20">
        <f t="shared" si="76"/>
        <v>713.74849014684048</v>
      </c>
      <c r="FI99" s="59">
        <f t="shared" si="77"/>
        <v>1007.0818234801739</v>
      </c>
      <c r="FJ99" s="59">
        <f ca="1">AVERAGE(OFFSET($FI$3,0,0,'Données projet'!$E$16+1,1))-AVERAGE(OFFSET($H$3,0,0,'Données projet'!$E$16+1,1))</f>
        <v>415.8741608506952</v>
      </c>
      <c r="FK99" s="59">
        <f t="shared" si="102"/>
        <v>259.15848913719356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39.539750631062475</v>
      </c>
      <c r="FR99" s="21">
        <f>EXP(-LN(2)/25)*FR98+(1-EXP(-LN(2)/25))/(LN(2)/25)*Calculateur!FM99*Calculateur!FO99*VLOOKUP('Données projet'!$B$16,Paramètres!$A$1:$I$89,3,0)*0.475*44/12</f>
        <v>27.140564017847225</v>
      </c>
      <c r="FS99" s="21">
        <f>EXP(-LN(2)/2)*FS98+(1-EXP(-LN(2)/2))/(LN(2)/2)*FM99*FP99*VLOOKUP('Données projet'!$B$16,Paramètres!$A$1:$I$89,3,0)*0.475*44/12</f>
        <v>5.9334107620415438E-2</v>
      </c>
      <c r="FT99" s="22">
        <f t="shared" si="78"/>
        <v>66.739648756530116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8.9989999999999952</v>
      </c>
      <c r="FZ99" s="12">
        <f>IF('Données projet'!$A$244&gt;35,FZ98+FY99-GH98,IF(A99&lt;'Données projet'!$A$244,$FW$205^A99,IF(A99='Données projet'!$A$244,'Données projet'!$B$244,FZ98+FY99-GH98)))</f>
        <v>308.40699999999993</v>
      </c>
      <c r="GA99" s="17">
        <f>FZ99*VLOOKUP('Données projet'!$B$17,Paramètres!$A$1:$I$89,3,0)*VLOOKUP('Données projet'!$B$17,Paramètres!$A$1:$I$89,5,0)</f>
        <v>264.61320599999999</v>
      </c>
      <c r="GB99" s="13">
        <f t="shared" si="103"/>
        <v>63.704718240178401</v>
      </c>
      <c r="GC99" s="20">
        <f t="shared" si="79"/>
        <v>571.82038471831072</v>
      </c>
      <c r="GD99" s="59">
        <f t="shared" si="80"/>
        <v>865.15371805164409</v>
      </c>
      <c r="GE99" s="59">
        <f ca="1">AVERAGE(OFFSET($GD$3,0,0,'Données projet'!$E$17+1,1))-AVERAGE(OFFSET($H$3,0,0,'Données projet'!$E$17+1,1))</f>
        <v>322.39807389980882</v>
      </c>
      <c r="GF99" s="59">
        <f t="shared" si="104"/>
        <v>202.59410055732792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38.846772190612448</v>
      </c>
      <c r="GM99" s="21">
        <f>EXP(-LN(2)/25)*GM98+(1-EXP(-LN(2)/25))/(LN(2)/25)*Calculateur!GH99*Calculateur!GJ99*VLOOKUP('Données projet'!$B$17,Paramètres!$A$1:$I$89,3,0)*0.475*44/12</f>
        <v>26.664895218073696</v>
      </c>
      <c r="GN99" s="21">
        <f>EXP(-LN(2)/2)*GN98+(1-EXP(-LN(2)/2))/(LN(2)/2)*GH99*GK99*VLOOKUP('Données projet'!$B$17,Paramètres!$A$1:$I$89,3,0)*0.475*44/12</f>
        <v>4.7295303175693415E-2</v>
      </c>
      <c r="GO99" s="21">
        <f t="shared" si="81"/>
        <v>65.558962711861838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35.560199999999909</v>
      </c>
      <c r="D100" s="11">
        <f t="shared" si="86"/>
        <v>10.813941789492828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357.97583135748778</v>
      </c>
      <c r="H100" s="67">
        <f t="shared" si="56"/>
        <v>374.10163028336649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9.4258333333333351</v>
      </c>
      <c r="N100" s="13">
        <f>IF('Données projet'!$A$36&gt;35,N99+M100-V99,IF(A100&lt;'Données projet'!$A$36,$K$205^A100,IF(A100='Données projet'!$A$36,'Données projet'!$B$36,N99+M100-V99)))</f>
        <v>428.49833333333356</v>
      </c>
      <c r="O100" s="13">
        <f>N100*VLOOKUP('Données projet'!$B$9,Paramètres!$A$1:$I$89,3,0)*VLOOKUP('Données projet'!$B$9,Paramètres!$A$1:$I$89,5,0)</f>
        <v>200.5372200000001</v>
      </c>
      <c r="P100" s="13">
        <f t="shared" si="87"/>
        <v>49.862213982600288</v>
      </c>
      <c r="Q100" s="20">
        <f t="shared" si="107"/>
        <v>436.11234751969567</v>
      </c>
      <c r="R100" s="59">
        <f t="shared" si="55"/>
        <v>729.44568085302899</v>
      </c>
      <c r="S100" s="59">
        <f ca="1">AVERAGE(OFFSET($R$3,0,0,'Données projet'!$E$9+1,1))-AVERAGE(OFFSET($H$3,0,0,'Données projet'!$E$9+1,1))</f>
        <v>215.77907571824977</v>
      </c>
      <c r="T100" s="59">
        <f t="shared" si="88"/>
        <v>174.69390149594869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43.538695984500698</v>
      </c>
      <c r="AA100" s="21">
        <f>EXP(-LN(2)/25)*AA99+(1-EXP(-LN(2)/25))/(LN(2)/25)*Calculateur!V100*Calculateur!X100*VLOOKUP('Données projet'!$B$9,Paramètres!$A$1:$I$89,3,0)*0.475*44/12</f>
        <v>14.868797479306801</v>
      </c>
      <c r="AB100" s="21">
        <f>EXP(-LN(2)/2)*AB99+(1-EXP(-LN(2)/2))/(LN(2)/2)*V100*Y100*VLOOKUP('Données projet'!$B$9,Paramètres!$A$1:$I$89,3,0)*0.475*44/12</f>
        <v>0.31135349091944592</v>
      </c>
      <c r="AC100" s="22">
        <f t="shared" si="57"/>
        <v>58.718846954726942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-1.0197709343628959E-13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171.701352621833</v>
      </c>
      <c r="AO100" s="59">
        <f t="shared" si="90"/>
        <v>195.58435749168586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51.111369431163538</v>
      </c>
      <c r="AV100" s="21">
        <f>EXP(-LN(2)/25)*AV99+(1-EXP(-LN(2)/25))/(LN(2)/25)*Calculateur!AQ100*Calculateur!AS100*VLOOKUP('Données projet'!$B$10,Paramètres!$A$1:$I$89,3,0)*0.475*44/12</f>
        <v>14.164196325605984</v>
      </c>
      <c r="AW100" s="21">
        <f>EXP(-LN(2)/2)*AW99+(1-EXP(-LN(2)/2))/(LN(2)/2)*AQ100*AT100*VLOOKUP('Données projet'!$B$10,Paramètres!$A$1:$I$89,3,0)*0.475*44/12</f>
        <v>2.4124951164672677E-4</v>
      </c>
      <c r="AX100" s="21">
        <f t="shared" si="60"/>
        <v>65.27580700628117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-1.1823431123048067E-13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348.29124901999882</v>
      </c>
      <c r="BJ100" s="59">
        <f t="shared" si="92"/>
        <v>284.30034973939053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155.20287296214923</v>
      </c>
      <c r="BQ100" s="21">
        <f>EXP(-LN(2)/25)*BQ99+(1-EXP(-LN(2)/25))/(LN(2)/25)*Calculateur!BL100*Calculateur!BN100*VLOOKUP('Données projet'!$B$11,Paramètres!$A$1:$I$89,3,0)*0.475*44/12</f>
        <v>48.549525047423046</v>
      </c>
      <c r="BR100" s="21">
        <f>EXP(-LN(2)/2)*BR99+(1-EXP(-LN(2)/2))/(LN(2)/2)*BL100*BO100*VLOOKUP('Données projet'!$B$11,Paramètres!$A$1:$I$89,3,0)*0.475*44/12</f>
        <v>0.23303314190283647</v>
      </c>
      <c r="BS100" s="22">
        <f t="shared" si="63"/>
        <v>203.98543115147513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6.0030000000000001</v>
      </c>
      <c r="BY100" s="12">
        <f>IF('Données projet'!$A$114&gt;35,BY99+BX100-CG99,IF(A100&lt;'Données projet'!$A$114,$BV$205^A100,IF(A100='Données projet'!$A$114,'Données projet'!$B$114,BY99+BX100-CG99)))</f>
        <v>270.06099999999981</v>
      </c>
      <c r="BZ100" s="13">
        <f>BY100*VLOOKUP('Données projet'!$B$12,Paramètres!$A$1:$I$89,3,0)*VLOOKUP('Données projet'!$B$12,Paramètres!$A$1:$I$89,5,0)</f>
        <v>161.49647799999988</v>
      </c>
      <c r="CA100" s="13">
        <f t="shared" si="93"/>
        <v>41.179867098124248</v>
      </c>
      <c r="CB100" s="20">
        <f t="shared" si="64"/>
        <v>352.99463437923288</v>
      </c>
      <c r="CC100" s="59">
        <f t="shared" si="65"/>
        <v>646.32796771256619</v>
      </c>
      <c r="CD100" s="59">
        <f ca="1">AVERAGE(OFFSET($CC$3,0,0,'Données projet'!$E$12+1,1))-AVERAGE(OFFSET($H$3,0,0,'Données projet'!$E$12+1,1))</f>
        <v>185.82627135915504</v>
      </c>
      <c r="CE100" s="59">
        <f t="shared" si="94"/>
        <v>155.46126452522037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32.590139569830328</v>
      </c>
      <c r="CL100" s="21">
        <f>EXP(-LN(2)/25)*CL99+(1-EXP(-LN(2)/25))/(LN(2)/25)*Calculateur!CG100*Calculateur!CI100*VLOOKUP('Données projet'!$B$12,Paramètres!$A$1:$I$89,3,0)*0.475*44/12</f>
        <v>10.943542462366251</v>
      </c>
      <c r="CM100" s="21">
        <f>EXP(-LN(2)/2)*CM99+(1-EXP(-LN(2)/2))/(LN(2)/2)*CG100*CJ100*VLOOKUP('Données projet'!$B$12,Paramètres!$A$1:$I$89,3,0)*0.475*44/12</f>
        <v>0.79821071323489978</v>
      </c>
      <c r="CN100" s="22">
        <f t="shared" si="66"/>
        <v>44.331892745431482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1.3999999999999986</v>
      </c>
      <c r="CT100" s="12">
        <f>IF('Données projet'!$A$140&gt;35,CT99+CS100-DB99,IF(A100&lt;'Données projet'!$A$140,$CQ$205^A100,IF(A100='Données projet'!$A$140,'Données projet'!$B$140,CT99+CS100-DB99)))</f>
        <v>107.79999999999993</v>
      </c>
      <c r="CU100" s="17">
        <f>CT100*VLOOKUP('Données projet'!$B$13,Paramètres!$A$1:$I$89,3,0)*VLOOKUP('Données projet'!$B$13,Paramètres!$A$1:$I$89,5,0)</f>
        <v>124.18559999999991</v>
      </c>
      <c r="CV100" s="13">
        <f t="shared" si="95"/>
        <v>32.64926527000479</v>
      </c>
      <c r="CW100" s="20">
        <f t="shared" si="67"/>
        <v>273.15405701192481</v>
      </c>
      <c r="CX100" s="59">
        <f t="shared" si="68"/>
        <v>566.48739034525806</v>
      </c>
      <c r="CY100" s="59">
        <f ca="1">AVERAGE(OFFSET($CX$3,0,0,'Données projet'!$E$13+1,1))-AVERAGE(OFFSET($H$3,0,0,'Données projet'!$E$13+1,1))</f>
        <v>150.78964413039063</v>
      </c>
      <c r="CZ100" s="59">
        <f t="shared" si="96"/>
        <v>131.90332435966184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6.2303289896566776</v>
      </c>
      <c r="DG100" s="21">
        <f>EXP(-LN(2)/25)*DG99+(1-EXP(-LN(2)/25))/(LN(2)/25)*Calculateur!DB100*Calculateur!DD100*VLOOKUP('Données projet'!$B$13,Paramètres!$A$1:$I$89,3,0)*0.475*44/12</f>
        <v>2.9462309691711779</v>
      </c>
      <c r="DH100" s="21">
        <f>EXP(-LN(2)/2)*DH99+(1-EXP(-LN(2)/2))/(LN(2)/2)*DB100*DE100*VLOOKUP('Données projet'!$B$13,Paramètres!$A$1:$I$89,3,0)*0.475*44/12</f>
        <v>0.15293841229478017</v>
      </c>
      <c r="DI100" s="22">
        <f t="shared" si="69"/>
        <v>9.3294983711226358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1.5384615384615388</v>
      </c>
      <c r="DO100" s="12">
        <f>IF('Données projet'!$A$166&gt;35,DO99+DN100-DW99,IF(A100&lt;'Données projet'!$A$166,$DL$205^A100,IF(A100='Données projet'!$A$166,'Données projet'!$B$166,DO99+DN100-DW99)))</f>
        <v>108.84615384615384</v>
      </c>
      <c r="DP100" s="17">
        <f>DO100*VLOOKUP('Données projet'!$B$14,Paramètres!$A$1:$I$89,3,0)*VLOOKUP('Données projet'!$B$14,Paramètres!$A$1:$I$89,5,0)</f>
        <v>113.76600000000001</v>
      </c>
      <c r="DQ100" s="13">
        <f t="shared" si="97"/>
        <v>30.216537678638609</v>
      </c>
      <c r="DR100" s="20">
        <f t="shared" si="70"/>
        <v>250.76958645696223</v>
      </c>
      <c r="DS100" s="59">
        <f t="shared" si="71"/>
        <v>544.10291979029557</v>
      </c>
      <c r="DT100" s="59">
        <f ca="1">AVERAGE(OFFSET($DS$3,0,0,'Données projet'!$E$14+1,1))-AVERAGE(OFFSET($H$3,0,0,'Données projet'!$E$14+1,1))</f>
        <v>110.10595934547638</v>
      </c>
      <c r="DU100" s="59">
        <f t="shared" si="98"/>
        <v>131.10971921141493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9.7857443129113069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9.7857443129113069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6.7777777777777777</v>
      </c>
      <c r="EJ100" s="12">
        <f>IF('Données projet'!$A$192&gt;35,EJ99+EI100-ER99,IF(A100&lt;'Données projet'!$A$192,$EG$205^A100,IF(A100='Données projet'!$A$192,'Données projet'!$B$192,EJ99+EI100-ER99)))</f>
        <v>223.92555555555543</v>
      </c>
      <c r="EK100" s="17">
        <f>EJ100*VLOOKUP('Données projet'!$B$15,Paramètres!$A$1:$I$89,3,0)*VLOOKUP('Données projet'!$B$15,Paramètres!$A$1:$I$89,5,0)</f>
        <v>227.06051333333323</v>
      </c>
      <c r="EL100" s="13">
        <f t="shared" si="99"/>
        <v>55.646620764750722</v>
      </c>
      <c r="EM100" s="20">
        <f t="shared" si="73"/>
        <v>492.38159188749614</v>
      </c>
      <c r="EN100" s="59">
        <f t="shared" si="74"/>
        <v>785.7149252208294</v>
      </c>
      <c r="EO100" s="59">
        <f ca="1">AVERAGE(OFFSET($EN$3,0,0,'Données projet'!$E$15+1,1))-AVERAGE(OFFSET($H$3,0,0,'Données projet'!$E$15+1,1))</f>
        <v>420.38735944595965</v>
      </c>
      <c r="EP100" s="59">
        <f t="shared" si="100"/>
        <v>200.0823542414671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11.936159509097292</v>
      </c>
      <c r="EW100" s="21">
        <f>EXP(-LN(2)/25)*EW99+(1-EXP(-LN(2)/25))/(LN(2)/25)*Calculateur!ER100*Calculateur!ET100*VLOOKUP('Données projet'!$B$15,Paramètres!$A$1:$I$89,3,0)*0.475*44/12</f>
        <v>31.474552432423774</v>
      </c>
      <c r="EX100" s="21">
        <f>EXP(-LN(2)/2)*EX99+(1-EXP(-LN(2)/2))/(LN(2)/2)*ER100*EU100*VLOOKUP('Données projet'!$B$15,Paramètres!$A$1:$I$89,3,0)*0.475*44/12</f>
        <v>2.1049518863862438</v>
      </c>
      <c r="EY100" s="22">
        <f t="shared" si="75"/>
        <v>45.515663827907311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8.9989999999999952</v>
      </c>
      <c r="FE100" s="12">
        <f>IF('Données projet'!$A$218&gt;35,FE99+FD100-FM99,IF(A100&lt;'Données projet'!$A$218,$FB$205^A100,IF(A100='Données projet'!$A$218,'Données projet'!$B$218,FE99+FD100-FM99)))</f>
        <v>317.40599999999995</v>
      </c>
      <c r="FF100" s="17">
        <f>FE100*VLOOKUP('Données projet'!$B$16,Paramètres!$A$1:$I$89,3,0)*VLOOKUP('Données projet'!$B$16,Paramètres!$A$1:$I$89,5,0)</f>
        <v>341.65581839999993</v>
      </c>
      <c r="FG100" s="13">
        <f t="shared" si="101"/>
        <v>79.841952197500291</v>
      </c>
      <c r="FH100" s="20">
        <f t="shared" si="76"/>
        <v>734.10861712397957</v>
      </c>
      <c r="FI100" s="59">
        <f t="shared" si="77"/>
        <v>1027.4419504573129</v>
      </c>
      <c r="FJ100" s="59">
        <f ca="1">AVERAGE(OFFSET($FI$3,0,0,'Données projet'!$E$16+1,1))-AVERAGE(OFFSET($H$3,0,0,'Données projet'!$E$16+1,1))</f>
        <v>415.8741608506952</v>
      </c>
      <c r="FK100" s="59">
        <f t="shared" si="102"/>
        <v>259.15848913719356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38.764400238053881</v>
      </c>
      <c r="FR100" s="21">
        <f>EXP(-LN(2)/25)*FR99+(1-EXP(-LN(2)/25))/(LN(2)/25)*Calculateur!FM100*Calculateur!FO100*VLOOKUP('Données projet'!$B$16,Paramètres!$A$1:$I$89,3,0)*0.475*44/12</f>
        <v>26.398403867518962</v>
      </c>
      <c r="FS100" s="21">
        <f>EXP(-LN(2)/2)*FS99+(1-EXP(-LN(2)/2))/(LN(2)/2)*FM100*FP100*VLOOKUP('Données projet'!$B$16,Paramètres!$A$1:$I$89,3,0)*0.475*44/12</f>
        <v>4.1955549854048167E-2</v>
      </c>
      <c r="FT100" s="22">
        <f t="shared" si="78"/>
        <v>65.204759655426898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8.9989999999999952</v>
      </c>
      <c r="FZ100" s="12">
        <f>IF('Données projet'!$A$244&gt;35,FZ99+FY100-GH99,IF(A100&lt;'Données projet'!$A$244,$FW$205^A100,IF(A100='Données projet'!$A$244,'Données projet'!$B$244,FZ99+FY100-GH99)))</f>
        <v>317.40599999999995</v>
      </c>
      <c r="GA100" s="17">
        <f>FZ100*VLOOKUP('Données projet'!$B$17,Paramètres!$A$1:$I$89,3,0)*VLOOKUP('Données projet'!$B$17,Paramètres!$A$1:$I$89,5,0)</f>
        <v>272.33434799999998</v>
      </c>
      <c r="GB100" s="13">
        <f t="shared" si="103"/>
        <v>65.344428366795924</v>
      </c>
      <c r="GC100" s="20">
        <f t="shared" si="79"/>
        <v>588.12386883883619</v>
      </c>
      <c r="GD100" s="59">
        <f t="shared" si="80"/>
        <v>881.45720217216945</v>
      </c>
      <c r="GE100" s="59">
        <f ca="1">AVERAGE(OFFSET($GD$3,0,0,'Données projet'!$E$17+1,1))-AVERAGE(OFFSET($H$3,0,0,'Données projet'!$E$17+1,1))</f>
        <v>322.39807389980882</v>
      </c>
      <c r="GF100" s="59">
        <f t="shared" si="104"/>
        <v>202.59410055732792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38.08501068214597</v>
      </c>
      <c r="GM100" s="21">
        <f>EXP(-LN(2)/25)*GM99+(1-EXP(-LN(2)/25))/(LN(2)/25)*Calculateur!GH100*Calculateur!GJ100*VLOOKUP('Données projet'!$B$17,Paramètres!$A$1:$I$89,3,0)*0.475*44/12</f>
        <v>25.935742256089576</v>
      </c>
      <c r="GN100" s="21">
        <f>EXP(-LN(2)/2)*GN99+(1-EXP(-LN(2)/2))/(LN(2)/2)*GH100*GK100*VLOOKUP('Données projet'!$B$17,Paramètres!$A$1:$I$89,3,0)*0.475*44/12</f>
        <v>3.344282959380647E-2</v>
      </c>
      <c r="GO100" s="21">
        <f t="shared" si="81"/>
        <v>64.054195767829356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35.926799999999908</v>
      </c>
      <c r="D101" s="11">
        <f t="shared" si="86"/>
        <v>10.912390116516523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361.56567809240755</v>
      </c>
      <c r="H101" s="67">
        <f t="shared" si="56"/>
        <v>374.91158945293273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9.4258333333333351</v>
      </c>
      <c r="N101" s="13">
        <f>IF('Données projet'!$A$36&gt;35,N100+M101-V100,IF(A101&lt;'Données projet'!$A$36,$K$205^A101,IF(A101='Données projet'!$A$36,'Données projet'!$B$36,N100+M101-V100)))</f>
        <v>437.92416666666691</v>
      </c>
      <c r="O101" s="13">
        <f>N101*VLOOKUP('Données projet'!$B$9,Paramètres!$A$1:$I$89,3,0)*VLOOKUP('Données projet'!$B$9,Paramètres!$A$1:$I$89,5,0)</f>
        <v>204.94851000000008</v>
      </c>
      <c r="P101" s="13">
        <f t="shared" si="87"/>
        <v>50.83014861559694</v>
      </c>
      <c r="Q101" s="20">
        <f t="shared" si="107"/>
        <v>445.48116375549813</v>
      </c>
      <c r="R101" s="59">
        <f t="shared" si="55"/>
        <v>738.81449708883144</v>
      </c>
      <c r="S101" s="59">
        <f ca="1">AVERAGE(OFFSET($R$3,0,0,'Données projet'!$E$9+1,1))-AVERAGE(OFFSET($H$3,0,0,'Données projet'!$E$9+1,1))</f>
        <v>215.77907571824977</v>
      </c>
      <c r="T101" s="59">
        <f t="shared" si="88"/>
        <v>174.69390149594869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42.684928712227006</v>
      </c>
      <c r="AA101" s="21">
        <f>EXP(-LN(2)/25)*AA100+(1-EXP(-LN(2)/25))/(LN(2)/25)*Calculateur!V101*Calculateur!X101*VLOOKUP('Données projet'!$B$9,Paramètres!$A$1:$I$89,3,0)*0.475*44/12</f>
        <v>14.46220943031908</v>
      </c>
      <c r="AB101" s="21">
        <f>EXP(-LN(2)/2)*AB100+(1-EXP(-LN(2)/2))/(LN(2)/2)*V101*Y101*VLOOKUP('Données projet'!$B$9,Paramètres!$A$1:$I$89,3,0)*0.475*44/12</f>
        <v>0.22016016477524436</v>
      </c>
      <c r="AC101" s="22">
        <f t="shared" si="57"/>
        <v>57.367298307321327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-1.0197709343628959E-13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171.701352621833</v>
      </c>
      <c r="AO101" s="59">
        <f t="shared" si="90"/>
        <v>195.58435749168586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50.109106651475514</v>
      </c>
      <c r="AV101" s="21">
        <f>EXP(-LN(2)/25)*AV100+(1-EXP(-LN(2)/25))/(LN(2)/25)*Calculateur!AQ101*Calculateur!AS101*VLOOKUP('Données projet'!$B$10,Paramètres!$A$1:$I$89,3,0)*0.475*44/12</f>
        <v>13.776875632219577</v>
      </c>
      <c r="AW101" s="21">
        <f>EXP(-LN(2)/2)*AW100+(1-EXP(-LN(2)/2))/(LN(2)/2)*AQ101*AT101*VLOOKUP('Données projet'!$B$10,Paramètres!$A$1:$I$89,3,0)*0.475*44/12</f>
        <v>1.7058916564334349E-4</v>
      </c>
      <c r="AX101" s="21">
        <f t="shared" si="60"/>
        <v>63.886152872860734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-1.1823431123048067E-13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348.29124901999882</v>
      </c>
      <c r="BJ101" s="59">
        <f t="shared" si="92"/>
        <v>284.30034973939053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152.15943928776665</v>
      </c>
      <c r="BQ101" s="21">
        <f>EXP(-LN(2)/25)*BQ100+(1-EXP(-LN(2)/25))/(LN(2)/25)*Calculateur!BL101*Calculateur!BN101*VLOOKUP('Données projet'!$B$11,Paramètres!$A$1:$I$89,3,0)*0.475*44/12</f>
        <v>47.2219357318927</v>
      </c>
      <c r="BR101" s="21">
        <f>EXP(-LN(2)/2)*BR100+(1-EXP(-LN(2)/2))/(LN(2)/2)*BL101*BO101*VLOOKUP('Données projet'!$B$11,Paramètres!$A$1:$I$89,3,0)*0.475*44/12</f>
        <v>0.16477931488070269</v>
      </c>
      <c r="BS101" s="22">
        <f t="shared" si="63"/>
        <v>199.54615433454003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6.0030000000000001</v>
      </c>
      <c r="BY101" s="12">
        <f>IF('Données projet'!$A$114&gt;35,BY100+BX101-CG100,IF(A101&lt;'Données projet'!$A$114,$BV$205^A101,IF(A101='Données projet'!$A$114,'Données projet'!$B$114,BY100+BX101-CG100)))</f>
        <v>276.06399999999979</v>
      </c>
      <c r="BZ101" s="13">
        <f>BY101*VLOOKUP('Données projet'!$B$12,Paramètres!$A$1:$I$89,3,0)*VLOOKUP('Données projet'!$B$12,Paramètres!$A$1:$I$89,5,0)</f>
        <v>165.08627199999989</v>
      </c>
      <c r="CA101" s="13">
        <f t="shared" si="93"/>
        <v>41.98764043553377</v>
      </c>
      <c r="CB101" s="20">
        <f t="shared" si="64"/>
        <v>360.65373082522109</v>
      </c>
      <c r="CC101" s="59">
        <f t="shared" si="65"/>
        <v>653.9870641585544</v>
      </c>
      <c r="CD101" s="59">
        <f ca="1">AVERAGE(OFFSET($CC$3,0,0,'Données projet'!$E$12+1,1))-AVERAGE(OFFSET($H$3,0,0,'Données projet'!$E$12+1,1))</f>
        <v>185.82627135915504</v>
      </c>
      <c r="CE101" s="59">
        <f t="shared" si="94"/>
        <v>155.46126452522037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31.9510668108883</v>
      </c>
      <c r="CL101" s="21">
        <f>EXP(-LN(2)/25)*CL100+(1-EXP(-LN(2)/25))/(LN(2)/25)*Calculateur!CG101*Calculateur!CI101*VLOOKUP('Données projet'!$B$12,Paramètres!$A$1:$I$89,3,0)*0.475*44/12</f>
        <v>10.644290718236959</v>
      </c>
      <c r="CM101" s="21">
        <f>EXP(-LN(2)/2)*CM100+(1-EXP(-LN(2)/2))/(LN(2)/2)*CG101*CJ101*VLOOKUP('Données projet'!$B$12,Paramètres!$A$1:$I$89,3,0)*0.475*44/12</f>
        <v>0.56442020814414839</v>
      </c>
      <c r="CN101" s="22">
        <f t="shared" si="66"/>
        <v>43.159777737269408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1.3999999999999986</v>
      </c>
      <c r="CT101" s="12">
        <f>IF('Données projet'!$A$140&gt;35,CT100+CS101-DB100,IF(A101&lt;'Données projet'!$A$140,$CQ$205^A101,IF(A101='Données projet'!$A$140,'Données projet'!$B$140,CT100+CS101-DB100)))</f>
        <v>109.19999999999993</v>
      </c>
      <c r="CU101" s="17">
        <f>CT101*VLOOKUP('Données projet'!$B$13,Paramètres!$A$1:$I$89,3,0)*VLOOKUP('Données projet'!$B$13,Paramètres!$A$1:$I$89,5,0)</f>
        <v>125.79839999999992</v>
      </c>
      <c r="CV101" s="13">
        <f t="shared" si="95"/>
        <v>33.023644363399924</v>
      </c>
      <c r="CW101" s="20">
        <f t="shared" si="67"/>
        <v>276.61506059958805</v>
      </c>
      <c r="CX101" s="59">
        <f t="shared" si="68"/>
        <v>569.94839393292136</v>
      </c>
      <c r="CY101" s="59">
        <f ca="1">AVERAGE(OFFSET($CX$3,0,0,'Données projet'!$E$13+1,1))-AVERAGE(OFFSET($H$3,0,0,'Données projet'!$E$13+1,1))</f>
        <v>150.78964413039063</v>
      </c>
      <c r="CZ101" s="59">
        <f t="shared" si="96"/>
        <v>131.90332435966184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6.1081560382949629</v>
      </c>
      <c r="DG101" s="21">
        <f>EXP(-LN(2)/25)*DG100+(1-EXP(-LN(2)/25))/(LN(2)/25)*Calculateur!DB101*Calculateur!DD101*VLOOKUP('Données projet'!$B$13,Paramètres!$A$1:$I$89,3,0)*0.475*44/12</f>
        <v>2.8656661283836389</v>
      </c>
      <c r="DH101" s="21">
        <f>EXP(-LN(2)/2)*DH100+(1-EXP(-LN(2)/2))/(LN(2)/2)*DB101*DE101*VLOOKUP('Données projet'!$B$13,Paramètres!$A$1:$I$89,3,0)*0.475*44/12</f>
        <v>0.10814378843754312</v>
      </c>
      <c r="DI101" s="22">
        <f t="shared" si="69"/>
        <v>9.0819659551161447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1.5384615384615388</v>
      </c>
      <c r="DO101" s="12">
        <f>IF('Données projet'!$A$166&gt;35,DO100+DN101-DW100,IF(A101&lt;'Données projet'!$A$166,$DL$205^A101,IF(A101='Données projet'!$A$166,'Données projet'!$B$166,DO100+DN101-DW100)))</f>
        <v>110.38461538461537</v>
      </c>
      <c r="DP101" s="17">
        <f>DO101*VLOOKUP('Données projet'!$B$14,Paramètres!$A$1:$I$89,3,0)*VLOOKUP('Données projet'!$B$14,Paramètres!$A$1:$I$89,5,0)</f>
        <v>115.374</v>
      </c>
      <c r="DQ101" s="13">
        <f t="shared" si="97"/>
        <v>30.593604591603903</v>
      </c>
      <c r="DR101" s="20">
        <f t="shared" si="70"/>
        <v>254.22691133037677</v>
      </c>
      <c r="DS101" s="59">
        <f t="shared" si="71"/>
        <v>547.56024466371014</v>
      </c>
      <c r="DT101" s="59">
        <f ca="1">AVERAGE(OFFSET($DS$3,0,0,'Données projet'!$E$14+1,1))-AVERAGE(OFFSET($H$3,0,0,'Données projet'!$E$14+1,1))</f>
        <v>110.10595934547638</v>
      </c>
      <c r="DU101" s="59">
        <f t="shared" si="98"/>
        <v>131.10971921141493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9.5181526200648197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9.5181526200648197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6.7777777777777777</v>
      </c>
      <c r="EJ101" s="12">
        <f>IF('Données projet'!$A$192&gt;35,EJ100+EI101-ER100,IF(A101&lt;'Données projet'!$A$192,$EG$205^A101,IF(A101='Données projet'!$A$192,'Données projet'!$B$192,EJ100+EI101-ER100)))</f>
        <v>230.70333333333321</v>
      </c>
      <c r="EK101" s="17">
        <f>EJ101*VLOOKUP('Données projet'!$B$15,Paramètres!$A$1:$I$89,3,0)*VLOOKUP('Données projet'!$B$15,Paramètres!$A$1:$I$89,5,0)</f>
        <v>233.93317999999988</v>
      </c>
      <c r="EL101" s="13">
        <f t="shared" si="99"/>
        <v>57.132285924019129</v>
      </c>
      <c r="EM101" s="20">
        <f t="shared" si="73"/>
        <v>506.93901981766635</v>
      </c>
      <c r="EN101" s="59">
        <f t="shared" si="74"/>
        <v>800.27235315099961</v>
      </c>
      <c r="EO101" s="59">
        <f ca="1">AVERAGE(OFFSET($EN$3,0,0,'Données projet'!$E$15+1,1))-AVERAGE(OFFSET($H$3,0,0,'Données projet'!$E$15+1,1))</f>
        <v>420.38735944595965</v>
      </c>
      <c r="EP101" s="59">
        <f t="shared" si="100"/>
        <v>200.0823542414671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11.702098701462321</v>
      </c>
      <c r="EW101" s="21">
        <f>EXP(-LN(2)/25)*EW100+(1-EXP(-LN(2)/25))/(LN(2)/25)*Calculateur!ER101*Calculateur!ET101*VLOOKUP('Données projet'!$B$15,Paramètres!$A$1:$I$89,3,0)*0.475*44/12</f>
        <v>30.61387914098437</v>
      </c>
      <c r="EX101" s="21">
        <f>EXP(-LN(2)/2)*EX100+(1-EXP(-LN(2)/2))/(LN(2)/2)*ER101*EU101*VLOOKUP('Données projet'!$B$15,Paramètres!$A$1:$I$89,3,0)*0.475*44/12</f>
        <v>1.4884257529351281</v>
      </c>
      <c r="EY101" s="22">
        <f t="shared" si="75"/>
        <v>43.804403595381821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8.9989999999999952</v>
      </c>
      <c r="FE101" s="12">
        <f>IF('Données projet'!$A$218&gt;35,FE100+FD101-FM100,IF(A101&lt;'Données projet'!$A$218,$FB$205^A101,IF(A101='Données projet'!$A$218,'Données projet'!$B$218,FE100+FD101-FM100)))</f>
        <v>326.40499999999997</v>
      </c>
      <c r="FF101" s="17">
        <f>FE101*VLOOKUP('Données projet'!$B$16,Paramètres!$A$1:$I$89,3,0)*VLOOKUP('Données projet'!$B$16,Paramètres!$A$1:$I$89,5,0)</f>
        <v>351.34234199999997</v>
      </c>
      <c r="FG101" s="13">
        <f t="shared" si="101"/>
        <v>81.838851788282241</v>
      </c>
      <c r="FH101" s="20">
        <f t="shared" si="76"/>
        <v>754.45724584792481</v>
      </c>
      <c r="FI101" s="59">
        <f t="shared" si="77"/>
        <v>1047.7905791812582</v>
      </c>
      <c r="FJ101" s="59">
        <f ca="1">AVERAGE(OFFSET($FI$3,0,0,'Données projet'!$E$16+1,1))-AVERAGE(OFFSET($H$3,0,0,'Données projet'!$E$16+1,1))</f>
        <v>415.8741608506952</v>
      </c>
      <c r="FK101" s="59">
        <f t="shared" si="102"/>
        <v>259.15848913719356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38.004253993335141</v>
      </c>
      <c r="FR101" s="21">
        <f>EXP(-LN(2)/25)*FR100+(1-EXP(-LN(2)/25))/(LN(2)/25)*Calculateur!FM101*Calculateur!FO101*VLOOKUP('Données projet'!$B$16,Paramètres!$A$1:$I$89,3,0)*0.475*44/12</f>
        <v>25.67653812552993</v>
      </c>
      <c r="FS101" s="21">
        <f>EXP(-LN(2)/2)*FS100+(1-EXP(-LN(2)/2))/(LN(2)/2)*FM101*FP101*VLOOKUP('Données projet'!$B$16,Paramètres!$A$1:$I$89,3,0)*0.475*44/12</f>
        <v>2.9667053810207726E-2</v>
      </c>
      <c r="FT101" s="22">
        <f t="shared" si="78"/>
        <v>63.710459172675279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8.9989999999999952</v>
      </c>
      <c r="FZ101" s="12">
        <f>IF('Données projet'!$A$244&gt;35,FZ100+FY101-GH100,IF(A101&lt;'Données projet'!$A$244,$FW$205^A101,IF(A101='Données projet'!$A$244,'Données projet'!$B$244,FZ100+FY101-GH100)))</f>
        <v>326.40499999999997</v>
      </c>
      <c r="GA101" s="17">
        <f>FZ101*VLOOKUP('Données projet'!$B$17,Paramètres!$A$1:$I$89,3,0)*VLOOKUP('Données projet'!$B$17,Paramètres!$A$1:$I$89,5,0)</f>
        <v>280.05549000000002</v>
      </c>
      <c r="GB101" s="13">
        <f t="shared" si="103"/>
        <v>66.978735378011777</v>
      </c>
      <c r="GC101" s="20">
        <f t="shared" si="79"/>
        <v>604.41794253337059</v>
      </c>
      <c r="GD101" s="59">
        <f t="shared" si="80"/>
        <v>897.75127586670396</v>
      </c>
      <c r="GE101" s="59">
        <f ca="1">AVERAGE(OFFSET($GD$3,0,0,'Données projet'!$E$17+1,1))-AVERAGE(OFFSET($H$3,0,0,'Données projet'!$E$17+1,1))</f>
        <v>322.39807389980882</v>
      </c>
      <c r="GF101" s="59">
        <f t="shared" si="104"/>
        <v>202.59410055732792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37.338186852231878</v>
      </c>
      <c r="GM101" s="21">
        <f>EXP(-LN(2)/25)*GM100+(1-EXP(-LN(2)/25))/(LN(2)/25)*Calculateur!GH101*Calculateur!GJ101*VLOOKUP('Données projet'!$B$17,Paramètres!$A$1:$I$89,3,0)*0.475*44/12</f>
        <v>25.226528020195399</v>
      </c>
      <c r="GN101" s="21">
        <f>EXP(-LN(2)/2)*GN100+(1-EXP(-LN(2)/2))/(LN(2)/2)*GH101*GK101*VLOOKUP('Données projet'!$B$17,Paramètres!$A$1:$I$89,3,0)*0.475*44/12</f>
        <v>2.3647651587846708E-2</v>
      </c>
      <c r="GO101" s="21">
        <f t="shared" si="81"/>
        <v>62.588362524015118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36.293399999999906</v>
      </c>
      <c r="D102" s="11">
        <f t="shared" si="86"/>
        <v>11.010721578308726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365.15462270975087</v>
      </c>
      <c r="H102" s="67">
        <f t="shared" si="56"/>
        <v>375.72134508222086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447.35</v>
      </c>
      <c r="L102" s="12">
        <f>VLOOKUP(A102,'Données projet'!$A$35:$I$55,9,0)</f>
        <v>9.4258333333333351</v>
      </c>
      <c r="M102" s="12">
        <f t="array" ref="M102">INDEX(L:L,MIN(IF(ISNUMBER(L102:L298),ROW(L102:L298),"")))</f>
        <v>9.4258333333333351</v>
      </c>
      <c r="N102" s="13">
        <f>IF('Données projet'!$A$36&gt;35,N101+M102-V101,IF(A102&lt;'Données projet'!$A$36,$K$205^A102,IF(A102='Données projet'!$A$36,'Données projet'!$B$36,N101+M102-V101)))</f>
        <v>447.35000000000025</v>
      </c>
      <c r="O102" s="13">
        <f>N102*VLOOKUP('Données projet'!$B$9,Paramètres!$A$1:$I$89,3,0)*VLOOKUP('Données projet'!$B$9,Paramètres!$A$1:$I$89,5,0)</f>
        <v>209.35980000000012</v>
      </c>
      <c r="P102" s="13">
        <f t="shared" si="87"/>
        <v>51.795661040915135</v>
      </c>
      <c r="Q102" s="20">
        <f t="shared" si="107"/>
        <v>454.84576131292738</v>
      </c>
      <c r="R102" s="59">
        <f t="shared" si="55"/>
        <v>748.17909464626064</v>
      </c>
      <c r="S102" s="59">
        <f ca="1">AVERAGE(OFFSET($R$3,0,0,'Données projet'!$E$9+1,1))-AVERAGE(OFFSET($H$3,0,0,'Données projet'!$E$9+1,1))</f>
        <v>215.77907571824977</v>
      </c>
      <c r="T102" s="59">
        <f t="shared" si="88"/>
        <v>174.69390149594869</v>
      </c>
      <c r="U102" s="15">
        <f>IF(ISNA(VLOOKUP(A102,'Données projet'!$A$35:$I$55,3,0)),0,VLOOKUP(A102,'Données projet'!$A$35:$I$55,3,0))</f>
        <v>5</v>
      </c>
      <c r="V102" s="15">
        <f>IF(ISNA(VLOOKUP(A102,'Données projet'!$A$35:$I$55,4,0)),0,VLOOKUP(A102,'Données projet'!$A$35:$I$55,4,0))</f>
        <v>222.86</v>
      </c>
      <c r="W102" s="16">
        <f>IF(ISNA(VLOOKUP(A102,'Données projet'!$A$35:$I$55,5,0)),0%,VLOOKUP(A102,'Données projet'!$A$35:$I$55,5,0)*VLOOKUP('Données projet'!$B$9,Paramètres!$A$1:$I$89,7,0))</f>
        <v>0.33</v>
      </c>
      <c r="X102" s="16">
        <f>IF(ISNA(VLOOKUP(A102,'Données projet'!$A$35:$I$55,6,0)),0%,VLOOKUP(A102,'Données projet'!$A$35:$I$55,6,0)*VLOOKUP('Données projet'!$B$9,Paramètres!$A$1:$I$89,7,0))</f>
        <v>0.11000000000000001</v>
      </c>
      <c r="Y102" s="16">
        <f>IF(ISNA(VLOOKUP(A102,'Données projet'!$A$35:$I$55,7,0)),0%,VLOOKUP(A102,'Données projet'!$A$35:$I$55,7,0))</f>
        <v>0.2</v>
      </c>
      <c r="Z102" s="21">
        <f>EXP(-LN(2)/35)*Z101+(1-EXP(-LN(2)/35))/(LN(2)/35)*V102*W102*VLOOKUP('Données projet'!$B$9,Paramètres!$A$1:$I$89,3,0)*0.475*44/12</f>
        <v>87.506259882458664</v>
      </c>
      <c r="AA102" s="21">
        <f>EXP(-LN(2)/25)*AA101+(1-EXP(-LN(2)/25))/(LN(2)/25)*Calculateur!V102*Calculateur!X102*VLOOKUP('Données projet'!$B$9,Paramètres!$A$1:$I$89,3,0)*0.475*44/12</f>
        <v>29.226266966233041</v>
      </c>
      <c r="AB102" s="21">
        <f>EXP(-LN(2)/2)*AB101+(1-EXP(-LN(2)/2))/(LN(2)/2)*V102*Y102*VLOOKUP('Données projet'!$B$9,Paramètres!$A$1:$I$89,3,0)*0.475*44/12</f>
        <v>23.773698273243351</v>
      </c>
      <c r="AC102" s="22">
        <f t="shared" si="57"/>
        <v>140.50622512193505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-1.0197709343628959E-13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171.701352621833</v>
      </c>
      <c r="AO102" s="59">
        <f t="shared" si="90"/>
        <v>195.58435749168586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49.126497633577237</v>
      </c>
      <c r="AV102" s="21">
        <f>EXP(-LN(2)/25)*AV101+(1-EXP(-LN(2)/25))/(LN(2)/25)*Calculateur!AQ102*Calculateur!AS102*VLOOKUP('Données projet'!$B$10,Paramètres!$A$1:$I$89,3,0)*0.475*44/12</f>
        <v>13.40014624356213</v>
      </c>
      <c r="AW102" s="21">
        <f>EXP(-LN(2)/2)*AW101+(1-EXP(-LN(2)/2))/(LN(2)/2)*AQ102*AT102*VLOOKUP('Données projet'!$B$10,Paramètres!$A$1:$I$89,3,0)*0.475*44/12</f>
        <v>1.206247558233634E-4</v>
      </c>
      <c r="AX102" s="21">
        <f t="shared" si="60"/>
        <v>62.526764501895187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-1.1823431123048067E-13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348.29124901999882</v>
      </c>
      <c r="BJ102" s="59">
        <f t="shared" si="92"/>
        <v>284.30034973939053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149.17568549142746</v>
      </c>
      <c r="BQ102" s="21">
        <f>EXP(-LN(2)/25)*BQ101+(1-EXP(-LN(2)/25))/(LN(2)/25)*Calculateur!BL102*Calculateur!BN102*VLOOKUP('Données projet'!$B$11,Paramètres!$A$1:$I$89,3,0)*0.475*44/12</f>
        <v>45.930649416010418</v>
      </c>
      <c r="BR102" s="21">
        <f>EXP(-LN(2)/2)*BR101+(1-EXP(-LN(2)/2))/(LN(2)/2)*BL102*BO102*VLOOKUP('Données projet'!$B$11,Paramètres!$A$1:$I$89,3,0)*0.475*44/12</f>
        <v>0.11651657095141826</v>
      </c>
      <c r="BS102" s="22">
        <f t="shared" si="63"/>
        <v>195.22285147838929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6.0030000000000001</v>
      </c>
      <c r="BY102" s="12">
        <f>IF('Données projet'!$A$114&gt;35,BY101+BX102-CG101,IF(A102&lt;'Données projet'!$A$114,$BV$205^A102,IF(A102='Données projet'!$A$114,'Données projet'!$B$114,BY101+BX102-CG101)))</f>
        <v>282.06699999999978</v>
      </c>
      <c r="BZ102" s="13">
        <f>BY102*VLOOKUP('Données projet'!$B$12,Paramètres!$A$1:$I$89,3,0)*VLOOKUP('Données projet'!$B$12,Paramètres!$A$1:$I$89,5,0)</f>
        <v>168.67606599999988</v>
      </c>
      <c r="CA102" s="13">
        <f t="shared" si="93"/>
        <v>42.793371622512126</v>
      </c>
      <c r="CB102" s="20">
        <f t="shared" si="64"/>
        <v>368.30927052587504</v>
      </c>
      <c r="CC102" s="59">
        <f t="shared" si="65"/>
        <v>661.64260385920829</v>
      </c>
      <c r="CD102" s="59">
        <f ca="1">AVERAGE(OFFSET($CC$3,0,0,'Données projet'!$E$12+1,1))-AVERAGE(OFFSET($H$3,0,0,'Données projet'!$E$12+1,1))</f>
        <v>185.82627135915504</v>
      </c>
      <c r="CE102" s="59">
        <f t="shared" si="94"/>
        <v>155.46126452522037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31.324525878953231</v>
      </c>
      <c r="CL102" s="21">
        <f>EXP(-LN(2)/25)*CL101+(1-EXP(-LN(2)/25))/(LN(2)/25)*Calculateur!CG102*Calculateur!CI102*VLOOKUP('Données projet'!$B$12,Paramètres!$A$1:$I$89,3,0)*0.475*44/12</f>
        <v>10.353222028787849</v>
      </c>
      <c r="CM102" s="21">
        <f>EXP(-LN(2)/2)*CM101+(1-EXP(-LN(2)/2))/(LN(2)/2)*CG102*CJ102*VLOOKUP('Données projet'!$B$12,Paramètres!$A$1:$I$89,3,0)*0.475*44/12</f>
        <v>0.39910535661745</v>
      </c>
      <c r="CN102" s="22">
        <f t="shared" si="66"/>
        <v>42.076853264358526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1.3999999999999986</v>
      </c>
      <c r="CT102" s="12">
        <f>IF('Données projet'!$A$140&gt;35,CT101+CS102-DB101,IF(A102&lt;'Données projet'!$A$140,$CQ$205^A102,IF(A102='Données projet'!$A$140,'Données projet'!$B$140,CT101+CS102-DB101)))</f>
        <v>110.59999999999994</v>
      </c>
      <c r="CU102" s="17">
        <f>CT102*VLOOKUP('Données projet'!$B$13,Paramètres!$A$1:$I$89,3,0)*VLOOKUP('Données projet'!$B$13,Paramètres!$A$1:$I$89,5,0)</f>
        <v>127.41119999999991</v>
      </c>
      <c r="CV102" s="13">
        <f t="shared" si="95"/>
        <v>33.397465168482086</v>
      </c>
      <c r="CW102" s="20">
        <f t="shared" si="67"/>
        <v>280.07509183510609</v>
      </c>
      <c r="CX102" s="59">
        <f t="shared" si="68"/>
        <v>573.40842516843941</v>
      </c>
      <c r="CY102" s="59">
        <f ca="1">AVERAGE(OFFSET($CX$3,0,0,'Données projet'!$E$13+1,1))-AVERAGE(OFFSET($H$3,0,0,'Données projet'!$E$13+1,1))</f>
        <v>150.78964413039063</v>
      </c>
      <c r="CZ102" s="59">
        <f t="shared" si="96"/>
        <v>131.90332435966184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5.9883788239913089</v>
      </c>
      <c r="DG102" s="21">
        <f>EXP(-LN(2)/25)*DG101+(1-EXP(-LN(2)/25))/(LN(2)/25)*Calculateur!DB102*Calculateur!DD102*VLOOKUP('Données projet'!$B$13,Paramètres!$A$1:$I$89,3,0)*0.475*44/12</f>
        <v>2.787304337404156</v>
      </c>
      <c r="DH102" s="21">
        <f>EXP(-LN(2)/2)*DH101+(1-EXP(-LN(2)/2))/(LN(2)/2)*DB102*DE102*VLOOKUP('Données projet'!$B$13,Paramètres!$A$1:$I$89,3,0)*0.475*44/12</f>
        <v>7.6469206147390098E-2</v>
      </c>
      <c r="DI102" s="22">
        <f t="shared" si="69"/>
        <v>8.8521523675428551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1.5384615384615388</v>
      </c>
      <c r="DO102" s="12">
        <f>IF('Données projet'!$A$166&gt;35,DO101+DN102-DW101,IF(A102&lt;'Données projet'!$A$166,$DL$205^A102,IF(A102='Données projet'!$A$166,'Données projet'!$B$166,DO101+DN102-DW101)))</f>
        <v>111.92307692307691</v>
      </c>
      <c r="DP102" s="17">
        <f>DO102*VLOOKUP('Données projet'!$B$14,Paramètres!$A$1:$I$89,3,0)*VLOOKUP('Données projet'!$B$14,Paramètres!$A$1:$I$89,5,0)</f>
        <v>116.982</v>
      </c>
      <c r="DQ102" s="13">
        <f t="shared" si="97"/>
        <v>30.970060264048016</v>
      </c>
      <c r="DR102" s="20">
        <f t="shared" si="70"/>
        <v>257.68317162655029</v>
      </c>
      <c r="DS102" s="59">
        <f t="shared" si="71"/>
        <v>551.0165049598836</v>
      </c>
      <c r="DT102" s="59">
        <f ca="1">AVERAGE(OFFSET($DS$3,0,0,'Données projet'!$E$14+1,1))-AVERAGE(OFFSET($H$3,0,0,'Données projet'!$E$14+1,1))</f>
        <v>110.10595934547638</v>
      </c>
      <c r="DU102" s="59">
        <f t="shared" si="98"/>
        <v>131.10971921141493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9.2578782361312548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9.2578782361312548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6.7777777777777777</v>
      </c>
      <c r="EJ102" s="12">
        <f>IF('Données projet'!$A$192&gt;35,EJ101+EI102-ER101,IF(A102&lt;'Données projet'!$A$192,$EG$205^A102,IF(A102='Données projet'!$A$192,'Données projet'!$B$192,EJ101+EI102-ER101)))</f>
        <v>237.48111111111098</v>
      </c>
      <c r="EK102" s="17">
        <f>EJ102*VLOOKUP('Données projet'!$B$15,Paramètres!$A$1:$I$89,3,0)*VLOOKUP('Données projet'!$B$15,Paramètres!$A$1:$I$89,5,0)</f>
        <v>240.80584666666655</v>
      </c>
      <c r="EL102" s="13">
        <f t="shared" si="99"/>
        <v>58.612878478503731</v>
      </c>
      <c r="EM102" s="20">
        <f t="shared" si="73"/>
        <v>521.48761296117152</v>
      </c>
      <c r="EN102" s="59">
        <f t="shared" si="74"/>
        <v>814.82094629450489</v>
      </c>
      <c r="EO102" s="59">
        <f ca="1">AVERAGE(OFFSET($EN$3,0,0,'Données projet'!$E$15+1,1))-AVERAGE(OFFSET($H$3,0,0,'Données projet'!$E$15+1,1))</f>
        <v>420.38735944595965</v>
      </c>
      <c r="EP102" s="59">
        <f t="shared" si="100"/>
        <v>200.0823542414671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11.472627683502076</v>
      </c>
      <c r="EW102" s="21">
        <f>EXP(-LN(2)/25)*EW101+(1-EXP(-LN(2)/25))/(LN(2)/25)*Calculateur!ER102*Calculateur!ET102*VLOOKUP('Données projet'!$B$15,Paramètres!$A$1:$I$89,3,0)*0.475*44/12</f>
        <v>29.776741005960218</v>
      </c>
      <c r="EX102" s="21">
        <f>EXP(-LN(2)/2)*EX101+(1-EXP(-LN(2)/2))/(LN(2)/2)*ER102*EU102*VLOOKUP('Données projet'!$B$15,Paramètres!$A$1:$I$89,3,0)*0.475*44/12</f>
        <v>1.0524759431931219</v>
      </c>
      <c r="EY102" s="22">
        <f t="shared" si="75"/>
        <v>42.301844632655417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8.9989999999999952</v>
      </c>
      <c r="FE102" s="12">
        <f>IF('Données projet'!$A$218&gt;35,FE101+FD102-FM101,IF(A102&lt;'Données projet'!$A$218,$FB$205^A102,IF(A102='Données projet'!$A$218,'Données projet'!$B$218,FE101+FD102-FM101)))</f>
        <v>335.404</v>
      </c>
      <c r="FF102" s="17">
        <f>FE102*VLOOKUP('Données projet'!$B$16,Paramètres!$A$1:$I$89,3,0)*VLOOKUP('Données projet'!$B$16,Paramètres!$A$1:$I$89,5,0)</f>
        <v>361.02886559999996</v>
      </c>
      <c r="FG102" s="13">
        <f t="shared" si="101"/>
        <v>83.829352437758416</v>
      </c>
      <c r="FH102" s="20">
        <f t="shared" si="76"/>
        <v>774.79472974909584</v>
      </c>
      <c r="FI102" s="59">
        <f t="shared" si="77"/>
        <v>1068.1280630824292</v>
      </c>
      <c r="FJ102" s="59">
        <f ca="1">AVERAGE(OFFSET($FI$3,0,0,'Données projet'!$E$16+1,1))-AVERAGE(OFFSET($H$3,0,0,'Données projet'!$E$16+1,1))</f>
        <v>415.8741608506952</v>
      </c>
      <c r="FK102" s="59">
        <f t="shared" si="102"/>
        <v>259.15848913719356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37.259013752831912</v>
      </c>
      <c r="FR102" s="21">
        <f>EXP(-LN(2)/25)*FR101+(1-EXP(-LN(2)/25))/(LN(2)/25)*Calculateur!FM102*Calculateur!FO102*VLOOKUP('Données projet'!$B$16,Paramètres!$A$1:$I$89,3,0)*0.475*44/12</f>
        <v>24.97441184021686</v>
      </c>
      <c r="FS102" s="21">
        <f>EXP(-LN(2)/2)*FS101+(1-EXP(-LN(2)/2))/(LN(2)/2)*FM102*FP102*VLOOKUP('Données projet'!$B$16,Paramètres!$A$1:$I$89,3,0)*0.475*44/12</f>
        <v>2.0977774927024087E-2</v>
      </c>
      <c r="FT102" s="22">
        <f t="shared" si="78"/>
        <v>62.254403367975797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8.9989999999999952</v>
      </c>
      <c r="FZ102" s="12">
        <f>IF('Données projet'!$A$244&gt;35,FZ101+FY102-GH101,IF(A102&lt;'Données projet'!$A$244,$FW$205^A102,IF(A102='Données projet'!$A$244,'Données projet'!$B$244,FZ101+FY102-GH101)))</f>
        <v>335.404</v>
      </c>
      <c r="GA102" s="17">
        <f>FZ102*VLOOKUP('Données projet'!$B$17,Paramètres!$A$1:$I$89,3,0)*VLOOKUP('Données projet'!$B$17,Paramètres!$A$1:$I$89,5,0)</f>
        <v>287.77663200000001</v>
      </c>
      <c r="GB102" s="13">
        <f t="shared" si="103"/>
        <v>68.607805353430408</v>
      </c>
      <c r="GC102" s="20">
        <f t="shared" si="79"/>
        <v>620.70289505722462</v>
      </c>
      <c r="GD102" s="59">
        <f t="shared" si="80"/>
        <v>914.03622839055788</v>
      </c>
      <c r="GE102" s="59">
        <f ca="1">AVERAGE(OFFSET($GD$3,0,0,'Données projet'!$E$17+1,1))-AVERAGE(OFFSET($H$3,0,0,'Données projet'!$E$17+1,1))</f>
        <v>322.39807389980882</v>
      </c>
      <c r="GF102" s="59">
        <f t="shared" si="104"/>
        <v>202.59410055732792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36.60600778210484</v>
      </c>
      <c r="GM102" s="21">
        <f>EXP(-LN(2)/25)*GM101+(1-EXP(-LN(2)/25))/(LN(2)/25)*Calculateur!GH102*Calculateur!GJ102*VLOOKUP('Données projet'!$B$17,Paramètres!$A$1:$I$89,3,0)*0.475*44/12</f>
        <v>24.536707284877703</v>
      </c>
      <c r="GN102" s="21">
        <f>EXP(-LN(2)/2)*GN101+(1-EXP(-LN(2)/2))/(LN(2)/2)*GH102*GK102*VLOOKUP('Données projet'!$B$17,Paramètres!$A$1:$I$89,3,0)*0.475*44/12</f>
        <v>1.6721414796903235E-2</v>
      </c>
      <c r="GO102" s="21">
        <f t="shared" si="81"/>
        <v>61.159436481779451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36.659999999999904</v>
      </c>
      <c r="D103" s="11">
        <f t="shared" si="86"/>
        <v>11.10893749200207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368.74267537685733</v>
      </c>
      <c r="H103" s="67">
        <f t="shared" si="56"/>
        <v>376.53089946523676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6.5620000000000003</v>
      </c>
      <c r="N103" s="13">
        <f>IF('Données projet'!$A$36&gt;35,N102+M103-V102,IF(A103&lt;'Données projet'!$A$36,$K$205^A103,IF(A103='Données projet'!$A$36,'Données projet'!$B$36,N102+M103-V102)))</f>
        <v>231.05200000000025</v>
      </c>
      <c r="O103" s="13">
        <f>N103*VLOOKUP('Données projet'!$B$9,Paramètres!$A$1:$I$89,3,0)*VLOOKUP('Données projet'!$B$9,Paramètres!$A$1:$I$89,5,0)</f>
        <v>108.13233600000011</v>
      </c>
      <c r="P103" s="13">
        <f t="shared" si="87"/>
        <v>28.890510766614838</v>
      </c>
      <c r="Q103" s="20">
        <f t="shared" si="107"/>
        <v>238.64812478518766</v>
      </c>
      <c r="R103" s="59">
        <f t="shared" si="55"/>
        <v>531.981458118521</v>
      </c>
      <c r="S103" s="59">
        <f ca="1">AVERAGE(OFFSET($R$3,0,0,'Données projet'!$E$9+1,1))-AVERAGE(OFFSET($H$3,0,0,'Données projet'!$E$9+1,1))</f>
        <v>215.77907571824977</v>
      </c>
      <c r="T103" s="59">
        <f t="shared" si="88"/>
        <v>174.69390149594869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85.79031549971198</v>
      </c>
      <c r="AA103" s="21">
        <f>EXP(-LN(2)/25)*AA102+(1-EXP(-LN(2)/25))/(LN(2)/25)*Calculateur!V103*Calculateur!X103*VLOOKUP('Données projet'!$B$9,Paramètres!$A$1:$I$89,3,0)*0.475*44/12</f>
        <v>28.427073159098818</v>
      </c>
      <c r="AB103" s="21">
        <f>EXP(-LN(2)/2)*AB102+(1-EXP(-LN(2)/2))/(LN(2)/2)*V103*Y103*VLOOKUP('Données projet'!$B$9,Paramètres!$A$1:$I$89,3,0)*0.475*44/12</f>
        <v>16.81054326289329</v>
      </c>
      <c r="AC103" s="22">
        <f t="shared" si="57"/>
        <v>131.02793192170407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-1.0197709343628959E-13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171.701352621833</v>
      </c>
      <c r="AO103" s="59">
        <f t="shared" si="90"/>
        <v>195.58435749168586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48.163156979187626</v>
      </c>
      <c r="AV103" s="21">
        <f>EXP(-LN(2)/25)*AV102+(1-EXP(-LN(2)/25))/(LN(2)/25)*Calculateur!AQ103*Calculateur!AS103*VLOOKUP('Données projet'!$B$10,Paramètres!$A$1:$I$89,3,0)*0.475*44/12</f>
        <v>13.033718539848859</v>
      </c>
      <c r="AW103" s="21">
        <f>EXP(-LN(2)/2)*AW102+(1-EXP(-LN(2)/2))/(LN(2)/2)*AQ103*AT103*VLOOKUP('Données projet'!$B$10,Paramètres!$A$1:$I$89,3,0)*0.475*44/12</f>
        <v>8.5294582821671757E-5</v>
      </c>
      <c r="AX103" s="21">
        <f t="shared" si="60"/>
        <v>61.196960813619306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-1.1823431123048067E-13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348.29124901999882</v>
      </c>
      <c r="BJ103" s="59">
        <f t="shared" si="92"/>
        <v>284.30034973939053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146.25044128712437</v>
      </c>
      <c r="BQ103" s="21">
        <f>EXP(-LN(2)/25)*BQ102+(1-EXP(-LN(2)/25))/(LN(2)/25)*Calculateur!BL103*Calculateur!BN103*VLOOKUP('Données projet'!$B$11,Paramètres!$A$1:$I$89,3,0)*0.475*44/12</f>
        <v>44.674673392341738</v>
      </c>
      <c r="BR103" s="21">
        <f>EXP(-LN(2)/2)*BR102+(1-EXP(-LN(2)/2))/(LN(2)/2)*BL103*BO103*VLOOKUP('Données projet'!$B$11,Paramètres!$A$1:$I$89,3,0)*0.475*44/12</f>
        <v>8.2389657440351358E-2</v>
      </c>
      <c r="BS103" s="22">
        <f t="shared" si="63"/>
        <v>191.00750433690646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288.07</v>
      </c>
      <c r="BW103" s="12">
        <f>VLOOKUP(A103,'Données projet'!$A$113:$I$133,9,0)</f>
        <v>6.0030000000000001</v>
      </c>
      <c r="BX103" s="12">
        <f t="array" ref="BX103">INDEX(BW:BW,MIN(IF(ISNUMBER(BW103:BW299),ROW(BW103:BW299),"")))</f>
        <v>6.0030000000000001</v>
      </c>
      <c r="BY103" s="12">
        <f>IF('Données projet'!$A$114&gt;35,BY102+BX103-CG102,IF(A103&lt;'Données projet'!$A$114,$BV$205^A103,IF(A103='Données projet'!$A$114,'Données projet'!$B$114,BY102+BX103-CG102)))</f>
        <v>288.06999999999977</v>
      </c>
      <c r="BZ103" s="13">
        <f>BY103*VLOOKUP('Données projet'!$B$12,Paramètres!$A$1:$I$89,3,0)*VLOOKUP('Données projet'!$B$12,Paramètres!$A$1:$I$89,5,0)</f>
        <v>172.26585999999986</v>
      </c>
      <c r="CA103" s="13">
        <f t="shared" si="93"/>
        <v>43.597109126715523</v>
      </c>
      <c r="CB103" s="20">
        <f t="shared" si="64"/>
        <v>375.96133789569586</v>
      </c>
      <c r="CC103" s="59">
        <f t="shared" si="65"/>
        <v>669.29467122902918</v>
      </c>
      <c r="CD103" s="59">
        <f ca="1">AVERAGE(OFFSET($CC$3,0,0,'Données projet'!$E$12+1,1))-AVERAGE(OFFSET($H$3,0,0,'Données projet'!$E$12+1,1))</f>
        <v>185.82627135915504</v>
      </c>
      <c r="CE103" s="59">
        <f t="shared" si="94"/>
        <v>155.46126452522037</v>
      </c>
      <c r="CF103" s="15">
        <f>IF(ISNA(VLOOKUP(A103,'Données projet'!$A$113:$I$133,3,0)),0,VLOOKUP(A103,'Données projet'!$A$113:$I$133,3,0))</f>
        <v>5</v>
      </c>
      <c r="CG103" s="15">
        <f>IF(ISNA(VLOOKUP(A103,'Données projet'!$A$113:$I$133,4,0)),0,VLOOKUP(A103,'Données projet'!$A$113:$I$133,4,0))</f>
        <v>92.989999999999981</v>
      </c>
      <c r="CH103" s="16">
        <f>IF(ISNA(VLOOKUP(A103,'Données projet'!$A$113:$I$133,5,0)),0%,VLOOKUP(A103,'Données projet'!$A$113:$I$133,5,0)*VLOOKUP('Données projet'!$B$12,Paramètres!$A$1:$I$89,7,0))</f>
        <v>0.27</v>
      </c>
      <c r="CI103" s="16">
        <f>IF(ISNA(VLOOKUP(A103,'Données projet'!$A$113:$I$133,6,0)),0%,VLOOKUP(A103,'Données projet'!$A$113:$I$133,6,0)*VLOOKUP('Données projet'!$B$12,Paramètres!$A$1:$I$89,7,0))</f>
        <v>9.0000000000000011E-2</v>
      </c>
      <c r="CJ103" s="16">
        <f>IF(ISNA(VLOOKUP(A103,'Données projet'!$A$113:$I$133,7,0)),0%,VLOOKUP(A103,'Données projet'!$A$113:$I$133,7,0))</f>
        <v>0.2</v>
      </c>
      <c r="CK103" s="21">
        <f>EXP(-LN(2)/35)*CK102+(1-EXP(-LN(2)/35))/(LN(2)/35)*CG103*CH103*VLOOKUP('Données projet'!$B$12,Paramètres!$A$1:$I$89,3,0)*0.475*44/12</f>
        <v>50.62752918027136</v>
      </c>
      <c r="CL103" s="21">
        <f>EXP(-LN(2)/25)*CL102+(1-EXP(-LN(2)/25))/(LN(2)/25)*Calculateur!CG103*Calculateur!CI103*VLOOKUP('Données projet'!$B$12,Paramètres!$A$1:$I$89,3,0)*0.475*44/12</f>
        <v>16.683058065735775</v>
      </c>
      <c r="CM103" s="21">
        <f>EXP(-LN(2)/2)*CM102+(1-EXP(-LN(2)/2))/(LN(2)/2)*CG103*CJ103*VLOOKUP('Données projet'!$B$12,Paramètres!$A$1:$I$89,3,0)*0.475*44/12</f>
        <v>12.874449353171604</v>
      </c>
      <c r="CN103" s="22">
        <f t="shared" si="66"/>
        <v>80.18503659917873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111.99999999999999</v>
      </c>
      <c r="CR103" s="12">
        <f>VLOOKUP(A103,'Données projet'!$A$139:$I$159,9,0)</f>
        <v>1.3999999999999986</v>
      </c>
      <c r="CS103" s="12">
        <f t="array" ref="CS103">INDEX(CR:CR,MIN(IF(ISNUMBER(CR103:CR299),ROW(CR103:CR299),"")))</f>
        <v>1.3999999999999986</v>
      </c>
      <c r="CT103" s="12">
        <f>IF('Données projet'!$A$140&gt;35,CT102+CS103-DB102,IF(A103&lt;'Données projet'!$A$140,$CQ$205^A103,IF(A103='Données projet'!$A$140,'Données projet'!$B$140,CT102+CS103-DB102)))</f>
        <v>111.99999999999994</v>
      </c>
      <c r="CU103" s="17">
        <f>CT103*VLOOKUP('Données projet'!$B$13,Paramètres!$A$1:$I$89,3,0)*VLOOKUP('Données projet'!$B$13,Paramètres!$A$1:$I$89,5,0)</f>
        <v>129.02399999999992</v>
      </c>
      <c r="CV103" s="13">
        <f t="shared" si="95"/>
        <v>33.770735569397893</v>
      </c>
      <c r="CW103" s="20">
        <f t="shared" si="67"/>
        <v>283.53416445003444</v>
      </c>
      <c r="CX103" s="59">
        <f t="shared" si="68"/>
        <v>576.86749778336775</v>
      </c>
      <c r="CY103" s="59">
        <f ca="1">AVERAGE(OFFSET($CX$3,0,0,'Données projet'!$E$13+1,1))-AVERAGE(OFFSET($H$3,0,0,'Données projet'!$E$13+1,1))</f>
        <v>150.78964413039063</v>
      </c>
      <c r="CZ103" s="59">
        <f t="shared" si="96"/>
        <v>131.90332435966184</v>
      </c>
      <c r="DA103" s="15">
        <f>IF(ISNA(VLOOKUP(A103,'Données projet'!$A$139:$I$159,3,0)),0,VLOOKUP(A103,'Données projet'!$A$139:$I$159,3,0))</f>
        <v>10</v>
      </c>
      <c r="DB103" s="15">
        <f>IF(ISNA(VLOOKUP(A103,'Données projet'!$A$139:$I$159,4,0)),0,VLOOKUP(A103,'Données projet'!$A$139:$I$159,4,0))</f>
        <v>11.23076923076923</v>
      </c>
      <c r="DC103" s="16">
        <f>IF(ISNA(VLOOKUP(A103,'Données projet'!$A$139:$I$159,5,0)),0%,VLOOKUP(A103,'Données projet'!$A$139:$I$159,5,0)*VLOOKUP('Données projet'!$B$13,Paramètres!$A$1:$I$89,7,0))</f>
        <v>0.18000000000000002</v>
      </c>
      <c r="DD103" s="16">
        <f>IF(ISNA(VLOOKUP(A103,'Données projet'!$A$139:$I$159,6,0)),0%,VLOOKUP(A103,'Données projet'!$A$139:$I$159,6,0)*VLOOKUP('Données projet'!$B$13,Paramètres!$A$1:$I$89,7,0))</f>
        <v>9.0000000000000011E-2</v>
      </c>
      <c r="DE103" s="16">
        <f>IF(ISNA(VLOOKUP(A103,'Données projet'!$A$139:$I$159,7,0)),0%,VLOOKUP(A103,'Données projet'!$A$139:$I$159,7,0))</f>
        <v>0.2</v>
      </c>
      <c r="DF103" s="21">
        <f>EXP(-LN(2)/35)*DF102+(1-EXP(-LN(2)/35))/(LN(2)/35)*DB103*DC103*VLOOKUP('Données projet'!$B$13,Paramètres!$A$1:$I$89,3,0)*0.475*44/12</f>
        <v>7.5443318344729153</v>
      </c>
      <c r="DG103" s="21">
        <f>EXP(-LN(2)/25)*DG102+(1-EXP(-LN(2)/25))/(LN(2)/25)*Calculateur!DB103*Calculateur!DD103*VLOOKUP('Données projet'!$B$13,Paramètres!$A$1:$I$89,3,0)*0.475*44/12</f>
        <v>3.5444817168333986</v>
      </c>
      <c r="DH103" s="21">
        <f>EXP(-LN(2)/2)*DH102+(1-EXP(-LN(2)/2))/(LN(2)/2)*DB103*DE103*VLOOKUP('Données projet'!$B$13,Paramètres!$A$1:$I$89,3,0)*0.475*44/12</f>
        <v>1.6410086824318659</v>
      </c>
      <c r="DI103" s="22">
        <f t="shared" si="69"/>
        <v>12.729822233738179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113.46153846153845</v>
      </c>
      <c r="DM103" s="12">
        <f>VLOOKUP(A103,'Données projet'!$A$165:$I$185,9,0)</f>
        <v>1.5384615384615388</v>
      </c>
      <c r="DN103" s="12">
        <f t="array" ref="DN103">INDEX(DM:DM,MIN(IF(ISNUMBER(DM103:DM299),ROW(DM103:DM299),"")))</f>
        <v>1.5384615384615388</v>
      </c>
      <c r="DO103" s="12">
        <f>IF('Données projet'!$A$166&gt;35,DO102+DN103-DW102,IF(A103&lt;'Données projet'!$A$166,$DL$205^A103,IF(A103='Données projet'!$A$166,'Données projet'!$B$166,DO102+DN103-DW102)))</f>
        <v>113.46153846153844</v>
      </c>
      <c r="DP103" s="17">
        <f>DO103*VLOOKUP('Données projet'!$B$14,Paramètres!$A$1:$I$89,3,0)*VLOOKUP('Données projet'!$B$14,Paramètres!$A$1:$I$89,5,0)</f>
        <v>118.58999999999999</v>
      </c>
      <c r="DQ103" s="13">
        <f t="shared" si="97"/>
        <v>31.345914068981394</v>
      </c>
      <c r="DR103" s="20">
        <f t="shared" si="70"/>
        <v>261.13838367014256</v>
      </c>
      <c r="DS103" s="59">
        <f t="shared" si="71"/>
        <v>554.47171700347587</v>
      </c>
      <c r="DT103" s="59">
        <f ca="1">AVERAGE(OFFSET($DS$3,0,0,'Données projet'!$E$14+1,1))-AVERAGE(OFFSET($H$3,0,0,'Données projet'!$E$14+1,1))</f>
        <v>110.10595934547638</v>
      </c>
      <c r="DU103" s="59">
        <f t="shared" si="98"/>
        <v>131.10971921141493</v>
      </c>
      <c r="DV103" s="15">
        <f>IF(ISNA(VLOOKUP(A103,'Données projet'!$A$165:$I$185,3,0)),0,VLOOKUP(A103,'Données projet'!$A$165:$I$185,3,0))</f>
        <v>15</v>
      </c>
      <c r="DW103" s="15">
        <f>IF(ISNA(VLOOKUP(A103,'Données projet'!$A$165:$I$185,4,0)),0,VLOOKUP(A103,'Données projet'!$A$165:$I$185,4,0))</f>
        <v>113.46153846153845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0.215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37.079754444594109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37.079754444594109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6.7777777777777777</v>
      </c>
      <c r="EJ103" s="12">
        <f>IF('Données projet'!$A$192&gt;35,EJ102+EI103-ER102,IF(A103&lt;'Données projet'!$A$192,$EG$205^A103,IF(A103='Données projet'!$A$192,'Données projet'!$B$192,EJ102+EI103-ER102)))</f>
        <v>244.25888888888875</v>
      </c>
      <c r="EK103" s="17">
        <f>EJ103*VLOOKUP('Données projet'!$B$15,Paramètres!$A$1:$I$89,3,0)*VLOOKUP('Données projet'!$B$15,Paramètres!$A$1:$I$89,5,0)</f>
        <v>247.6785133333332</v>
      </c>
      <c r="EL103" s="13">
        <f t="shared" si="99"/>
        <v>60.088559829649782</v>
      </c>
      <c r="EM103" s="20">
        <f t="shared" si="73"/>
        <v>536.02765242552857</v>
      </c>
      <c r="EN103" s="59">
        <f t="shared" si="74"/>
        <v>829.36098575886194</v>
      </c>
      <c r="EO103" s="59">
        <f ca="1">AVERAGE(OFFSET($EN$3,0,0,'Données projet'!$E$15+1,1))-AVERAGE(OFFSET($H$3,0,0,'Données projet'!$E$15+1,1))</f>
        <v>420.38735944595965</v>
      </c>
      <c r="EP103" s="59">
        <f t="shared" si="100"/>
        <v>200.0823542414671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11.24765645224053</v>
      </c>
      <c r="EW103" s="21">
        <f>EXP(-LN(2)/25)*EW102+(1-EXP(-LN(2)/25))/(LN(2)/25)*Calculateur!ER103*Calculateur!ET103*VLOOKUP('Données projet'!$B$15,Paramètres!$A$1:$I$89,3,0)*0.475*44/12</f>
        <v>28.962494457261482</v>
      </c>
      <c r="EX103" s="21">
        <f>EXP(-LN(2)/2)*EX102+(1-EXP(-LN(2)/2))/(LN(2)/2)*ER103*EU103*VLOOKUP('Données projet'!$B$15,Paramètres!$A$1:$I$89,3,0)*0.475*44/12</f>
        <v>0.74421287646756407</v>
      </c>
      <c r="EY103" s="22">
        <f t="shared" si="75"/>
        <v>40.954363785969576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8.9989999999999952</v>
      </c>
      <c r="FE103" s="12">
        <f>IF('Données projet'!$A$218&gt;35,FE102+FD103-FM102,IF(A103&lt;'Données projet'!$A$218,$FB$205^A103,IF(A103='Données projet'!$A$218,'Données projet'!$B$218,FE102+FD103-FM102)))</f>
        <v>344.40300000000002</v>
      </c>
      <c r="FF103" s="17">
        <f>FE103*VLOOKUP('Données projet'!$B$16,Paramètres!$A$1:$I$89,3,0)*VLOOKUP('Données projet'!$B$16,Paramètres!$A$1:$I$89,5,0)</f>
        <v>370.7153892</v>
      </c>
      <c r="FG103" s="13">
        <f t="shared" si="101"/>
        <v>85.81364556336672</v>
      </c>
      <c r="FH103" s="20">
        <f t="shared" si="76"/>
        <v>795.1214022128637</v>
      </c>
      <c r="FI103" s="59">
        <f t="shared" si="77"/>
        <v>1088.4547355461971</v>
      </c>
      <c r="FJ103" s="59">
        <f ca="1">AVERAGE(OFFSET($FI$3,0,0,'Données projet'!$E$16+1,1))-AVERAGE(OFFSET($H$3,0,0,'Données projet'!$E$16+1,1))</f>
        <v>415.8741608506952</v>
      </c>
      <c r="FK103" s="59">
        <f t="shared" si="102"/>
        <v>259.15848913719356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36.528387218893286</v>
      </c>
      <c r="FR103" s="21">
        <f>EXP(-LN(2)/25)*FR102+(1-EXP(-LN(2)/25))/(LN(2)/25)*Calculateur!FM103*Calculateur!FO103*VLOOKUP('Données projet'!$B$16,Paramètres!$A$1:$I$89,3,0)*0.475*44/12</f>
        <v>24.291485235098889</v>
      </c>
      <c r="FS103" s="21">
        <f>EXP(-LN(2)/2)*FS102+(1-EXP(-LN(2)/2))/(LN(2)/2)*FM103*FP103*VLOOKUP('Données projet'!$B$16,Paramètres!$A$1:$I$89,3,0)*0.475*44/12</f>
        <v>1.4833526905103865E-2</v>
      </c>
      <c r="FT103" s="22">
        <f t="shared" si="78"/>
        <v>60.834705980897283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8.9989999999999952</v>
      </c>
      <c r="FZ103" s="12">
        <f>IF('Données projet'!$A$244&gt;35,FZ102+FY103-GH102,IF(A103&lt;'Données projet'!$A$244,$FW$205^A103,IF(A103='Données projet'!$A$244,'Données projet'!$B$244,FZ102+FY103-GH102)))</f>
        <v>344.40300000000002</v>
      </c>
      <c r="GA103" s="17">
        <f>FZ103*VLOOKUP('Données projet'!$B$17,Paramètres!$A$1:$I$89,3,0)*VLOOKUP('Données projet'!$B$17,Paramètres!$A$1:$I$89,5,0)</f>
        <v>295.49777400000005</v>
      </c>
      <c r="GB103" s="13">
        <f t="shared" si="103"/>
        <v>70.231794953337783</v>
      </c>
      <c r="GC103" s="20">
        <f t="shared" si="79"/>
        <v>636.97899926039668</v>
      </c>
      <c r="GD103" s="59">
        <f t="shared" si="80"/>
        <v>930.31233259372993</v>
      </c>
      <c r="GE103" s="59">
        <f ca="1">AVERAGE(OFFSET($GD$3,0,0,'Données projet'!$E$17+1,1))-AVERAGE(OFFSET($H$3,0,0,'Données projet'!$E$17+1,1))</f>
        <v>322.39807389980882</v>
      </c>
      <c r="GF103" s="59">
        <f t="shared" si="104"/>
        <v>202.59410055732792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35.888186296957855</v>
      </c>
      <c r="GM103" s="21">
        <f>EXP(-LN(2)/25)*GM102+(1-EXP(-LN(2)/25))/(LN(2)/25)*Calculateur!GH103*Calculateur!GJ103*VLOOKUP('Données projet'!$B$17,Paramètres!$A$1:$I$89,3,0)*0.475*44/12</f>
        <v>23.865749733843366</v>
      </c>
      <c r="GN103" s="21">
        <f>EXP(-LN(2)/2)*GN102+(1-EXP(-LN(2)/2))/(LN(2)/2)*GH103*GK103*VLOOKUP('Données projet'!$B$17,Paramètres!$A$1:$I$89,3,0)*0.475*44/12</f>
        <v>1.1823825793923354E-2</v>
      </c>
      <c r="GO103" s="21">
        <f t="shared" si="81"/>
        <v>59.765759856595146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37.026599999999902</v>
      </c>
      <c r="D104" s="11">
        <f t="shared" si="86"/>
        <v>11.207039146868217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372.3298460459996</v>
      </c>
      <c r="H104" s="67">
        <f t="shared" si="56"/>
        <v>377.34025484746195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6.5620000000000003</v>
      </c>
      <c r="N104" s="13">
        <f>IF('Données projet'!$A$36&gt;35,N103+M104-V103,IF(A104&lt;'Données projet'!$A$36,$K$205^A104,IF(A104='Données projet'!$A$36,'Données projet'!$B$36,N103+M104-V103)))</f>
        <v>237.61400000000026</v>
      </c>
      <c r="O104" s="13">
        <f>N104*VLOOKUP('Données projet'!$B$9,Paramètres!$A$1:$I$89,3,0)*VLOOKUP('Données projet'!$B$9,Paramètres!$A$1:$I$89,5,0)</f>
        <v>111.20335200000012</v>
      </c>
      <c r="P104" s="13">
        <f t="shared" si="87"/>
        <v>29.614323908502584</v>
      </c>
      <c r="Q104" s="20">
        <f t="shared" si="107"/>
        <v>245.25745220730889</v>
      </c>
      <c r="R104" s="59">
        <f t="shared" si="55"/>
        <v>538.59078554064217</v>
      </c>
      <c r="S104" s="59">
        <f ca="1">AVERAGE(OFFSET($R$3,0,0,'Données projet'!$E$9+1,1))-AVERAGE(OFFSET($H$3,0,0,'Données projet'!$E$9+1,1))</f>
        <v>215.77907571824977</v>
      </c>
      <c r="T104" s="59">
        <f t="shared" si="88"/>
        <v>174.69390149594869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84.108019739688231</v>
      </c>
      <c r="AA104" s="21">
        <f>EXP(-LN(2)/25)*AA103+(1-EXP(-LN(2)/25))/(LN(2)/25)*Calculateur!V104*Calculateur!X104*VLOOKUP('Données projet'!$B$9,Paramètres!$A$1:$I$89,3,0)*0.475*44/12</f>
        <v>27.649733348648454</v>
      </c>
      <c r="AB104" s="21">
        <f>EXP(-LN(2)/2)*AB103+(1-EXP(-LN(2)/2))/(LN(2)/2)*V104*Y104*VLOOKUP('Données projet'!$B$9,Paramètres!$A$1:$I$89,3,0)*0.475*44/12</f>
        <v>11.886849136621677</v>
      </c>
      <c r="AC104" s="22">
        <f t="shared" si="57"/>
        <v>123.64460222495836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-1.0197709343628959E-13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171.701352621833</v>
      </c>
      <c r="AO104" s="59">
        <f t="shared" si="90"/>
        <v>195.58435749168586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47.218706847450811</v>
      </c>
      <c r="AV104" s="21">
        <f>EXP(-LN(2)/25)*AV103+(1-EXP(-LN(2)/25))/(LN(2)/25)*Calculateur!AQ104*Calculateur!AS104*VLOOKUP('Données projet'!$B$10,Paramètres!$A$1:$I$89,3,0)*0.475*44/12</f>
        <v>12.677310820963223</v>
      </c>
      <c r="AW104" s="21">
        <f>EXP(-LN(2)/2)*AW103+(1-EXP(-LN(2)/2))/(LN(2)/2)*AQ104*AT104*VLOOKUP('Données projet'!$B$10,Paramètres!$A$1:$I$89,3,0)*0.475*44/12</f>
        <v>6.0312377911681713E-5</v>
      </c>
      <c r="AX104" s="21">
        <f t="shared" si="60"/>
        <v>59.896077980791944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-1.1823431123048067E-13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348.29124901999882</v>
      </c>
      <c r="BJ104" s="59">
        <f t="shared" si="92"/>
        <v>284.30034973939053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143.38255933744489</v>
      </c>
      <c r="BQ104" s="21">
        <f>EXP(-LN(2)/25)*BQ103+(1-EXP(-LN(2)/25))/(LN(2)/25)*Calculateur!BL104*Calculateur!BN104*VLOOKUP('Données projet'!$B$11,Paramètres!$A$1:$I$89,3,0)*0.475*44/12</f>
        <v>43.453042099089188</v>
      </c>
      <c r="BR104" s="21">
        <f>EXP(-LN(2)/2)*BR103+(1-EXP(-LN(2)/2))/(LN(2)/2)*BL104*BO104*VLOOKUP('Données projet'!$B$11,Paramètres!$A$1:$I$89,3,0)*0.475*44/12</f>
        <v>5.8258285475709139E-2</v>
      </c>
      <c r="BS104" s="22">
        <f t="shared" si="63"/>
        <v>186.89385972200981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5.2019999999999982</v>
      </c>
      <c r="BY104" s="12">
        <f>IF('Données projet'!$A$114&gt;35,BY103+BX104-CG103,IF(A104&lt;'Données projet'!$A$114,$BV$205^A104,IF(A104='Données projet'!$A$114,'Données projet'!$B$114,BY103+BX104-CG103)))</f>
        <v>200.28199999999978</v>
      </c>
      <c r="BZ104" s="13">
        <f>BY104*VLOOKUP('Données projet'!$B$12,Paramètres!$A$1:$I$89,3,0)*VLOOKUP('Données projet'!$B$12,Paramètres!$A$1:$I$89,5,0)</f>
        <v>119.76863599999989</v>
      </c>
      <c r="CA104" s="13">
        <f t="shared" si="93"/>
        <v>31.62103138105963</v>
      </c>
      <c r="CB104" s="20">
        <f t="shared" si="64"/>
        <v>263.67033735534534</v>
      </c>
      <c r="CC104" s="59">
        <f t="shared" si="65"/>
        <v>557.00367068867865</v>
      </c>
      <c r="CD104" s="59">
        <f ca="1">AVERAGE(OFFSET($CC$3,0,0,'Données projet'!$E$12+1,1))-AVERAGE(OFFSET($H$3,0,0,'Données projet'!$E$12+1,1))</f>
        <v>185.82627135915504</v>
      </c>
      <c r="CE104" s="59">
        <f t="shared" si="94"/>
        <v>155.46126452522037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49.634754212789915</v>
      </c>
      <c r="CL104" s="21">
        <f>EXP(-LN(2)/25)*CL103+(1-EXP(-LN(2)/25))/(LN(2)/25)*Calculateur!CG104*Calculateur!CI104*VLOOKUP('Données projet'!$B$12,Paramètres!$A$1:$I$89,3,0)*0.475*44/12</f>
        <v>16.226858965604336</v>
      </c>
      <c r="CM104" s="21">
        <f>EXP(-LN(2)/2)*CM103+(1-EXP(-LN(2)/2))/(LN(2)/2)*CG104*CJ104*VLOOKUP('Données projet'!$B$12,Paramètres!$A$1:$I$89,3,0)*0.475*44/12</f>
        <v>9.1036104416704031</v>
      </c>
      <c r="CN104" s="22">
        <f t="shared" si="66"/>
        <v>74.965223620064648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1.2692307692307694</v>
      </c>
      <c r="CT104" s="12">
        <f>IF('Données projet'!$A$140&gt;35,CT103+CS104-DB103,IF(A104&lt;'Données projet'!$A$140,$CQ$205^A104,IF(A104='Données projet'!$A$140,'Données projet'!$B$140,CT103+CS104-DB103)))</f>
        <v>102.03846153846149</v>
      </c>
      <c r="CU104" s="17">
        <f>CT104*VLOOKUP('Données projet'!$B$13,Paramètres!$A$1:$I$89,3,0)*VLOOKUP('Données projet'!$B$13,Paramètres!$A$1:$I$89,5,0)</f>
        <v>117.54830769230763</v>
      </c>
      <c r="CV104" s="13">
        <f t="shared" si="95"/>
        <v>31.10249716777091</v>
      </c>
      <c r="CW104" s="20">
        <f t="shared" si="67"/>
        <v>258.90015179797018</v>
      </c>
      <c r="CX104" s="59">
        <f t="shared" si="68"/>
        <v>552.2334851313035</v>
      </c>
      <c r="CY104" s="59">
        <f ca="1">AVERAGE(OFFSET($CX$3,0,0,'Données projet'!$E$13+1,1))-AVERAGE(OFFSET($H$3,0,0,'Données projet'!$E$13+1,1))</f>
        <v>150.78964413039063</v>
      </c>
      <c r="CZ104" s="59">
        <f t="shared" si="96"/>
        <v>131.90332435966184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7.3963920887869516</v>
      </c>
      <c r="DG104" s="21">
        <f>EXP(-LN(2)/25)*DG103+(1-EXP(-LN(2)/25))/(LN(2)/25)*Calculateur!DB104*Calculateur!DD104*VLOOKUP('Données projet'!$B$13,Paramètres!$A$1:$I$89,3,0)*0.475*44/12</f>
        <v>3.4475576778903969</v>
      </c>
      <c r="DH104" s="21">
        <f>EXP(-LN(2)/2)*DH103+(1-EXP(-LN(2)/2))/(LN(2)/2)*DB104*DE104*VLOOKUP('Données projet'!$B$13,Paramètres!$A$1:$I$89,3,0)*0.475*44/12</f>
        <v>1.1603683673335741</v>
      </c>
      <c r="DI104" s="22">
        <f t="shared" si="69"/>
        <v>12.004318134010921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-1.4210854715202004E-14</v>
      </c>
      <c r="DP104" s="17">
        <f>DO104*VLOOKUP('Données projet'!$B$14,Paramètres!$A$1:$I$89,3,0)*VLOOKUP('Données projet'!$B$14,Paramètres!$A$1:$I$89,5,0)</f>
        <v>-1.4853185348329136E-14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110.10595934547638</v>
      </c>
      <c r="DU104" s="59">
        <f t="shared" si="98"/>
        <v>131.10971921141493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36.065806609367144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36.065806609367144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6.7777777777777777</v>
      </c>
      <c r="EJ104" s="12">
        <f>IF('Données projet'!$A$192&gt;35,EJ103+EI104-ER103,IF(A104&lt;'Données projet'!$A$192,$EG$205^A104,IF(A104='Données projet'!$A$192,'Données projet'!$B$192,EJ103+EI104-ER103)))</f>
        <v>251.03666666666652</v>
      </c>
      <c r="EK104" s="17">
        <f>EJ104*VLOOKUP('Données projet'!$B$15,Paramètres!$A$1:$I$89,3,0)*VLOOKUP('Données projet'!$B$15,Paramètres!$A$1:$I$89,5,0)</f>
        <v>254.55117999999987</v>
      </c>
      <c r="EL104" s="13">
        <f t="shared" si="99"/>
        <v>61.55948191196579</v>
      </c>
      <c r="EM104" s="20">
        <f t="shared" si="73"/>
        <v>550.55940283000689</v>
      </c>
      <c r="EN104" s="59">
        <f t="shared" si="74"/>
        <v>843.89273616334026</v>
      </c>
      <c r="EO104" s="59">
        <f ca="1">AVERAGE(OFFSET($EN$3,0,0,'Données projet'!$E$15+1,1))-AVERAGE(OFFSET($H$3,0,0,'Données projet'!$E$15+1,1))</f>
        <v>420.38735944595965</v>
      </c>
      <c r="EP104" s="59">
        <f t="shared" si="100"/>
        <v>200.0823542414671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11.027096769605121</v>
      </c>
      <c r="EW104" s="21">
        <f>EXP(-LN(2)/25)*EW103+(1-EXP(-LN(2)/25))/(LN(2)/25)*Calculateur!ER104*Calculateur!ET104*VLOOKUP('Données projet'!$B$15,Paramètres!$A$1:$I$89,3,0)*0.475*44/12</f>
        <v>28.170513523256279</v>
      </c>
      <c r="EX104" s="21">
        <f>EXP(-LN(2)/2)*EX103+(1-EXP(-LN(2)/2))/(LN(2)/2)*ER104*EU104*VLOOKUP('Données projet'!$B$15,Paramètres!$A$1:$I$89,3,0)*0.475*44/12</f>
        <v>0.52623797159656094</v>
      </c>
      <c r="EY104" s="22">
        <f t="shared" si="75"/>
        <v>39.723848264457956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8.9989999999999952</v>
      </c>
      <c r="FE104" s="12">
        <f>IF('Données projet'!$A$218&gt;35,FE103+FD104-FM103,IF(A104&lt;'Données projet'!$A$218,$FB$205^A104,IF(A104='Données projet'!$A$218,'Données projet'!$B$218,FE103+FD104-FM103)))</f>
        <v>353.40200000000004</v>
      </c>
      <c r="FF104" s="17">
        <f>FE104*VLOOKUP('Données projet'!$B$16,Paramètres!$A$1:$I$89,3,0)*VLOOKUP('Données projet'!$B$16,Paramètres!$A$1:$I$89,5,0)</f>
        <v>380.40191280000005</v>
      </c>
      <c r="FG104" s="13">
        <f t="shared" si="101"/>
        <v>87.791912009612105</v>
      </c>
      <c r="FH104" s="20">
        <f t="shared" si="76"/>
        <v>815.43757821007432</v>
      </c>
      <c r="FI104" s="59">
        <f t="shared" si="77"/>
        <v>1108.7709115434077</v>
      </c>
      <c r="FJ104" s="59">
        <f ca="1">AVERAGE(OFFSET($FI$3,0,0,'Données projet'!$E$16+1,1))-AVERAGE(OFFSET($H$3,0,0,'Données projet'!$E$16+1,1))</f>
        <v>415.8741608506952</v>
      </c>
      <c r="FK104" s="59">
        <f t="shared" si="102"/>
        <v>259.15848913719356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35.812087825647012</v>
      </c>
      <c r="FR104" s="21">
        <f>EXP(-LN(2)/25)*FR103+(1-EXP(-LN(2)/25))/(LN(2)/25)*Calculateur!FM104*Calculateur!FO104*VLOOKUP('Données projet'!$B$16,Paramètres!$A$1:$I$89,3,0)*0.475*44/12</f>
        <v>23.62723329391142</v>
      </c>
      <c r="FS104" s="21">
        <f>EXP(-LN(2)/2)*FS103+(1-EXP(-LN(2)/2))/(LN(2)/2)*FM104*FP104*VLOOKUP('Données projet'!$B$16,Paramètres!$A$1:$I$89,3,0)*0.475*44/12</f>
        <v>1.0488887463512045E-2</v>
      </c>
      <c r="FT104" s="22">
        <f t="shared" si="78"/>
        <v>59.449810007021938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8.9989999999999952</v>
      </c>
      <c r="FZ104" s="12">
        <f>IF('Données projet'!$A$244&gt;35,FZ103+FY104-GH103,IF(A104&lt;'Données projet'!$A$244,$FW$205^A104,IF(A104='Données projet'!$A$244,'Données projet'!$B$244,FZ103+FY104-GH103)))</f>
        <v>353.40200000000004</v>
      </c>
      <c r="GA104" s="17">
        <f>FZ104*VLOOKUP('Données projet'!$B$17,Paramètres!$A$1:$I$89,3,0)*VLOOKUP('Données projet'!$B$17,Paramètres!$A$1:$I$89,5,0)</f>
        <v>303.21891600000009</v>
      </c>
      <c r="GB104" s="13">
        <f t="shared" si="103"/>
        <v>71.850852184896297</v>
      </c>
      <c r="GC104" s="20">
        <f t="shared" si="79"/>
        <v>653.24651292202782</v>
      </c>
      <c r="GD104" s="59">
        <f t="shared" si="80"/>
        <v>946.57984625536119</v>
      </c>
      <c r="GE104" s="59">
        <f ca="1">AVERAGE(OFFSET($GD$3,0,0,'Données projet'!$E$17+1,1))-AVERAGE(OFFSET($H$3,0,0,'Données projet'!$E$17+1,1))</f>
        <v>322.39807389980882</v>
      </c>
      <c r="GF104" s="59">
        <f t="shared" si="104"/>
        <v>202.59410055732792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35.184440853306732</v>
      </c>
      <c r="GM104" s="21">
        <f>EXP(-LN(2)/25)*GM103+(1-EXP(-LN(2)/25))/(LN(2)/25)*Calculateur!GH104*Calculateur!GJ104*VLOOKUP('Données projet'!$B$17,Paramètres!$A$1:$I$89,3,0)*0.475*44/12</f>
        <v>23.213139552326187</v>
      </c>
      <c r="GN104" s="21">
        <f>EXP(-LN(2)/2)*GN103+(1-EXP(-LN(2)/2))/(LN(2)/2)*GH104*GK104*VLOOKUP('Données projet'!$B$17,Paramètres!$A$1:$I$89,3,0)*0.475*44/12</f>
        <v>8.3607073984516174E-3</v>
      </c>
      <c r="GO104" s="21">
        <f t="shared" si="81"/>
        <v>58.405941113031375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37.393199999999901</v>
      </c>
      <c r="D105" s="11">
        <f t="shared" si="86"/>
        <v>11.305027805177106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375.91614446101556</v>
      </c>
      <c r="H105" s="67">
        <f t="shared" si="56"/>
        <v>378.14941342734994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6.5620000000000003</v>
      </c>
      <c r="N105" s="13">
        <f>IF('Données projet'!$A$36&gt;35,N104+M105-V104,IF(A105&lt;'Données projet'!$A$36,$K$205^A105,IF(A105='Données projet'!$A$36,'Données projet'!$B$36,N104+M105-V104)))</f>
        <v>244.17600000000027</v>
      </c>
      <c r="O105" s="13">
        <f>N105*VLOOKUP('Données projet'!$B$9,Paramètres!$A$1:$I$89,3,0)*VLOOKUP('Données projet'!$B$9,Paramètres!$A$1:$I$89,5,0)</f>
        <v>114.27436800000012</v>
      </c>
      <c r="P105" s="13">
        <f t="shared" si="87"/>
        <v>30.335813756540151</v>
      </c>
      <c r="Q105" s="20">
        <f t="shared" si="107"/>
        <v>251.86273322597432</v>
      </c>
      <c r="R105" s="59">
        <f t="shared" si="55"/>
        <v>545.19606655930761</v>
      </c>
      <c r="S105" s="59">
        <f ca="1">AVERAGE(OFFSET($R$3,0,0,'Données projet'!$E$9+1,1))-AVERAGE(OFFSET($H$3,0,0,'Données projet'!$E$9+1,1))</f>
        <v>215.77907571824977</v>
      </c>
      <c r="T105" s="59">
        <f t="shared" si="88"/>
        <v>174.69390149594869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82.45871277341945</v>
      </c>
      <c r="AA105" s="21">
        <f>EXP(-LN(2)/25)*AA104+(1-EXP(-LN(2)/25))/(LN(2)/25)*Calculateur!V105*Calculateur!X105*VLOOKUP('Données projet'!$B$9,Paramètres!$A$1:$I$89,3,0)*0.475*44/12</f>
        <v>26.893649936193381</v>
      </c>
      <c r="AB105" s="21">
        <f>EXP(-LN(2)/2)*AB104+(1-EXP(-LN(2)/2))/(LN(2)/2)*V105*Y105*VLOOKUP('Données projet'!$B$9,Paramètres!$A$1:$I$89,3,0)*0.475*44/12</f>
        <v>8.4052716314466469</v>
      </c>
      <c r="AC105" s="22">
        <f t="shared" si="57"/>
        <v>117.75763434105949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-1.0197709343628959E-13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171.701352621833</v>
      </c>
      <c r="AO105" s="59">
        <f t="shared" si="90"/>
        <v>195.58435749168586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46.29277680673966</v>
      </c>
      <c r="AV105" s="21">
        <f>EXP(-LN(2)/25)*AV104+(1-EXP(-LN(2)/25))/(LN(2)/25)*Calculateur!AQ105*Calculateur!AS105*VLOOKUP('Données projet'!$B$10,Paramètres!$A$1:$I$89,3,0)*0.475*44/12</f>
        <v>12.330649089893182</v>
      </c>
      <c r="AW105" s="21">
        <f>EXP(-LN(2)/2)*AW104+(1-EXP(-LN(2)/2))/(LN(2)/2)*AQ105*AT105*VLOOKUP('Données projet'!$B$10,Paramètres!$A$1:$I$89,3,0)*0.475*44/12</f>
        <v>4.2647291410835885E-5</v>
      </c>
      <c r="AX105" s="21">
        <f t="shared" si="60"/>
        <v>58.623468543924247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-1.1823431123048067E-13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348.29124901999882</v>
      </c>
      <c r="BJ105" s="59">
        <f t="shared" si="92"/>
        <v>284.30034973939053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140.57091480356334</v>
      </c>
      <c r="BQ105" s="21">
        <f>EXP(-LN(2)/25)*BQ104+(1-EXP(-LN(2)/25))/(LN(2)/25)*Calculateur!BL105*Calculateur!BN105*VLOOKUP('Données projet'!$B$11,Paramètres!$A$1:$I$89,3,0)*0.475*44/12</f>
        <v>42.264816377793423</v>
      </c>
      <c r="BR105" s="21">
        <f>EXP(-LN(2)/2)*BR104+(1-EXP(-LN(2)/2))/(LN(2)/2)*BL105*BO105*VLOOKUP('Données projet'!$B$11,Paramètres!$A$1:$I$89,3,0)*0.475*44/12</f>
        <v>4.1194828720175686E-2</v>
      </c>
      <c r="BS105" s="22">
        <f t="shared" si="63"/>
        <v>182.87692601007694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5.2019999999999982</v>
      </c>
      <c r="BY105" s="12">
        <f>IF('Données projet'!$A$114&gt;35,BY104+BX105-CG104,IF(A105&lt;'Données projet'!$A$114,$BV$205^A105,IF(A105='Données projet'!$A$114,'Données projet'!$B$114,BY104+BX105-CG104)))</f>
        <v>205.48399999999978</v>
      </c>
      <c r="BZ105" s="13">
        <f>BY105*VLOOKUP('Données projet'!$B$12,Paramètres!$A$1:$I$89,3,0)*VLOOKUP('Données projet'!$B$12,Paramètres!$A$1:$I$89,5,0)</f>
        <v>122.87943199999988</v>
      </c>
      <c r="CA105" s="13">
        <f t="shared" si="93"/>
        <v>32.345649914191519</v>
      </c>
      <c r="CB105" s="20">
        <f t="shared" si="64"/>
        <v>270.35035100055001</v>
      </c>
      <c r="CC105" s="59">
        <f t="shared" si="65"/>
        <v>563.68368433388332</v>
      </c>
      <c r="CD105" s="59">
        <f ca="1">AVERAGE(OFFSET($CC$3,0,0,'Données projet'!$E$12+1,1))-AVERAGE(OFFSET($H$3,0,0,'Données projet'!$E$12+1,1))</f>
        <v>185.82627135915504</v>
      </c>
      <c r="CE105" s="59">
        <f t="shared" si="94"/>
        <v>155.46126452522037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48.661446956887843</v>
      </c>
      <c r="CL105" s="21">
        <f>EXP(-LN(2)/25)*CL104+(1-EXP(-LN(2)/25))/(LN(2)/25)*Calculateur!CG105*Calculateur!CI105*VLOOKUP('Données projet'!$B$12,Paramètres!$A$1:$I$89,3,0)*0.475*44/12</f>
        <v>15.783134653856459</v>
      </c>
      <c r="CM105" s="21">
        <f>EXP(-LN(2)/2)*CM104+(1-EXP(-LN(2)/2))/(LN(2)/2)*CG105*CJ105*VLOOKUP('Données projet'!$B$12,Paramètres!$A$1:$I$89,3,0)*0.475*44/12</f>
        <v>6.4372246765858039</v>
      </c>
      <c r="CN105" s="22">
        <f t="shared" si="66"/>
        <v>70.881806287330107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1.2692307692307694</v>
      </c>
      <c r="CT105" s="12">
        <f>IF('Données projet'!$A$140&gt;35,CT104+CS105-DB104,IF(A105&lt;'Données projet'!$A$140,$CQ$205^A105,IF(A105='Données projet'!$A$140,'Données projet'!$B$140,CT104+CS105-DB104)))</f>
        <v>103.30769230769226</v>
      </c>
      <c r="CU105" s="17">
        <f>CT105*VLOOKUP('Données projet'!$B$13,Paramètres!$A$1:$I$89,3,0)*VLOOKUP('Données projet'!$B$13,Paramètres!$A$1:$I$89,5,0)</f>
        <v>119.01046153846148</v>
      </c>
      <c r="CV105" s="13">
        <f t="shared" si="95"/>
        <v>31.444094592764266</v>
      </c>
      <c r="CW105" s="20">
        <f t="shared" si="67"/>
        <v>262.04168526188482</v>
      </c>
      <c r="CX105" s="59">
        <f t="shared" si="68"/>
        <v>555.37501859521808</v>
      </c>
      <c r="CY105" s="59">
        <f ca="1">AVERAGE(OFFSET($CX$3,0,0,'Données projet'!$E$13+1,1))-AVERAGE(OFFSET($H$3,0,0,'Données projet'!$E$13+1,1))</f>
        <v>150.78964413039063</v>
      </c>
      <c r="CZ105" s="59">
        <f t="shared" si="96"/>
        <v>131.90332435966184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7.2513533512795547</v>
      </c>
      <c r="DG105" s="21">
        <f>EXP(-LN(2)/25)*DG104+(1-EXP(-LN(2)/25))/(LN(2)/25)*Calculateur!DB105*Calculateur!DD105*VLOOKUP('Données projet'!$B$13,Paramètres!$A$1:$I$89,3,0)*0.475*44/12</f>
        <v>3.3532840318893053</v>
      </c>
      <c r="DH105" s="21">
        <f>EXP(-LN(2)/2)*DH104+(1-EXP(-LN(2)/2))/(LN(2)/2)*DB105*DE105*VLOOKUP('Données projet'!$B$13,Paramètres!$A$1:$I$89,3,0)*0.475*44/12</f>
        <v>0.82050434121593296</v>
      </c>
      <c r="DI105" s="22">
        <f t="shared" si="69"/>
        <v>11.425141724384794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-1.4210854715202004E-14</v>
      </c>
      <c r="DP105" s="17">
        <f>DO105*VLOOKUP('Données projet'!$B$14,Paramètres!$A$1:$I$89,3,0)*VLOOKUP('Données projet'!$B$14,Paramètres!$A$1:$I$89,5,0)</f>
        <v>-1.4853185348329136E-14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110.10595934547638</v>
      </c>
      <c r="DU105" s="59">
        <f t="shared" si="98"/>
        <v>131.10971921141493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35.079585231015656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35.079585231015656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6.7777777777777777</v>
      </c>
      <c r="EJ105" s="12">
        <f>IF('Données projet'!$A$192&gt;35,EJ104+EI105-ER104,IF(A105&lt;'Données projet'!$A$192,$EG$205^A105,IF(A105='Données projet'!$A$192,'Données projet'!$B$192,EJ104+EI105-ER104)))</f>
        <v>257.81444444444429</v>
      </c>
      <c r="EK105" s="17">
        <f>EJ105*VLOOKUP('Données projet'!$B$15,Paramètres!$A$1:$I$89,3,0)*VLOOKUP('Données projet'!$B$15,Paramètres!$A$1:$I$89,5,0)</f>
        <v>261.42384666666652</v>
      </c>
      <c r="EL105" s="13">
        <f t="shared" si="99"/>
        <v>63.025787988714278</v>
      </c>
      <c r="EM105" s="20">
        <f t="shared" si="73"/>
        <v>565.08311369145497</v>
      </c>
      <c r="EN105" s="59">
        <f t="shared" si="74"/>
        <v>858.41644702478834</v>
      </c>
      <c r="EO105" s="59">
        <f ca="1">AVERAGE(OFFSET($EN$3,0,0,'Données projet'!$E$15+1,1))-AVERAGE(OFFSET($H$3,0,0,'Données projet'!$E$15+1,1))</f>
        <v>420.38735944595965</v>
      </c>
      <c r="EP105" s="59">
        <f t="shared" si="100"/>
        <v>200.0823542414671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10.810862127818071</v>
      </c>
      <c r="EW105" s="21">
        <f>EXP(-LN(2)/25)*EW104+(1-EXP(-LN(2)/25))/(LN(2)/25)*Calculateur!ER105*Calculateur!ET105*VLOOKUP('Données projet'!$B$15,Paramètres!$A$1:$I$89,3,0)*0.475*44/12</f>
        <v>27.400189349539914</v>
      </c>
      <c r="EX105" s="21">
        <f>EXP(-LN(2)/2)*EX104+(1-EXP(-LN(2)/2))/(LN(2)/2)*ER105*EU105*VLOOKUP('Données projet'!$B$15,Paramètres!$A$1:$I$89,3,0)*0.475*44/12</f>
        <v>0.37210643823378203</v>
      </c>
      <c r="EY105" s="22">
        <f t="shared" si="75"/>
        <v>38.583157915591762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8.9989999999999952</v>
      </c>
      <c r="FE105" s="12">
        <f>IF('Données projet'!$A$218&gt;35,FE104+FD105-FM104,IF(A105&lt;'Données projet'!$A$218,$FB$205^A105,IF(A105='Données projet'!$A$218,'Données projet'!$B$218,FE104+FD105-FM104)))</f>
        <v>362.40100000000007</v>
      </c>
      <c r="FF105" s="17">
        <f>FE105*VLOOKUP('Données projet'!$B$16,Paramètres!$A$1:$I$89,3,0)*VLOOKUP('Données projet'!$B$16,Paramètres!$A$1:$I$89,5,0)</f>
        <v>390.08843640000003</v>
      </c>
      <c r="FG105" s="13">
        <f t="shared" si="101"/>
        <v>89.764322886212696</v>
      </c>
      <c r="FH105" s="20">
        <f t="shared" si="76"/>
        <v>835.74355575682057</v>
      </c>
      <c r="FI105" s="59">
        <f t="shared" si="77"/>
        <v>1129.0768890901538</v>
      </c>
      <c r="FJ105" s="59">
        <f ca="1">AVERAGE(OFFSET($FI$3,0,0,'Données projet'!$E$16+1,1))-AVERAGE(OFFSET($H$3,0,0,'Données projet'!$E$16+1,1))</f>
        <v>415.8741608506952</v>
      </c>
      <c r="FK105" s="59">
        <f t="shared" si="102"/>
        <v>259.15848913719356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35.109834626602812</v>
      </c>
      <c r="FR105" s="21">
        <f>EXP(-LN(2)/25)*FR104+(1-EXP(-LN(2)/25))/(LN(2)/25)*Calculateur!FM105*Calculateur!FO105*VLOOKUP('Données projet'!$B$16,Paramètres!$A$1:$I$89,3,0)*0.475*44/12</f>
        <v>22.981145356987213</v>
      </c>
      <c r="FS105" s="21">
        <f>EXP(-LN(2)/2)*FS104+(1-EXP(-LN(2)/2))/(LN(2)/2)*FM105*FP105*VLOOKUP('Données projet'!$B$16,Paramètres!$A$1:$I$89,3,0)*0.475*44/12</f>
        <v>7.4167634525519341E-3</v>
      </c>
      <c r="FT105" s="22">
        <f t="shared" si="78"/>
        <v>58.098396747042578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8.9989999999999952</v>
      </c>
      <c r="FZ105" s="12">
        <f>IF('Données projet'!$A$244&gt;35,FZ104+FY105-GH104,IF(A105&lt;'Données projet'!$A$244,$FW$205^A105,IF(A105='Données projet'!$A$244,'Données projet'!$B$244,FZ104+FY105-GH104)))</f>
        <v>362.40100000000007</v>
      </c>
      <c r="GA105" s="17">
        <f>FZ105*VLOOKUP('Données projet'!$B$17,Paramètres!$A$1:$I$89,3,0)*VLOOKUP('Données projet'!$B$17,Paramètres!$A$1:$I$89,5,0)</f>
        <v>310.94005800000008</v>
      </c>
      <c r="GB105" s="13">
        <f t="shared" si="103"/>
        <v>73.465117088102872</v>
      </c>
      <c r="GC105" s="20">
        <f t="shared" si="79"/>
        <v>669.50567994511266</v>
      </c>
      <c r="GD105" s="59">
        <f t="shared" si="80"/>
        <v>962.83901327844592</v>
      </c>
      <c r="GE105" s="59">
        <f ca="1">AVERAGE(OFFSET($GD$3,0,0,'Données projet'!$E$17+1,1))-AVERAGE(OFFSET($H$3,0,0,'Données projet'!$E$17+1,1))</f>
        <v>322.39807389980882</v>
      </c>
      <c r="GF105" s="59">
        <f t="shared" si="104"/>
        <v>202.59410055732792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34.494495428563269</v>
      </c>
      <c r="GM105" s="21">
        <f>EXP(-LN(2)/25)*GM104+(1-EXP(-LN(2)/25))/(LN(2)/25)*Calculateur!GH105*Calculateur!GJ105*VLOOKUP('Données projet'!$B$17,Paramètres!$A$1:$I$89,3,0)*0.475*44/12</f>
        <v>22.578375030541871</v>
      </c>
      <c r="GN105" s="21">
        <f>EXP(-LN(2)/2)*GN104+(1-EXP(-LN(2)/2))/(LN(2)/2)*GH105*GK105*VLOOKUP('Données projet'!$B$17,Paramètres!$A$1:$I$89,3,0)*0.475*44/12</f>
        <v>5.9119128969616769E-3</v>
      </c>
      <c r="GO105" s="21">
        <f t="shared" si="81"/>
        <v>57.078782372002102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37.759799999999899</v>
      </c>
      <c r="D106" s="11">
        <f t="shared" si="86"/>
        <v>11.402904703021497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379.50158016367396</v>
      </c>
      <c r="H106" s="67">
        <f t="shared" si="56"/>
        <v>378.95837735776223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6.5620000000000003</v>
      </c>
      <c r="N106" s="13">
        <f>IF('Données projet'!$A$36&gt;35,N105+M106-V105,IF(A106&lt;'Données projet'!$A$36,$K$205^A106,IF(A106='Données projet'!$A$36,'Données projet'!$B$36,N105+M106-V105)))</f>
        <v>250.73800000000028</v>
      </c>
      <c r="O106" s="13">
        <f>N106*VLOOKUP('Données projet'!$B$9,Paramètres!$A$1:$I$89,3,0)*VLOOKUP('Données projet'!$B$9,Paramètres!$A$1:$I$89,5,0)</f>
        <v>117.34538400000014</v>
      </c>
      <c r="P106" s="13">
        <f t="shared" si="87"/>
        <v>31.055049922708768</v>
      </c>
      <c r="Q106" s="20">
        <f t="shared" si="107"/>
        <v>258.46408908205132</v>
      </c>
      <c r="R106" s="59">
        <f t="shared" si="55"/>
        <v>551.79742241538463</v>
      </c>
      <c r="S106" s="59">
        <f ca="1">AVERAGE(OFFSET($R$3,0,0,'Données projet'!$E$9+1,1))-AVERAGE(OFFSET($H$3,0,0,'Données projet'!$E$9+1,1))</f>
        <v>215.77907571824977</v>
      </c>
      <c r="T106" s="59">
        <f t="shared" si="88"/>
        <v>174.69390149594869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80.841747710781277</v>
      </c>
      <c r="AA106" s="21">
        <f>EXP(-LN(2)/25)*AA105+(1-EXP(-LN(2)/25))/(LN(2)/25)*Calculateur!V106*Calculateur!X106*VLOOKUP('Données projet'!$B$9,Paramètres!$A$1:$I$89,3,0)*0.475*44/12</f>
        <v>26.158241664412589</v>
      </c>
      <c r="AB106" s="21">
        <f>EXP(-LN(2)/2)*AB105+(1-EXP(-LN(2)/2))/(LN(2)/2)*V106*Y106*VLOOKUP('Données projet'!$B$9,Paramètres!$A$1:$I$89,3,0)*0.475*44/12</f>
        <v>5.9434245683108395</v>
      </c>
      <c r="AC106" s="22">
        <f t="shared" si="57"/>
        <v>112.94341394350471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-1.0197709343628959E-13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171.701352621833</v>
      </c>
      <c r="AO106" s="59">
        <f t="shared" si="90"/>
        <v>195.58435749168586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45.385003689365291</v>
      </c>
      <c r="AV106" s="21">
        <f>EXP(-LN(2)/25)*AV105+(1-EXP(-LN(2)/25))/(LN(2)/25)*Calculateur!AQ106*Calculateur!AS106*VLOOKUP('Données projet'!$B$10,Paramètres!$A$1:$I$89,3,0)*0.475*44/12</f>
        <v>11.993466842089399</v>
      </c>
      <c r="AW106" s="21">
        <f>EXP(-LN(2)/2)*AW105+(1-EXP(-LN(2)/2))/(LN(2)/2)*AQ106*AT106*VLOOKUP('Données projet'!$B$10,Paramètres!$A$1:$I$89,3,0)*0.475*44/12</f>
        <v>3.015618895584086E-5</v>
      </c>
      <c r="AX106" s="21">
        <f t="shared" si="60"/>
        <v>57.378500687643644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-1.1823431123048067E-13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348.29124901999882</v>
      </c>
      <c r="BJ106" s="59">
        <f t="shared" si="92"/>
        <v>284.30034973939053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137.8144049040574</v>
      </c>
      <c r="BQ106" s="21">
        <f>EXP(-LN(2)/25)*BQ105+(1-EXP(-LN(2)/25))/(LN(2)/25)*Calculateur!BL106*Calculateur!BN106*VLOOKUP('Données projet'!$B$11,Paramètres!$A$1:$I$89,3,0)*0.475*44/12</f>
        <v>41.109082751332565</v>
      </c>
      <c r="BR106" s="21">
        <f>EXP(-LN(2)/2)*BR105+(1-EXP(-LN(2)/2))/(LN(2)/2)*BL106*BO106*VLOOKUP('Données projet'!$B$11,Paramètres!$A$1:$I$89,3,0)*0.475*44/12</f>
        <v>2.9129142737854573E-2</v>
      </c>
      <c r="BS106" s="22">
        <f t="shared" si="63"/>
        <v>178.95261679812782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5.2019999999999982</v>
      </c>
      <c r="BY106" s="12">
        <f>IF('Données projet'!$A$114&gt;35,BY105+BX106-CG105,IF(A106&lt;'Données projet'!$A$114,$BV$205^A106,IF(A106='Données projet'!$A$114,'Données projet'!$B$114,BY105+BX106-CG105)))</f>
        <v>210.68599999999978</v>
      </c>
      <c r="BZ106" s="13">
        <f>BY106*VLOOKUP('Données projet'!$B$12,Paramètres!$A$1:$I$89,3,0)*VLOOKUP('Données projet'!$B$12,Paramètres!$A$1:$I$89,5,0)</f>
        <v>125.99022799999987</v>
      </c>
      <c r="CA106" s="13">
        <f t="shared" si="93"/>
        <v>33.06813606999102</v>
      </c>
      <c r="CB106" s="20">
        <f t="shared" si="64"/>
        <v>277.02665075523413</v>
      </c>
      <c r="CC106" s="59">
        <f t="shared" si="65"/>
        <v>570.35998408856744</v>
      </c>
      <c r="CD106" s="59">
        <f ca="1">AVERAGE(OFFSET($CC$3,0,0,'Données projet'!$E$12+1,1))-AVERAGE(OFFSET($H$3,0,0,'Données projet'!$E$12+1,1))</f>
        <v>185.82627135915504</v>
      </c>
      <c r="CE106" s="59">
        <f t="shared" si="94"/>
        <v>155.46126452522037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47.707225662615208</v>
      </c>
      <c r="CL106" s="21">
        <f>EXP(-LN(2)/25)*CL105+(1-EXP(-LN(2)/25))/(LN(2)/25)*Calculateur!CG106*Calculateur!CI106*VLOOKUP('Données projet'!$B$12,Paramètres!$A$1:$I$89,3,0)*0.475*44/12</f>
        <v>15.351544006747776</v>
      </c>
      <c r="CM106" s="21">
        <f>EXP(-LN(2)/2)*CM105+(1-EXP(-LN(2)/2))/(LN(2)/2)*CG106*CJ106*VLOOKUP('Données projet'!$B$12,Paramètres!$A$1:$I$89,3,0)*0.475*44/12</f>
        <v>4.5518052208352024</v>
      </c>
      <c r="CN106" s="22">
        <f t="shared" si="66"/>
        <v>67.610574890198194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1.2692307692307694</v>
      </c>
      <c r="CT106" s="12">
        <f>IF('Données projet'!$A$140&gt;35,CT105+CS106-DB105,IF(A106&lt;'Données projet'!$A$140,$CQ$205^A106,IF(A106='Données projet'!$A$140,'Données projet'!$B$140,CT105+CS106-DB105)))</f>
        <v>104.57692307692304</v>
      </c>
      <c r="CU106" s="17">
        <f>CT106*VLOOKUP('Données projet'!$B$13,Paramètres!$A$1:$I$89,3,0)*VLOOKUP('Données projet'!$B$13,Paramètres!$A$1:$I$89,5,0)</f>
        <v>120.47261538461532</v>
      </c>
      <c r="CV106" s="13">
        <f t="shared" si="95"/>
        <v>31.785203841613651</v>
      </c>
      <c r="CW106" s="20">
        <f t="shared" si="67"/>
        <v>265.18236848568216</v>
      </c>
      <c r="CX106" s="59">
        <f t="shared" si="68"/>
        <v>558.51570181901548</v>
      </c>
      <c r="CY106" s="59">
        <f ca="1">AVERAGE(OFFSET($CX$3,0,0,'Données projet'!$E$13+1,1))-AVERAGE(OFFSET($H$3,0,0,'Données projet'!$E$13+1,1))</f>
        <v>150.78964413039063</v>
      </c>
      <c r="CZ106" s="59">
        <f t="shared" si="96"/>
        <v>131.90332435966184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7.1091587349497827</v>
      </c>
      <c r="DG106" s="21">
        <f>EXP(-LN(2)/25)*DG105+(1-EXP(-LN(2)/25))/(LN(2)/25)*Calculateur!DB106*Calculateur!DD106*VLOOKUP('Données projet'!$B$13,Paramètres!$A$1:$I$89,3,0)*0.475*44/12</f>
        <v>3.2615883036957491</v>
      </c>
      <c r="DH106" s="21">
        <f>EXP(-LN(2)/2)*DH105+(1-EXP(-LN(2)/2))/(LN(2)/2)*DB106*DE106*VLOOKUP('Données projet'!$B$13,Paramètres!$A$1:$I$89,3,0)*0.475*44/12</f>
        <v>0.58018418366678703</v>
      </c>
      <c r="DI106" s="22">
        <f t="shared" si="69"/>
        <v>10.95093122231232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-1.4210854715202004E-14</v>
      </c>
      <c r="DP106" s="17">
        <f>DO106*VLOOKUP('Données projet'!$B$14,Paramètres!$A$1:$I$89,3,0)*VLOOKUP('Données projet'!$B$14,Paramètres!$A$1:$I$89,5,0)</f>
        <v>-1.4853185348329136E-14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110.10595934547638</v>
      </c>
      <c r="DU106" s="59">
        <f t="shared" si="98"/>
        <v>131.10971921141493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34.120332128118321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34.120332128118321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6.7777777777777777</v>
      </c>
      <c r="EJ106" s="12">
        <f>IF('Données projet'!$A$192&gt;35,EJ105+EI106-ER105,IF(A106&lt;'Données projet'!$A$192,$EG$205^A106,IF(A106='Données projet'!$A$192,'Données projet'!$B$192,EJ105+EI106-ER105)))</f>
        <v>264.59222222222206</v>
      </c>
      <c r="EK106" s="17">
        <f>EJ106*VLOOKUP('Données projet'!$B$15,Paramètres!$A$1:$I$89,3,0)*VLOOKUP('Données projet'!$B$15,Paramètres!$A$1:$I$89,5,0)</f>
        <v>268.29651333333322</v>
      </c>
      <c r="EL106" s="13">
        <f t="shared" si="99"/>
        <v>64.487613361575328</v>
      </c>
      <c r="EM106" s="20">
        <f t="shared" si="73"/>
        <v>579.59902066029906</v>
      </c>
      <c r="EN106" s="59">
        <f t="shared" si="74"/>
        <v>872.93235399363243</v>
      </c>
      <c r="EO106" s="59">
        <f ca="1">AVERAGE(OFFSET($EN$3,0,0,'Données projet'!$E$15+1,1))-AVERAGE(OFFSET($H$3,0,0,'Données projet'!$E$15+1,1))</f>
        <v>420.38735944595965</v>
      </c>
      <c r="EP106" s="59">
        <f t="shared" si="100"/>
        <v>200.0823542414671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10.598867715466355</v>
      </c>
      <c r="EW106" s="21">
        <f>EXP(-LN(2)/25)*EW105+(1-EXP(-LN(2)/25))/(LN(2)/25)*Calculateur!ER106*Calculateur!ET106*VLOOKUP('Données projet'!$B$15,Paramètres!$A$1:$I$89,3,0)*0.475*44/12</f>
        <v>26.65092973086341</v>
      </c>
      <c r="EX106" s="21">
        <f>EXP(-LN(2)/2)*EX105+(1-EXP(-LN(2)/2))/(LN(2)/2)*ER106*EU106*VLOOKUP('Données projet'!$B$15,Paramètres!$A$1:$I$89,3,0)*0.475*44/12</f>
        <v>0.26311898579828047</v>
      </c>
      <c r="EY106" s="22">
        <f t="shared" si="75"/>
        <v>37.512916432128044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>
        <f>VLOOKUP(A106,'Données projet'!$A$217:$I$237,2,0)</f>
        <v>371.4</v>
      </c>
      <c r="FC106" s="12">
        <f>VLOOKUP(A106,'Données projet'!$A$217:$I$237,9,0)</f>
        <v>8.9989999999999952</v>
      </c>
      <c r="FD106" s="12">
        <f t="array" ref="FD106">INDEX(FC:FC,MIN(IF(ISNUMBER(FC106:FC302),ROW(FC106:FC302),"")))</f>
        <v>8.9989999999999952</v>
      </c>
      <c r="FE106" s="12">
        <f>IF('Données projet'!$A$218&gt;35,FE105+FD106-FM105,IF(A106&lt;'Données projet'!$A$218,$FB$205^A106,IF(A106='Données projet'!$A$218,'Données projet'!$B$218,FE105+FD106-FM105)))</f>
        <v>371.40000000000009</v>
      </c>
      <c r="FF106" s="17">
        <f>FE106*VLOOKUP('Données projet'!$B$16,Paramètres!$A$1:$I$89,3,0)*VLOOKUP('Données projet'!$B$16,Paramètres!$A$1:$I$89,5,0)</f>
        <v>399.77496000000002</v>
      </c>
      <c r="FG106" s="13">
        <f t="shared" si="101"/>
        <v>91.731040320653179</v>
      </c>
      <c r="FH106" s="20">
        <f t="shared" si="76"/>
        <v>856.03961722513759</v>
      </c>
      <c r="FI106" s="59">
        <f t="shared" si="77"/>
        <v>1149.3729505584708</v>
      </c>
      <c r="FJ106" s="59">
        <f ca="1">AVERAGE(OFFSET($FI$3,0,0,'Données projet'!$E$16+1,1))-AVERAGE(OFFSET($H$3,0,0,'Données projet'!$E$16+1,1))</f>
        <v>415.8741608506952</v>
      </c>
      <c r="FK106" s="59">
        <f t="shared" si="102"/>
        <v>259.15848913719356</v>
      </c>
      <c r="FL106" s="15">
        <f>IF(ISNA(VLOOKUP(A106,'Données projet'!$A$217:$I$237,3,0)),0,VLOOKUP(A106,'Données projet'!$A$217:$I$237,3,0))</f>
        <v>9</v>
      </c>
      <c r="FM106" s="15">
        <f>IF(ISNA(VLOOKUP(A106,'Données projet'!$A$217:$I$237,4,0)),0,VLOOKUP(A106,'Données projet'!$A$217:$I$237,4,0))</f>
        <v>67.759999999999991</v>
      </c>
      <c r="FN106" s="16">
        <f>IF(ISNA(VLOOKUP(A106,'Données projet'!$A$217:$I$237,5,0)),0%,VLOOKUP(A106,'Données projet'!$A$217:$I$237,5,0)*VLOOKUP('Données projet'!$B$16,Paramètres!$A$1:$I$89,7,0))</f>
        <v>0.215</v>
      </c>
      <c r="FO106" s="16">
        <f>IF(ISNA(VLOOKUP(A106,'Données projet'!$A$217:$I$237,6,0)),0%,VLOOKUP(A106,'Données projet'!$A$217:$I$237,6,0)*VLOOKUP('Données projet'!$B$16,Paramètres!$A$1:$I$89,7,0))</f>
        <v>8.6000000000000007E-2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51.75670387098468</v>
      </c>
      <c r="FR106" s="21">
        <f>EXP(-LN(2)/25)*FR105+(1-EXP(-LN(2)/25))/(LN(2)/25)*Calculateur!FM106*Calculateur!FO106*VLOOKUP('Données projet'!$B$16,Paramètres!$A$1:$I$89,3,0)*0.475*44/12</f>
        <v>29.259563049333803</v>
      </c>
      <c r="FS106" s="21">
        <f>EXP(-LN(2)/2)*FS105+(1-EXP(-LN(2)/2))/(LN(2)/2)*FM106*FP106*VLOOKUP('Données projet'!$B$16,Paramètres!$A$1:$I$89,3,0)*0.475*44/12</f>
        <v>5.2444437317560235E-3</v>
      </c>
      <c r="FT106" s="22">
        <f t="shared" si="78"/>
        <v>81.021511364050241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>
        <f>VLOOKUP(A106,'Données projet'!$A$243:$I$263,2,0)</f>
        <v>371.4</v>
      </c>
      <c r="FX106" s="12">
        <f>VLOOKUP(A106,'Données projet'!$A$243:$I$263,9,0)</f>
        <v>8.9989999999999952</v>
      </c>
      <c r="FY106" s="12">
        <f t="array" ref="FY106">INDEX(FX:FX,MIN(IF(ISNUMBER(FX106:FX302),ROW(FX106:FX302),"")))</f>
        <v>8.9989999999999952</v>
      </c>
      <c r="FZ106" s="12">
        <f>IF('Données projet'!$A$244&gt;35,FZ105+FY106-GH105,IF(A106&lt;'Données projet'!$A$244,$FW$205^A106,IF(A106='Données projet'!$A$244,'Données projet'!$B$244,FZ105+FY106-GH105)))</f>
        <v>371.40000000000009</v>
      </c>
      <c r="GA106" s="17">
        <f>FZ106*VLOOKUP('Données projet'!$B$17,Paramètres!$A$1:$I$89,3,0)*VLOOKUP('Données projet'!$B$17,Paramètres!$A$1:$I$89,5,0)</f>
        <v>318.66120000000012</v>
      </c>
      <c r="GB106" s="13">
        <f t="shared" si="103"/>
        <v>75.074722351694476</v>
      </c>
      <c r="GC106" s="20">
        <f t="shared" si="79"/>
        <v>685.75673142920141</v>
      </c>
      <c r="GD106" s="59">
        <f t="shared" si="80"/>
        <v>979.09006476253467</v>
      </c>
      <c r="GE106" s="59">
        <f ca="1">AVERAGE(OFFSET($GD$3,0,0,'Données projet'!$E$17+1,1))-AVERAGE(OFFSET($H$3,0,0,'Données projet'!$E$17+1,1))</f>
        <v>322.39807389980882</v>
      </c>
      <c r="GF106" s="59">
        <f t="shared" si="104"/>
        <v>202.59410055732792</v>
      </c>
      <c r="GG106" s="15">
        <f>IF(ISNA(VLOOKUP(A106,'Données projet'!$A$243:$I$263,3,0)),0,VLOOKUP(A106,'Données projet'!$A$243:$I$263,3,0))</f>
        <v>9</v>
      </c>
      <c r="GH106" s="15">
        <f>IF(ISNA(VLOOKUP(A106,'Données projet'!$A$243:$I$263,4,0)),0,VLOOKUP(A106,'Données projet'!$A$243:$I$263,4,0))</f>
        <v>67.759999999999991</v>
      </c>
      <c r="GI106" s="16">
        <f>IF(ISNA(VLOOKUP(A106,'Données projet'!$A$243:$I$263,5,0)),0%,VLOOKUP(A106,'Données projet'!$A$243:$I$263,5,0)*VLOOKUP('Données projet'!$B$17,Paramètres!$A$1:$I$89,7,0))</f>
        <v>0.26500000000000001</v>
      </c>
      <c r="GJ106" s="16">
        <f>IF(ISNA(VLOOKUP(A106,'Données projet'!$A$243:$I$263,6,0)),0%,VLOOKUP(A106,'Données projet'!$A$243:$I$263,6,0)*VLOOKUP('Données projet'!$B$17,Paramètres!$A$1:$I$89,7,0))</f>
        <v>0.10600000000000001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50.849609633946883</v>
      </c>
      <c r="GM106" s="21">
        <f>EXP(-LN(2)/25)*GM105+(1-EXP(-LN(2)/25))/(LN(2)/25)*Calculateur!GH106*Calculateur!GJ106*VLOOKUP('Données projet'!$B$17,Paramètres!$A$1:$I$89,3,0)*0.475*44/12</f>
        <v>28.746756416854751</v>
      </c>
      <c r="GN106" s="21">
        <f>EXP(-LN(2)/2)*GN105+(1-EXP(-LN(2)/2))/(LN(2)/2)*GH106*GK106*VLOOKUP('Données projet'!$B$17,Paramètres!$A$1:$I$89,3,0)*0.475*44/12</f>
        <v>4.1803536992258087E-3</v>
      </c>
      <c r="GO106" s="21">
        <f t="shared" si="81"/>
        <v>79.600546404500861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38.126399999999897</v>
      </c>
      <c r="D107" s="11">
        <f t="shared" si="86"/>
        <v>11.500671051108608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383.08616249978496</v>
      </c>
      <c r="H107" s="67">
        <f t="shared" si="56"/>
        <v>379.76714874734728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6.5620000000000003</v>
      </c>
      <c r="N107" s="13">
        <f>IF('Données projet'!$A$36&gt;35,N106+M107-V106,IF(A107&lt;'Données projet'!$A$36,$K$205^A107,IF(A107='Données projet'!$A$36,'Données projet'!$B$36,N106+M107-V106)))</f>
        <v>257.3000000000003</v>
      </c>
      <c r="O107" s="13">
        <f>N107*VLOOKUP('Données projet'!$B$9,Paramètres!$A$1:$I$89,3,0)*VLOOKUP('Données projet'!$B$9,Paramètres!$A$1:$I$89,5,0)</f>
        <v>120.41640000000014</v>
      </c>
      <c r="P107" s="13">
        <f t="shared" si="87"/>
        <v>31.772098167877449</v>
      </c>
      <c r="Q107" s="20">
        <f t="shared" si="107"/>
        <v>265.06163430905343</v>
      </c>
      <c r="R107" s="59">
        <f t="shared" si="55"/>
        <v>558.39496764238675</v>
      </c>
      <c r="S107" s="59">
        <f ca="1">AVERAGE(OFFSET($R$3,0,0,'Données projet'!$E$9+1,1))-AVERAGE(OFFSET($H$3,0,0,'Données projet'!$E$9+1,1))</f>
        <v>215.77907571824977</v>
      </c>
      <c r="T107" s="59">
        <f t="shared" si="88"/>
        <v>174.69390149594869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79.256490346770136</v>
      </c>
      <c r="AA107" s="21">
        <f>EXP(-LN(2)/25)*AA106+(1-EXP(-LN(2)/25))/(LN(2)/25)*Calculateur!V107*Calculateur!X107*VLOOKUP('Données projet'!$B$9,Paramètres!$A$1:$I$89,3,0)*0.475*44/12</f>
        <v>25.442943170497085</v>
      </c>
      <c r="AB107" s="21">
        <f>EXP(-LN(2)/2)*AB106+(1-EXP(-LN(2)/2))/(LN(2)/2)*V107*Y107*VLOOKUP('Données projet'!$B$9,Paramètres!$A$1:$I$89,3,0)*0.475*44/12</f>
        <v>4.2026358157233235</v>
      </c>
      <c r="AC107" s="22">
        <f t="shared" si="57"/>
        <v>108.90206933299055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-1.0197709343628959E-13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171.701352621833</v>
      </c>
      <c r="AO107" s="59">
        <f t="shared" si="90"/>
        <v>195.58435749168586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44.495031449135709</v>
      </c>
      <c r="AV107" s="21">
        <f>EXP(-LN(2)/25)*AV106+(1-EXP(-LN(2)/25))/(LN(2)/25)*Calculateur!AQ107*Calculateur!AS107*VLOOKUP('Données projet'!$B$10,Paramètres!$A$1:$I$89,3,0)*0.475*44/12</f>
        <v>11.665504860583454</v>
      </c>
      <c r="AW107" s="21">
        <f>EXP(-LN(2)/2)*AW106+(1-EXP(-LN(2)/2))/(LN(2)/2)*AQ107*AT107*VLOOKUP('Données projet'!$B$10,Paramètres!$A$1:$I$89,3,0)*0.475*44/12</f>
        <v>2.1323645705417946E-5</v>
      </c>
      <c r="AX107" s="21">
        <f t="shared" si="60"/>
        <v>56.160557633364867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-1.1823431123048067E-13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348.29124901999882</v>
      </c>
      <c r="BJ107" s="59">
        <f t="shared" si="92"/>
        <v>284.30034973939053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135.11194848237574</v>
      </c>
      <c r="BQ107" s="21">
        <f>EXP(-LN(2)/25)*BQ106+(1-EXP(-LN(2)/25))/(LN(2)/25)*Calculateur!BL107*Calculateur!BN107*VLOOKUP('Données projet'!$B$11,Paramètres!$A$1:$I$89,3,0)*0.475*44/12</f>
        <v>39.984952721664669</v>
      </c>
      <c r="BR107" s="21">
        <f>EXP(-LN(2)/2)*BR106+(1-EXP(-LN(2)/2))/(LN(2)/2)*BL107*BO107*VLOOKUP('Données projet'!$B$11,Paramètres!$A$1:$I$89,3,0)*0.475*44/12</f>
        <v>2.0597414360087846E-2</v>
      </c>
      <c r="BS107" s="22">
        <f t="shared" si="63"/>
        <v>175.1174986184005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5.2019999999999982</v>
      </c>
      <c r="BY107" s="12">
        <f>IF('Données projet'!$A$114&gt;35,BY106+BX107-CG106,IF(A107&lt;'Données projet'!$A$114,$BV$205^A107,IF(A107='Données projet'!$A$114,'Données projet'!$B$114,BY106+BX107-CG106)))</f>
        <v>215.88799999999978</v>
      </c>
      <c r="BZ107" s="13">
        <f>BY107*VLOOKUP('Données projet'!$B$12,Paramètres!$A$1:$I$89,3,0)*VLOOKUP('Données projet'!$B$12,Paramètres!$A$1:$I$89,5,0)</f>
        <v>129.10102399999988</v>
      </c>
      <c r="CA107" s="13">
        <f t="shared" si="93"/>
        <v>33.788548554646987</v>
      </c>
      <c r="CB107" s="20">
        <f t="shared" si="64"/>
        <v>283.6993388660099</v>
      </c>
      <c r="CC107" s="59">
        <f t="shared" si="65"/>
        <v>577.03267219934321</v>
      </c>
      <c r="CD107" s="59">
        <f ca="1">AVERAGE(OFFSET($CC$3,0,0,'Données projet'!$E$12+1,1))-AVERAGE(OFFSET($H$3,0,0,'Données projet'!$E$12+1,1))</f>
        <v>185.82627135915504</v>
      </c>
      <c r="CE107" s="59">
        <f t="shared" si="94"/>
        <v>155.46126452522037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46.771716065905736</v>
      </c>
      <c r="CL107" s="21">
        <f>EXP(-LN(2)/25)*CL106+(1-EXP(-LN(2)/25))/(LN(2)/25)*Calculateur!CG107*Calculateur!CI107*VLOOKUP('Données projet'!$B$12,Paramètres!$A$1:$I$89,3,0)*0.475*44/12</f>
        <v>14.931755228580645</v>
      </c>
      <c r="CM107" s="21">
        <f>EXP(-LN(2)/2)*CM106+(1-EXP(-LN(2)/2))/(LN(2)/2)*CG107*CJ107*VLOOKUP('Données projet'!$B$12,Paramètres!$A$1:$I$89,3,0)*0.475*44/12</f>
        <v>3.2186123382929024</v>
      </c>
      <c r="CN107" s="22">
        <f t="shared" si="66"/>
        <v>64.922083632779277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1.2692307692307694</v>
      </c>
      <c r="CT107" s="12">
        <f>IF('Données projet'!$A$140&gt;35,CT106+CS107-DB106,IF(A107&lt;'Données projet'!$A$140,$CQ$205^A107,IF(A107='Données projet'!$A$140,'Données projet'!$B$140,CT106+CS107-DB106)))</f>
        <v>105.84615384615381</v>
      </c>
      <c r="CU107" s="17">
        <f>CT107*VLOOKUP('Données projet'!$B$13,Paramètres!$A$1:$I$89,3,0)*VLOOKUP('Données projet'!$B$13,Paramètres!$A$1:$I$89,5,0)</f>
        <v>121.93476923076918</v>
      </c>
      <c r="CV107" s="13">
        <f t="shared" si="95"/>
        <v>32.125831524537588</v>
      </c>
      <c r="CW107" s="20">
        <f t="shared" si="67"/>
        <v>268.32221298215927</v>
      </c>
      <c r="CX107" s="59">
        <f t="shared" si="68"/>
        <v>561.65554631549253</v>
      </c>
      <c r="CY107" s="59">
        <f ca="1">AVERAGE(OFFSET($CX$3,0,0,'Données projet'!$E$13+1,1))-AVERAGE(OFFSET($H$3,0,0,'Données projet'!$E$13+1,1))</f>
        <v>150.78964413039063</v>
      </c>
      <c r="CZ107" s="59">
        <f t="shared" si="96"/>
        <v>131.90332435966184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6.9697524683160861</v>
      </c>
      <c r="DG107" s="21">
        <f>EXP(-LN(2)/25)*DG106+(1-EXP(-LN(2)/25))/(LN(2)/25)*Calculateur!DB107*Calculateur!DD107*VLOOKUP('Données projet'!$B$13,Paramètres!$A$1:$I$89,3,0)*0.475*44/12</f>
        <v>3.1724000000117143</v>
      </c>
      <c r="DH107" s="21">
        <f>EXP(-LN(2)/2)*DH106+(1-EXP(-LN(2)/2))/(LN(2)/2)*DB107*DE107*VLOOKUP('Données projet'!$B$13,Paramètres!$A$1:$I$89,3,0)*0.475*44/12</f>
        <v>0.41025217060796648</v>
      </c>
      <c r="DI107" s="22">
        <f t="shared" si="69"/>
        <v>10.552404638935768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-1.4210854715202004E-14</v>
      </c>
      <c r="DP107" s="17">
        <f>DO107*VLOOKUP('Données projet'!$B$14,Paramètres!$A$1:$I$89,3,0)*VLOOKUP('Données projet'!$B$14,Paramètres!$A$1:$I$89,5,0)</f>
        <v>-1.4853185348329136E-14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110.10595934547638</v>
      </c>
      <c r="DU107" s="59">
        <f t="shared" si="98"/>
        <v>131.10971921141493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33.187309851764638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33.187309851764638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271.37</v>
      </c>
      <c r="EH107" s="12">
        <f>VLOOKUP(A107,'Données projet'!$A$191:$I$211,9,0)</f>
        <v>6.7777777777777777</v>
      </c>
      <c r="EI107" s="12">
        <f t="array" ref="EI107">INDEX(EH:EH,MIN(IF(ISNUMBER(EH107:EH303),ROW(EH107:EH303),"")))</f>
        <v>6.7777777777777777</v>
      </c>
      <c r="EJ107" s="12">
        <f>IF('Données projet'!$A$192&gt;35,EJ106+EI107-ER106,IF(A107&lt;'Données projet'!$A$192,$EG$205^A107,IF(A107='Données projet'!$A$192,'Données projet'!$B$192,EJ106+EI107-ER106)))</f>
        <v>271.36999999999983</v>
      </c>
      <c r="EK107" s="17">
        <f>EJ107*VLOOKUP('Données projet'!$B$15,Paramètres!$A$1:$I$89,3,0)*VLOOKUP('Données projet'!$B$15,Paramètres!$A$1:$I$89,5,0)</f>
        <v>275.16917999999981</v>
      </c>
      <c r="EL107" s="13">
        <f t="shared" si="99"/>
        <v>65.945086005549797</v>
      </c>
      <c r="EM107" s="20">
        <f t="shared" si="73"/>
        <v>594.10734662633229</v>
      </c>
      <c r="EN107" s="59">
        <f t="shared" si="74"/>
        <v>887.44067995966566</v>
      </c>
      <c r="EO107" s="59">
        <f ca="1">AVERAGE(OFFSET($EN$3,0,0,'Données projet'!$E$15+1,1))-AVERAGE(OFFSET($H$3,0,0,'Données projet'!$E$15+1,1))</f>
        <v>420.38735944595965</v>
      </c>
      <c r="EP107" s="59">
        <f t="shared" si="100"/>
        <v>200.0823542414671</v>
      </c>
      <c r="EQ107" s="15">
        <f>IF(ISNA(VLOOKUP(A107,'Données projet'!$A$191:$I$211,3,0)),0,VLOOKUP(A107,'Données projet'!$A$191:$I$211,3,0))</f>
        <v>6</v>
      </c>
      <c r="ER107" s="15">
        <f>IF(ISNA(VLOOKUP(A107,'Données projet'!$A$191:$I$211,4,0)),0,VLOOKUP(A107,'Données projet'!$A$191:$I$211,4,0))</f>
        <v>39.400000000000006</v>
      </c>
      <c r="ES107" s="16">
        <f>IF(ISNA(VLOOKUP(A107,'Données projet'!$A$191:$I$211,5,0)),0%,VLOOKUP(A107,'Données projet'!$A$191:$I$211,5,0)*VLOOKUP('Données projet'!$B$15,Paramètres!$A$1:$I$89,7,0))</f>
        <v>0.15049999999999999</v>
      </c>
      <c r="ET107" s="16">
        <f>IF(ISNA(VLOOKUP(A107,'Données projet'!$A$191:$I$211,6,0)),0%,VLOOKUP(A107,'Données projet'!$A$191:$I$211,6,0)*VLOOKUP('Données projet'!$B$15,Paramètres!$A$1:$I$89,7,0))</f>
        <v>8.6000000000000007E-2</v>
      </c>
      <c r="EU107" s="16">
        <f>IF(ISNA(VLOOKUP(A107,'Données projet'!$A$191:$I$211,7,0)),0%,VLOOKUP(A107,'Données projet'!$A$191:$I$211,7,0))</f>
        <v>0.1</v>
      </c>
      <c r="EV107" s="21">
        <f>EXP(-LN(2)/35)*EV106+(1-EXP(-LN(2)/35))/(LN(2)/35)*ER107*ES107*VLOOKUP('Données projet'!$B$15,Paramètres!$A$1:$I$89,3,0)*0.475*44/12</f>
        <v>17.037909601686799</v>
      </c>
      <c r="EW107" s="21">
        <f>EXP(-LN(2)/25)*EW106+(1-EXP(-LN(2)/25))/(LN(2)/25)*Calculateur!ER107*Calculateur!ET107*VLOOKUP('Données projet'!$B$15,Paramètres!$A$1:$I$89,3,0)*0.475*44/12</f>
        <v>29.705420325182111</v>
      </c>
      <c r="EX107" s="21">
        <f>EXP(-LN(2)/2)*EX106+(1-EXP(-LN(2)/2))/(LN(2)/2)*ER107*EU107*VLOOKUP('Données projet'!$B$15,Paramètres!$A$1:$I$89,3,0)*0.475*44/12</f>
        <v>3.9555942072717549</v>
      </c>
      <c r="EY107" s="22">
        <f t="shared" si="75"/>
        <v>50.698924134140668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8.7540000000000013</v>
      </c>
      <c r="FE107" s="12">
        <f>IF('Données projet'!$A$218&gt;35,FE106+FD107-FM106,IF(A107&lt;'Données projet'!$A$218,$FB$205^A107,IF(A107='Données projet'!$A$218,'Données projet'!$B$218,FE106+FD107-FM106)))</f>
        <v>312.39400000000012</v>
      </c>
      <c r="FF107" s="17">
        <f>FE107*VLOOKUP('Données projet'!$B$16,Paramètres!$A$1:$I$89,3,0)*VLOOKUP('Données projet'!$B$16,Paramètres!$A$1:$I$89,5,0)</f>
        <v>336.26090160000012</v>
      </c>
      <c r="FG107" s="13">
        <f t="shared" si="101"/>
        <v>78.726928534467632</v>
      </c>
      <c r="FH107" s="20">
        <f t="shared" si="76"/>
        <v>722.77047081753142</v>
      </c>
      <c r="FI107" s="59">
        <f t="shared" si="77"/>
        <v>1016.1038041508648</v>
      </c>
      <c r="FJ107" s="59">
        <f ca="1">AVERAGE(OFFSET($FI$3,0,0,'Données projet'!$E$16+1,1))-AVERAGE(OFFSET($H$3,0,0,'Données projet'!$E$16+1,1))</f>
        <v>415.8741608506952</v>
      </c>
      <c r="FK107" s="59">
        <f t="shared" si="102"/>
        <v>259.15848913719356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50.741786476546906</v>
      </c>
      <c r="FR107" s="21">
        <f>EXP(-LN(2)/25)*FR106+(1-EXP(-LN(2)/25))/(LN(2)/25)*Calculateur!FM107*Calculateur!FO107*VLOOKUP('Données projet'!$B$16,Paramètres!$A$1:$I$89,3,0)*0.475*44/12</f>
        <v>28.459458759056222</v>
      </c>
      <c r="FS107" s="21">
        <f>EXP(-LN(2)/2)*FS106+(1-EXP(-LN(2)/2))/(LN(2)/2)*FM107*FP107*VLOOKUP('Données projet'!$B$16,Paramètres!$A$1:$I$89,3,0)*0.475*44/12</f>
        <v>3.7083817262759675E-3</v>
      </c>
      <c r="FT107" s="22">
        <f t="shared" si="78"/>
        <v>79.204953617329394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8.7540000000000013</v>
      </c>
      <c r="FZ107" s="12">
        <f>IF('Données projet'!$A$244&gt;35,FZ106+FY107-GH106,IF(A107&lt;'Données projet'!$A$244,$FW$205^A107,IF(A107='Données projet'!$A$244,'Données projet'!$B$244,FZ106+FY107-GH106)))</f>
        <v>312.39400000000012</v>
      </c>
      <c r="GA107" s="17">
        <f>FZ107*VLOOKUP('Données projet'!$B$17,Paramètres!$A$1:$I$89,3,0)*VLOOKUP('Données projet'!$B$17,Paramètres!$A$1:$I$89,5,0)</f>
        <v>268.03405200000014</v>
      </c>
      <c r="GB107" s="13">
        <f t="shared" si="103"/>
        <v>64.43186821676241</v>
      </c>
      <c r="GC107" s="20">
        <f t="shared" si="79"/>
        <v>579.04481104419483</v>
      </c>
      <c r="GD107" s="59">
        <f t="shared" si="80"/>
        <v>872.37814437752809</v>
      </c>
      <c r="GE107" s="59">
        <f ca="1">AVERAGE(OFFSET($GD$3,0,0,'Données projet'!$E$17+1,1))-AVERAGE(OFFSET($H$3,0,0,'Données projet'!$E$17+1,1))</f>
        <v>322.39807389980882</v>
      </c>
      <c r="GF107" s="59">
        <f t="shared" si="104"/>
        <v>202.59410055732792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49.852479804224565</v>
      </c>
      <c r="GM107" s="21">
        <f>EXP(-LN(2)/25)*GM106+(1-EXP(-LN(2)/25))/(LN(2)/25)*Calculateur!GH107*Calculateur!GJ107*VLOOKUP('Données projet'!$B$17,Paramètres!$A$1:$I$89,3,0)*0.475*44/12</f>
        <v>27.960674850909641</v>
      </c>
      <c r="GN107" s="21">
        <f>EXP(-LN(2)/2)*GN106+(1-EXP(-LN(2)/2))/(LN(2)/2)*GH107*GK107*VLOOKUP('Données projet'!$B$17,Paramètres!$A$1:$I$89,3,0)*0.475*44/12</f>
        <v>2.9559564484808384E-3</v>
      </c>
      <c r="GO107" s="21">
        <f t="shared" si="81"/>
        <v>77.816110611582687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38.492999999999896</v>
      </c>
      <c r="D108" s="11">
        <f t="shared" si="86"/>
        <v>11.598328035520421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386.66990062506915</v>
      </c>
      <c r="H108" s="67">
        <f t="shared" si="56"/>
        <v>380.57572966186456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6.5620000000000003</v>
      </c>
      <c r="N108" s="13">
        <f>IF('Données projet'!$A$36&gt;35,N107+M108-V107,IF(A108&lt;'Données projet'!$A$36,$K$205^A108,IF(A108='Données projet'!$A$36,'Données projet'!$B$36,N107+M108-V107)))</f>
        <v>263.86200000000031</v>
      </c>
      <c r="O108" s="13">
        <f>N108*VLOOKUP('Données projet'!$B$9,Paramètres!$A$1:$I$89,3,0)*VLOOKUP('Données projet'!$B$9,Paramètres!$A$1:$I$89,5,0)</f>
        <v>123.48741600000015</v>
      </c>
      <c r="P108" s="13">
        <f t="shared" si="87"/>
        <v>32.48702070756385</v>
      </c>
      <c r="Q108" s="20">
        <f t="shared" si="107"/>
        <v>271.65547726567394</v>
      </c>
      <c r="R108" s="59">
        <f t="shared" si="55"/>
        <v>564.98881059900725</v>
      </c>
      <c r="S108" s="59">
        <f ca="1">AVERAGE(OFFSET($R$3,0,0,'Données projet'!$E$9+1,1))-AVERAGE(OFFSET($H$3,0,0,'Données projet'!$E$9+1,1))</f>
        <v>215.77907571824977</v>
      </c>
      <c r="T108" s="59">
        <f t="shared" si="88"/>
        <v>174.69390149594869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77.702318912755743</v>
      </c>
      <c r="AA108" s="21">
        <f>EXP(-LN(2)/25)*AA107+(1-EXP(-LN(2)/25))/(LN(2)/25)*Calculateur!V108*Calculateur!X108*VLOOKUP('Données projet'!$B$9,Paramètres!$A$1:$I$89,3,0)*0.475*44/12</f>
        <v>24.747204551513612</v>
      </c>
      <c r="AB108" s="21">
        <f>EXP(-LN(2)/2)*AB107+(1-EXP(-LN(2)/2))/(LN(2)/2)*V108*Y108*VLOOKUP('Données projet'!$B$9,Paramètres!$A$1:$I$89,3,0)*0.475*44/12</f>
        <v>2.9717122841554198</v>
      </c>
      <c r="AC108" s="22">
        <f t="shared" si="57"/>
        <v>105.42123574842478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-1.0197709343628959E-13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171.701352621833</v>
      </c>
      <c r="AO108" s="59">
        <f t="shared" si="90"/>
        <v>195.58435749168586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43.62251102170756</v>
      </c>
      <c r="AV108" s="21">
        <f>EXP(-LN(2)/25)*AV107+(1-EXP(-LN(2)/25))/(LN(2)/25)*Calculateur!AQ108*Calculateur!AS108*VLOOKUP('Données projet'!$B$10,Paramètres!$A$1:$I$89,3,0)*0.475*44/12</f>
        <v>11.346511016708561</v>
      </c>
      <c r="AW108" s="21">
        <f>EXP(-LN(2)/2)*AW107+(1-EXP(-LN(2)/2))/(LN(2)/2)*AQ108*AT108*VLOOKUP('Données projet'!$B$10,Paramètres!$A$1:$I$89,3,0)*0.475*44/12</f>
        <v>1.5078094477920432E-5</v>
      </c>
      <c r="AX108" s="21">
        <f t="shared" si="60"/>
        <v>54.969037116510599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-1.1823431123048067E-13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348.29124901999882</v>
      </c>
      <c r="BJ108" s="59">
        <f t="shared" si="92"/>
        <v>284.30034973939053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132.46248558278759</v>
      </c>
      <c r="BQ108" s="21">
        <f>EXP(-LN(2)/25)*BQ107+(1-EXP(-LN(2)/25))/(LN(2)/25)*Calculateur!BL108*Calculateur!BN108*VLOOKUP('Données projet'!$B$11,Paramètres!$A$1:$I$89,3,0)*0.475*44/12</f>
        <v>38.891562086773469</v>
      </c>
      <c r="BR108" s="21">
        <f>EXP(-LN(2)/2)*BR107+(1-EXP(-LN(2)/2))/(LN(2)/2)*BL108*BO108*VLOOKUP('Données projet'!$B$11,Paramètres!$A$1:$I$89,3,0)*0.475*44/12</f>
        <v>1.456457136892729E-2</v>
      </c>
      <c r="BS108" s="22">
        <f t="shared" si="63"/>
        <v>171.36861224092999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5.2019999999999982</v>
      </c>
      <c r="BY108" s="12">
        <f>IF('Données projet'!$A$114&gt;35,BY107+BX108-CG107,IF(A108&lt;'Données projet'!$A$114,$BV$205^A108,IF(A108='Données projet'!$A$114,'Données projet'!$B$114,BY107+BX108-CG107)))</f>
        <v>221.08999999999978</v>
      </c>
      <c r="BZ108" s="13">
        <f>BY108*VLOOKUP('Données projet'!$B$12,Paramètres!$A$1:$I$89,3,0)*VLOOKUP('Données projet'!$B$12,Paramètres!$A$1:$I$89,5,0)</f>
        <v>132.21181999999988</v>
      </c>
      <c r="CA108" s="13">
        <f t="shared" si="93"/>
        <v>34.506943083866283</v>
      </c>
      <c r="CB108" s="20">
        <f t="shared" si="64"/>
        <v>290.36851237106686</v>
      </c>
      <c r="CC108" s="59">
        <f t="shared" si="65"/>
        <v>583.70184570440017</v>
      </c>
      <c r="CD108" s="59">
        <f ca="1">AVERAGE(OFFSET($CC$3,0,0,'Données projet'!$E$12+1,1))-AVERAGE(OFFSET($H$3,0,0,'Données projet'!$E$12+1,1))</f>
        <v>185.82627135915504</v>
      </c>
      <c r="CE108" s="59">
        <f t="shared" si="94"/>
        <v>155.46126452522037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45.854551241783227</v>
      </c>
      <c r="CL108" s="21">
        <f>EXP(-LN(2)/25)*CL107+(1-EXP(-LN(2)/25))/(LN(2)/25)*Calculateur!CG108*Calculateur!CI108*VLOOKUP('Données projet'!$B$12,Paramètres!$A$1:$I$89,3,0)*0.475*44/12</f>
        <v>14.523445596628227</v>
      </c>
      <c r="CM108" s="21">
        <f>EXP(-LN(2)/2)*CM107+(1-EXP(-LN(2)/2))/(LN(2)/2)*CG108*CJ108*VLOOKUP('Données projet'!$B$12,Paramètres!$A$1:$I$89,3,0)*0.475*44/12</f>
        <v>2.2759026104176017</v>
      </c>
      <c r="CN108" s="22">
        <f t="shared" si="66"/>
        <v>62.653899448829058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1.2692307692307694</v>
      </c>
      <c r="CT108" s="12">
        <f>IF('Données projet'!$A$140&gt;35,CT107+CS108-DB107,IF(A108&lt;'Données projet'!$A$140,$CQ$205^A108,IF(A108='Données projet'!$A$140,'Données projet'!$B$140,CT107+CS108-DB107)))</f>
        <v>107.11538461538458</v>
      </c>
      <c r="CU108" s="17">
        <f>CT108*VLOOKUP('Données projet'!$B$13,Paramètres!$A$1:$I$89,3,0)*VLOOKUP('Données projet'!$B$13,Paramètres!$A$1:$I$89,5,0)</f>
        <v>123.39692307692303</v>
      </c>
      <c r="CV108" s="13">
        <f t="shared" si="95"/>
        <v>32.465984084103368</v>
      </c>
      <c r="CW108" s="20">
        <f t="shared" si="67"/>
        <v>271.46122997212092</v>
      </c>
      <c r="CX108" s="59">
        <f t="shared" si="68"/>
        <v>564.79456330545418</v>
      </c>
      <c r="CY108" s="59">
        <f ca="1">AVERAGE(OFFSET($CX$3,0,0,'Données projet'!$E$13+1,1))-AVERAGE(OFFSET($H$3,0,0,'Données projet'!$E$13+1,1))</f>
        <v>150.78964413039063</v>
      </c>
      <c r="CZ108" s="59">
        <f t="shared" si="96"/>
        <v>131.90332435966184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6.8330798735416494</v>
      </c>
      <c r="DG108" s="21">
        <f>EXP(-LN(2)/25)*DG107+(1-EXP(-LN(2)/25))/(LN(2)/25)*Calculateur!DB108*Calculateur!DD108*VLOOKUP('Données projet'!$B$13,Paramètres!$A$1:$I$89,3,0)*0.475*44/12</f>
        <v>3.0856505551821285</v>
      </c>
      <c r="DH108" s="21">
        <f>EXP(-LN(2)/2)*DH107+(1-EXP(-LN(2)/2))/(LN(2)/2)*DB108*DE108*VLOOKUP('Données projet'!$B$13,Paramètres!$A$1:$I$89,3,0)*0.475*44/12</f>
        <v>0.29009209183339352</v>
      </c>
      <c r="DI108" s="22">
        <f t="shared" si="69"/>
        <v>10.208822520557172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-1.4210854715202004E-14</v>
      </c>
      <c r="DP108" s="17">
        <f>DO108*VLOOKUP('Données projet'!$B$14,Paramètres!$A$1:$I$89,3,0)*VLOOKUP('Données projet'!$B$14,Paramètres!$A$1:$I$89,5,0)</f>
        <v>-1.4853185348329136E-14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110.10595934547638</v>
      </c>
      <c r="DU108" s="59">
        <f t="shared" si="98"/>
        <v>131.10971921141493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32.279801118623361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32.279801118623361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6.8811111111111085</v>
      </c>
      <c r="EJ108" s="12">
        <f>IF('Données projet'!$A$192&gt;35,EJ107+EI108-ER107,IF(A108&lt;'Données projet'!$A$192,$EG$205^A108,IF(A108='Données projet'!$A$192,'Données projet'!$B$192,EJ107+EI108-ER107)))</f>
        <v>238.85111111111095</v>
      </c>
      <c r="EK108" s="17">
        <f>EJ108*VLOOKUP('Données projet'!$B$15,Paramètres!$A$1:$I$89,3,0)*VLOOKUP('Données projet'!$B$15,Paramètres!$A$1:$I$89,5,0)</f>
        <v>242.19502666666651</v>
      </c>
      <c r="EL108" s="13">
        <f t="shared" si="99"/>
        <v>58.911550627030486</v>
      </c>
      <c r="EM108" s="20">
        <f t="shared" si="73"/>
        <v>524.42728878652235</v>
      </c>
      <c r="EN108" s="59">
        <f t="shared" si="74"/>
        <v>817.76062211985573</v>
      </c>
      <c r="EO108" s="59">
        <f ca="1">AVERAGE(OFFSET($EN$3,0,0,'Données projet'!$E$15+1,1))-AVERAGE(OFFSET($H$3,0,0,'Données projet'!$E$15+1,1))</f>
        <v>420.38735944595965</v>
      </c>
      <c r="EP108" s="59">
        <f t="shared" si="100"/>
        <v>200.0823542414671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16.703806586496444</v>
      </c>
      <c r="EW108" s="21">
        <f>EXP(-LN(2)/25)*EW107+(1-EXP(-LN(2)/25))/(LN(2)/25)*Calculateur!ER108*Calculateur!ET108*VLOOKUP('Données projet'!$B$15,Paramètres!$A$1:$I$89,3,0)*0.475*44/12</f>
        <v>28.893124044249845</v>
      </c>
      <c r="EX108" s="21">
        <f>EXP(-LN(2)/2)*EX107+(1-EXP(-LN(2)/2))/(LN(2)/2)*ER108*EU108*VLOOKUP('Données projet'!$B$15,Paramètres!$A$1:$I$89,3,0)*0.475*44/12</f>
        <v>2.7970274875840837</v>
      </c>
      <c r="EY108" s="22">
        <f t="shared" si="75"/>
        <v>48.393958118330367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8.7540000000000013</v>
      </c>
      <c r="FE108" s="12">
        <f>IF('Données projet'!$A$218&gt;35,FE107+FD108-FM107,IF(A108&lt;'Données projet'!$A$218,$FB$205^A108,IF(A108='Données projet'!$A$218,'Données projet'!$B$218,FE107+FD108-FM107)))</f>
        <v>321.14800000000014</v>
      </c>
      <c r="FF108" s="17">
        <f>FE108*VLOOKUP('Données projet'!$B$16,Paramètres!$A$1:$I$89,3,0)*VLOOKUP('Données projet'!$B$16,Paramètres!$A$1:$I$89,5,0)</f>
        <v>345.68370720000013</v>
      </c>
      <c r="FG108" s="13">
        <f t="shared" si="101"/>
        <v>80.673100873364589</v>
      </c>
      <c r="FH108" s="20">
        <f t="shared" si="76"/>
        <v>742.57144072777692</v>
      </c>
      <c r="FI108" s="59">
        <f t="shared" si="77"/>
        <v>1035.9047740611102</v>
      </c>
      <c r="FJ108" s="59">
        <f ca="1">AVERAGE(OFFSET($FI$3,0,0,'Données projet'!$E$16+1,1))-AVERAGE(OFFSET($H$3,0,0,'Données projet'!$E$16+1,1))</f>
        <v>415.8741608506952</v>
      </c>
      <c r="FK108" s="59">
        <f t="shared" si="102"/>
        <v>259.15848913719356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49.746770993175566</v>
      </c>
      <c r="FR108" s="21">
        <f>EXP(-LN(2)/25)*FR107+(1-EXP(-LN(2)/25))/(LN(2)/25)*Calculateur!FM108*Calculateur!FO108*VLOOKUP('Données projet'!$B$16,Paramètres!$A$1:$I$89,3,0)*0.475*44/12</f>
        <v>27.681233362671939</v>
      </c>
      <c r="FS108" s="21">
        <f>EXP(-LN(2)/2)*FS107+(1-EXP(-LN(2)/2))/(LN(2)/2)*FM108*FP108*VLOOKUP('Données projet'!$B$16,Paramètres!$A$1:$I$89,3,0)*0.475*44/12</f>
        <v>2.6222218658780122E-3</v>
      </c>
      <c r="FT108" s="22">
        <f t="shared" si="78"/>
        <v>77.430626577713383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8.7540000000000013</v>
      </c>
      <c r="FZ108" s="12">
        <f>IF('Données projet'!$A$244&gt;35,FZ107+FY108-GH107,IF(A108&lt;'Données projet'!$A$244,$FW$205^A108,IF(A108='Données projet'!$A$244,'Données projet'!$B$244,FZ107+FY108-GH107)))</f>
        <v>321.14800000000014</v>
      </c>
      <c r="GA108" s="17">
        <f>FZ108*VLOOKUP('Données projet'!$B$17,Paramètres!$A$1:$I$89,3,0)*VLOOKUP('Données projet'!$B$17,Paramètres!$A$1:$I$89,5,0)</f>
        <v>275.54498400000017</v>
      </c>
      <c r="GB108" s="13">
        <f t="shared" si="103"/>
        <v>66.024658917494719</v>
      </c>
      <c r="GC108" s="20">
        <f t="shared" si="79"/>
        <v>594.90046141463688</v>
      </c>
      <c r="GD108" s="59">
        <f t="shared" si="80"/>
        <v>888.23379474797025</v>
      </c>
      <c r="GE108" s="59">
        <f ca="1">AVERAGE(OFFSET($GD$3,0,0,'Données projet'!$E$17+1,1))-AVERAGE(OFFSET($H$3,0,0,'Données projet'!$E$17+1,1))</f>
        <v>322.39807389980882</v>
      </c>
      <c r="GF108" s="59">
        <f t="shared" si="104"/>
        <v>202.59410055732792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48.87490308227396</v>
      </c>
      <c r="GM108" s="21">
        <f>EXP(-LN(2)/25)*GM107+(1-EXP(-LN(2)/25))/(LN(2)/25)*Calculateur!GH108*Calculateur!GJ108*VLOOKUP('Données projet'!$B$17,Paramètres!$A$1:$I$89,3,0)*0.475*44/12</f>
        <v>27.196088726723531</v>
      </c>
      <c r="GN108" s="21">
        <f>EXP(-LN(2)/2)*GN107+(1-EXP(-LN(2)/2))/(LN(2)/2)*GH108*GK108*VLOOKUP('Données projet'!$B$17,Paramètres!$A$1:$I$89,3,0)*0.475*44/12</f>
        <v>2.0901768496129043E-3</v>
      </c>
      <c r="GO108" s="21">
        <f t="shared" si="81"/>
        <v>76.073081985847097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38.859599999999894</v>
      </c>
      <c r="D109" s="11">
        <f t="shared" si="86"/>
        <v>11.695876818444203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390.25280351079658</v>
      </c>
      <c r="H109" s="67">
        <f t="shared" si="56"/>
        <v>381.38412212545677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6.5620000000000003</v>
      </c>
      <c r="N109" s="13">
        <f>IF('Données projet'!$A$36&gt;35,N108+M109-V108,IF(A109&lt;'Données projet'!$A$36,$K$205^A109,IF(A109='Données projet'!$A$36,'Données projet'!$B$36,N108+M109-V108)))</f>
        <v>270.42400000000032</v>
      </c>
      <c r="O109" s="13">
        <f>N109*VLOOKUP('Données projet'!$B$9,Paramètres!$A$1:$I$89,3,0)*VLOOKUP('Données projet'!$B$9,Paramètres!$A$1:$I$89,5,0)</f>
        <v>126.55843200000014</v>
      </c>
      <c r="P109" s="13">
        <f t="shared" si="87"/>
        <v>33.199876486422404</v>
      </c>
      <c r="Q109" s="20">
        <f t="shared" si="107"/>
        <v>278.2457206138526</v>
      </c>
      <c r="R109" s="59">
        <f t="shared" si="55"/>
        <v>571.57905394718591</v>
      </c>
      <c r="S109" s="59">
        <f ca="1">AVERAGE(OFFSET($R$3,0,0,'Données projet'!$E$9+1,1))-AVERAGE(OFFSET($H$3,0,0,'Données projet'!$E$9+1,1))</f>
        <v>215.77907571824977</v>
      </c>
      <c r="T109" s="59">
        <f t="shared" si="88"/>
        <v>174.69390149594869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76.178623832611393</v>
      </c>
      <c r="AA109" s="21">
        <f>EXP(-LN(2)/25)*AA108+(1-EXP(-LN(2)/25))/(LN(2)/25)*Calculateur!V109*Calculateur!X109*VLOOKUP('Données projet'!$B$9,Paramètres!$A$1:$I$89,3,0)*0.475*44/12</f>
        <v>24.070490941653546</v>
      </c>
      <c r="AB109" s="21">
        <f>EXP(-LN(2)/2)*AB108+(1-EXP(-LN(2)/2))/(LN(2)/2)*V109*Y109*VLOOKUP('Données projet'!$B$9,Paramètres!$A$1:$I$89,3,0)*0.475*44/12</f>
        <v>2.1013179078616617</v>
      </c>
      <c r="AC109" s="22">
        <f t="shared" si="57"/>
        <v>102.35043268212659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-1.0197709343628959E-13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171.701352621833</v>
      </c>
      <c r="AO109" s="59">
        <f t="shared" si="90"/>
        <v>195.58435749168586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42.767100187676363</v>
      </c>
      <c r="AV109" s="21">
        <f>EXP(-LN(2)/25)*AV108+(1-EXP(-LN(2)/25))/(LN(2)/25)*Calculateur!AQ109*Calculateur!AS109*VLOOKUP('Données projet'!$B$10,Paramètres!$A$1:$I$89,3,0)*0.475*44/12</f>
        <v>11.036240076269584</v>
      </c>
      <c r="AW109" s="21">
        <f>EXP(-LN(2)/2)*AW108+(1-EXP(-LN(2)/2))/(LN(2)/2)*AQ109*AT109*VLOOKUP('Données projet'!$B$10,Paramètres!$A$1:$I$89,3,0)*0.475*44/12</f>
        <v>1.0661822852708975E-5</v>
      </c>
      <c r="AX109" s="21">
        <f t="shared" si="60"/>
        <v>53.803350925768804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-1.1823431123048067E-13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348.29124901999882</v>
      </c>
      <c r="BJ109" s="59">
        <f t="shared" si="92"/>
        <v>284.30034973939053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129.86497703464758</v>
      </c>
      <c r="BQ109" s="21">
        <f>EXP(-LN(2)/25)*BQ108+(1-EXP(-LN(2)/25))/(LN(2)/25)*Calculateur!BL109*Calculateur!BN109*VLOOKUP('Données projet'!$B$11,Paramètres!$A$1:$I$89,3,0)*0.475*44/12</f>
        <v>37.828070276292287</v>
      </c>
      <c r="BR109" s="21">
        <f>EXP(-LN(2)/2)*BR108+(1-EXP(-LN(2)/2))/(LN(2)/2)*BL109*BO109*VLOOKUP('Données projet'!$B$11,Paramètres!$A$1:$I$89,3,0)*0.475*44/12</f>
        <v>1.0298707180043925E-2</v>
      </c>
      <c r="BS109" s="22">
        <f t="shared" si="63"/>
        <v>167.70334601811993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5.2019999999999982</v>
      </c>
      <c r="BY109" s="12">
        <f>IF('Données projet'!$A$114&gt;35,BY108+BX109-CG108,IF(A109&lt;'Données projet'!$A$114,$BV$205^A109,IF(A109='Données projet'!$A$114,'Données projet'!$B$114,BY108+BX109-CG108)))</f>
        <v>226.29199999999977</v>
      </c>
      <c r="BZ109" s="13">
        <f>BY109*VLOOKUP('Données projet'!$B$12,Paramètres!$A$1:$I$89,3,0)*VLOOKUP('Données projet'!$B$12,Paramètres!$A$1:$I$89,5,0)</f>
        <v>135.32261599999987</v>
      </c>
      <c r="CA109" s="13">
        <f t="shared" si="93"/>
        <v>35.22337260193364</v>
      </c>
      <c r="CB109" s="20">
        <f t="shared" si="64"/>
        <v>297.03426348170086</v>
      </c>
      <c r="CC109" s="59">
        <f t="shared" si="65"/>
        <v>590.36759681503418</v>
      </c>
      <c r="CD109" s="59">
        <f ca="1">AVERAGE(OFFSET($CC$3,0,0,'Données projet'!$E$12+1,1))-AVERAGE(OFFSET($H$3,0,0,'Données projet'!$E$12+1,1))</f>
        <v>185.82627135915504</v>
      </c>
      <c r="CE109" s="59">
        <f t="shared" si="94"/>
        <v>155.46126452522037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44.955371460446457</v>
      </c>
      <c r="CL109" s="21">
        <f>EXP(-LN(2)/25)*CL108+(1-EXP(-LN(2)/25))/(LN(2)/25)*Calculateur!CG109*Calculateur!CI109*VLOOKUP('Données projet'!$B$12,Paramètres!$A$1:$I$89,3,0)*0.475*44/12</f>
        <v>14.126301213033617</v>
      </c>
      <c r="CM109" s="21">
        <f>EXP(-LN(2)/2)*CM108+(1-EXP(-LN(2)/2))/(LN(2)/2)*CG109*CJ109*VLOOKUP('Données projet'!$B$12,Paramètres!$A$1:$I$89,3,0)*0.475*44/12</f>
        <v>1.6093061691464514</v>
      </c>
      <c r="CN109" s="22">
        <f t="shared" si="66"/>
        <v>60.690978842626521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1.2692307692307694</v>
      </c>
      <c r="CT109" s="12">
        <f>IF('Données projet'!$A$140&gt;35,CT108+CS109-DB108,IF(A109&lt;'Données projet'!$A$140,$CQ$205^A109,IF(A109='Données projet'!$A$140,'Données projet'!$B$140,CT108+CS109-DB108)))</f>
        <v>108.38461538461536</v>
      </c>
      <c r="CU109" s="17">
        <f>CT109*VLOOKUP('Données projet'!$B$13,Paramètres!$A$1:$I$89,3,0)*VLOOKUP('Données projet'!$B$13,Paramètres!$A$1:$I$89,5,0)</f>
        <v>124.85907692307688</v>
      </c>
      <c r="CV109" s="13">
        <f t="shared" si="95"/>
        <v>32.805667801414081</v>
      </c>
      <c r="CW109" s="20">
        <f t="shared" si="67"/>
        <v>274.59943039515508</v>
      </c>
      <c r="CX109" s="59">
        <f t="shared" si="68"/>
        <v>567.93276372848845</v>
      </c>
      <c r="CY109" s="59">
        <f ca="1">AVERAGE(OFFSET($CX$3,0,0,'Données projet'!$E$13+1,1))-AVERAGE(OFFSET($H$3,0,0,'Données projet'!$E$13+1,1))</f>
        <v>150.78964413039063</v>
      </c>
      <c r="CZ109" s="59">
        <f t="shared" si="96"/>
        <v>131.90332435966184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6.6990873449886879</v>
      </c>
      <c r="DG109" s="21">
        <f>EXP(-LN(2)/25)*DG108+(1-EXP(-LN(2)/25))/(LN(2)/25)*Calculateur!DB109*Calculateur!DD109*VLOOKUP('Données projet'!$B$13,Paramètres!$A$1:$I$89,3,0)*0.475*44/12</f>
        <v>3.0012732784833629</v>
      </c>
      <c r="DH109" s="21">
        <f>EXP(-LN(2)/2)*DH108+(1-EXP(-LN(2)/2))/(LN(2)/2)*DB109*DE109*VLOOKUP('Données projet'!$B$13,Paramètres!$A$1:$I$89,3,0)*0.475*44/12</f>
        <v>0.20512608530398324</v>
      </c>
      <c r="DI109" s="22">
        <f t="shared" si="69"/>
        <v>9.9054867087760332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-1.4210854715202004E-14</v>
      </c>
      <c r="DP109" s="17">
        <f>DO109*VLOOKUP('Données projet'!$B$14,Paramètres!$A$1:$I$89,3,0)*VLOOKUP('Données projet'!$B$14,Paramètres!$A$1:$I$89,5,0)</f>
        <v>-1.4853185348329136E-14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110.10595934547638</v>
      </c>
      <c r="DU109" s="59">
        <f t="shared" si="98"/>
        <v>131.10971921141493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31.39710825951364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31.39710825951364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6.8811111111111085</v>
      </c>
      <c r="EJ109" s="12">
        <f>IF('Données projet'!$A$192&gt;35,EJ108+EI109-ER108,IF(A109&lt;'Données projet'!$A$192,$EG$205^A109,IF(A109='Données projet'!$A$192,'Données projet'!$B$192,EJ108+EI109-ER108)))</f>
        <v>245.73222222222205</v>
      </c>
      <c r="EK109" s="17">
        <f>EJ109*VLOOKUP('Données projet'!$B$15,Paramètres!$A$1:$I$89,3,0)*VLOOKUP('Données projet'!$B$15,Paramètres!$A$1:$I$89,5,0)</f>
        <v>249.17247333333319</v>
      </c>
      <c r="EL109" s="13">
        <f t="shared" si="99"/>
        <v>60.408704291647716</v>
      </c>
      <c r="EM109" s="20">
        <f t="shared" si="73"/>
        <v>539.18721769684169</v>
      </c>
      <c r="EN109" s="59">
        <f t="shared" si="74"/>
        <v>832.52055103017506</v>
      </c>
      <c r="EO109" s="59">
        <f ca="1">AVERAGE(OFFSET($EN$3,0,0,'Données projet'!$E$15+1,1))-AVERAGE(OFFSET($H$3,0,0,'Données projet'!$E$15+1,1))</f>
        <v>420.38735944595965</v>
      </c>
      <c r="EP109" s="59">
        <f t="shared" si="100"/>
        <v>200.0823542414671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16.376255127651255</v>
      </c>
      <c r="EW109" s="21">
        <f>EXP(-LN(2)/25)*EW108+(1-EXP(-LN(2)/25))/(LN(2)/25)*Calculateur!ER109*Calculateur!ET109*VLOOKUP('Données projet'!$B$15,Paramètres!$A$1:$I$89,3,0)*0.475*44/12</f>
        <v>28.103040047836476</v>
      </c>
      <c r="EX109" s="21">
        <f>EXP(-LN(2)/2)*EX108+(1-EXP(-LN(2)/2))/(LN(2)/2)*ER109*EU109*VLOOKUP('Données projet'!$B$15,Paramètres!$A$1:$I$89,3,0)*0.475*44/12</f>
        <v>1.9777971036358777</v>
      </c>
      <c r="EY109" s="22">
        <f t="shared" si="75"/>
        <v>46.457092279123614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8.7540000000000013</v>
      </c>
      <c r="FE109" s="12">
        <f>IF('Données projet'!$A$218&gt;35,FE108+FD109-FM108,IF(A109&lt;'Données projet'!$A$218,$FB$205^A109,IF(A109='Données projet'!$A$218,'Données projet'!$B$218,FE108+FD109-FM108)))</f>
        <v>329.90200000000016</v>
      </c>
      <c r="FF109" s="17">
        <f>FE109*VLOOKUP('Données projet'!$B$16,Paramètres!$A$1:$I$89,3,0)*VLOOKUP('Données projet'!$B$16,Paramètres!$A$1:$I$89,5,0)</f>
        <v>355.10651280000019</v>
      </c>
      <c r="FG109" s="13">
        <f t="shared" si="101"/>
        <v>82.613107210689279</v>
      </c>
      <c r="FH109" s="20">
        <f t="shared" si="76"/>
        <v>762.36167151861753</v>
      </c>
      <c r="FI109" s="59">
        <f t="shared" si="77"/>
        <v>1055.6950048519509</v>
      </c>
      <c r="FJ109" s="59">
        <f ca="1">AVERAGE(OFFSET($FI$3,0,0,'Données projet'!$E$16+1,1))-AVERAGE(OFFSET($H$3,0,0,'Données projet'!$E$16+1,1))</f>
        <v>415.8741608506952</v>
      </c>
      <c r="FK109" s="59">
        <f t="shared" si="102"/>
        <v>259.15848913719356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48.771267156533625</v>
      </c>
      <c r="FR109" s="21">
        <f>EXP(-LN(2)/25)*FR108+(1-EXP(-LN(2)/25))/(LN(2)/25)*Calculateur!FM109*Calculateur!FO109*VLOOKUP('Données projet'!$B$16,Paramètres!$A$1:$I$89,3,0)*0.475*44/12</f>
        <v>26.92428858067688</v>
      </c>
      <c r="FS109" s="21">
        <f>EXP(-LN(2)/2)*FS108+(1-EXP(-LN(2)/2))/(LN(2)/2)*FM109*FP109*VLOOKUP('Données projet'!$B$16,Paramètres!$A$1:$I$89,3,0)*0.475*44/12</f>
        <v>1.854190863137984E-3</v>
      </c>
      <c r="FT109" s="22">
        <f t="shared" si="78"/>
        <v>75.69740992807364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8.7540000000000013</v>
      </c>
      <c r="FZ109" s="12">
        <f>IF('Données projet'!$A$244&gt;35,FZ108+FY109-GH108,IF(A109&lt;'Données projet'!$A$244,$FW$205^A109,IF(A109='Données projet'!$A$244,'Données projet'!$B$244,FZ108+FY109-GH108)))</f>
        <v>329.90200000000016</v>
      </c>
      <c r="GA109" s="17">
        <f>FZ109*VLOOKUP('Données projet'!$B$17,Paramètres!$A$1:$I$89,3,0)*VLOOKUP('Données projet'!$B$17,Paramètres!$A$1:$I$89,5,0)</f>
        <v>283.0559160000002</v>
      </c>
      <c r="GB109" s="13">
        <f t="shared" si="103"/>
        <v>67.612403225485366</v>
      </c>
      <c r="GC109" s="20">
        <f t="shared" si="79"/>
        <v>610.74732265105411</v>
      </c>
      <c r="GD109" s="59">
        <f t="shared" si="80"/>
        <v>904.08065598438748</v>
      </c>
      <c r="GE109" s="59">
        <f ca="1">AVERAGE(OFFSET($GD$3,0,0,'Données projet'!$E$17+1,1))-AVERAGE(OFFSET($H$3,0,0,'Données projet'!$E$17+1,1))</f>
        <v>322.39807389980882</v>
      </c>
      <c r="GF109" s="59">
        <f t="shared" si="104"/>
        <v>202.59410055732792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47.91649604357788</v>
      </c>
      <c r="GM109" s="21">
        <f>EXP(-LN(2)/25)*GM108+(1-EXP(-LN(2)/25))/(LN(2)/25)*Calculateur!GH109*Calculateur!GJ109*VLOOKUP('Données projet'!$B$17,Paramètres!$A$1:$I$89,3,0)*0.475*44/12</f>
        <v>26.452410250311129</v>
      </c>
      <c r="GN109" s="21">
        <f>EXP(-LN(2)/2)*GN108+(1-EXP(-LN(2)/2))/(LN(2)/2)*GH109*GK109*VLOOKUP('Données projet'!$B$17,Paramètres!$A$1:$I$89,3,0)*0.475*44/12</f>
        <v>1.4779782242404192E-3</v>
      </c>
      <c r="GO109" s="21">
        <f t="shared" si="81"/>
        <v>74.370384272113256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39.226199999999892</v>
      </c>
      <c r="D110" s="11">
        <f t="shared" si="86"/>
        <v>11.793318538874647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393.83487994920694</v>
      </c>
      <c r="H110" s="67">
        <f t="shared" si="56"/>
        <v>382.19232812187312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6.5620000000000003</v>
      </c>
      <c r="N110" s="13">
        <f>IF('Données projet'!$A$36&gt;35,N109+M110-V109,IF(A110&lt;'Données projet'!$A$36,$K$205^A110,IF(A110='Données projet'!$A$36,'Données projet'!$B$36,N109+M110-V109)))</f>
        <v>276.98600000000033</v>
      </c>
      <c r="O110" s="13">
        <f>N110*VLOOKUP('Données projet'!$B$9,Paramètres!$A$1:$I$89,3,0)*VLOOKUP('Données projet'!$B$9,Paramètres!$A$1:$I$89,5,0)</f>
        <v>129.62944800000017</v>
      </c>
      <c r="P110" s="13">
        <f t="shared" si="87"/>
        <v>33.910721425340135</v>
      </c>
      <c r="Q110" s="20">
        <f t="shared" si="107"/>
        <v>284.83246174913438</v>
      </c>
      <c r="R110" s="59">
        <f t="shared" si="55"/>
        <v>578.16579508246764</v>
      </c>
      <c r="S110" s="59">
        <f ca="1">AVERAGE(OFFSET($R$3,0,0,'Données projet'!$E$9+1,1))-AVERAGE(OFFSET($H$3,0,0,'Données projet'!$E$9+1,1))</f>
        <v>215.77907571824977</v>
      </c>
      <c r="T110" s="59">
        <f t="shared" si="88"/>
        <v>174.69390149594869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74.684807483626443</v>
      </c>
      <c r="AA110" s="21">
        <f>EXP(-LN(2)/25)*AA109+(1-EXP(-LN(2)/25))/(LN(2)/25)*Calculateur!V110*Calculateur!X110*VLOOKUP('Données projet'!$B$9,Paramètres!$A$1:$I$89,3,0)*0.475*44/12</f>
        <v>23.412282101041924</v>
      </c>
      <c r="AB110" s="21">
        <f>EXP(-LN(2)/2)*AB109+(1-EXP(-LN(2)/2))/(LN(2)/2)*V110*Y110*VLOOKUP('Données projet'!$B$9,Paramètres!$A$1:$I$89,3,0)*0.475*44/12</f>
        <v>1.4858561420777099</v>
      </c>
      <c r="AC110" s="22">
        <f t="shared" si="57"/>
        <v>99.582945726746075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-1.0197709343628959E-13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171.701352621833</v>
      </c>
      <c r="AO110" s="59">
        <f t="shared" si="90"/>
        <v>195.58435749168586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41.928463438351429</v>
      </c>
      <c r="AV110" s="21">
        <f>EXP(-LN(2)/25)*AV109+(1-EXP(-LN(2)/25))/(LN(2)/25)*Calculateur!AQ110*Calculateur!AS110*VLOOKUP('Données projet'!$B$10,Paramètres!$A$1:$I$89,3,0)*0.475*44/12</f>
        <v>10.734453511013349</v>
      </c>
      <c r="AW110" s="21">
        <f>EXP(-LN(2)/2)*AW109+(1-EXP(-LN(2)/2))/(LN(2)/2)*AQ110*AT110*VLOOKUP('Données projet'!$B$10,Paramètres!$A$1:$I$89,3,0)*0.475*44/12</f>
        <v>7.5390472389602175E-6</v>
      </c>
      <c r="AX110" s="21">
        <f t="shared" si="60"/>
        <v>52.662924488412017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-1.1823431123048067E-13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348.29124901999882</v>
      </c>
      <c r="BJ110" s="59">
        <f t="shared" si="92"/>
        <v>284.30034973939053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127.31840404481281</v>
      </c>
      <c r="BQ110" s="21">
        <f>EXP(-LN(2)/25)*BQ109+(1-EXP(-LN(2)/25))/(LN(2)/25)*Calculateur!BL110*Calculateur!BN110*VLOOKUP('Données projet'!$B$11,Paramètres!$A$1:$I$89,3,0)*0.475*44/12</f>
        <v>36.793659705295319</v>
      </c>
      <c r="BR110" s="21">
        <f>EXP(-LN(2)/2)*BR109+(1-EXP(-LN(2)/2))/(LN(2)/2)*BL110*BO110*VLOOKUP('Données projet'!$B$11,Paramètres!$A$1:$I$89,3,0)*0.475*44/12</f>
        <v>7.2822856844636458E-3</v>
      </c>
      <c r="BS110" s="22">
        <f t="shared" si="63"/>
        <v>164.11934603579257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5.2019999999999982</v>
      </c>
      <c r="BY110" s="12">
        <f>IF('Données projet'!$A$114&gt;35,BY109+BX110-CG109,IF(A110&lt;'Données projet'!$A$114,$BV$205^A110,IF(A110='Données projet'!$A$114,'Données projet'!$B$114,BY109+BX110-CG109)))</f>
        <v>231.49399999999977</v>
      </c>
      <c r="BZ110" s="13">
        <f>BY110*VLOOKUP('Données projet'!$B$12,Paramètres!$A$1:$I$89,3,0)*VLOOKUP('Données projet'!$B$12,Paramètres!$A$1:$I$89,5,0)</f>
        <v>138.43341199999986</v>
      </c>
      <c r="CA110" s="13">
        <f t="shared" si="93"/>
        <v>35.937887480060347</v>
      </c>
      <c r="CB110" s="20">
        <f t="shared" si="64"/>
        <v>303.69667992777153</v>
      </c>
      <c r="CC110" s="59">
        <f t="shared" si="65"/>
        <v>597.03001326110484</v>
      </c>
      <c r="CD110" s="59">
        <f ca="1">AVERAGE(OFFSET($CC$3,0,0,'Données projet'!$E$12+1,1))-AVERAGE(OFFSET($H$3,0,0,'Données projet'!$E$12+1,1))</f>
        <v>185.82627135915504</v>
      </c>
      <c r="CE110" s="59">
        <f t="shared" si="94"/>
        <v>155.46126452522037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44.073824046176185</v>
      </c>
      <c r="CL110" s="21">
        <f>EXP(-LN(2)/25)*CL109+(1-EXP(-LN(2)/25))/(LN(2)/25)*Calculateur!CG110*Calculateur!CI110*VLOOKUP('Données projet'!$B$12,Paramètres!$A$1:$I$89,3,0)*0.475*44/12</f>
        <v>13.740016763493319</v>
      </c>
      <c r="CM110" s="21">
        <f>EXP(-LN(2)/2)*CM109+(1-EXP(-LN(2)/2))/(LN(2)/2)*CG110*CJ110*VLOOKUP('Données projet'!$B$12,Paramètres!$A$1:$I$89,3,0)*0.475*44/12</f>
        <v>1.1379513052088008</v>
      </c>
      <c r="CN110" s="22">
        <f t="shared" si="66"/>
        <v>58.951792114878302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1.2692307692307694</v>
      </c>
      <c r="CT110" s="12">
        <f>IF('Données projet'!$A$140&gt;35,CT109+CS110-DB109,IF(A110&lt;'Données projet'!$A$140,$CQ$205^A110,IF(A110='Données projet'!$A$140,'Données projet'!$B$140,CT109+CS110-DB109)))</f>
        <v>109.65384615384613</v>
      </c>
      <c r="CU110" s="17">
        <f>CT110*VLOOKUP('Données projet'!$B$13,Paramètres!$A$1:$I$89,3,0)*VLOOKUP('Données projet'!$B$13,Paramètres!$A$1:$I$89,5,0)</f>
        <v>126.32123076923074</v>
      </c>
      <c r="CV110" s="13">
        <f t="shared" si="95"/>
        <v>33.14488880199756</v>
      </c>
      <c r="CW110" s="20">
        <f t="shared" si="67"/>
        <v>277.73682491988922</v>
      </c>
      <c r="CX110" s="59">
        <f t="shared" si="68"/>
        <v>571.07015825322253</v>
      </c>
      <c r="CY110" s="59">
        <f ca="1">AVERAGE(OFFSET($CX$3,0,0,'Données projet'!$E$13+1,1))-AVERAGE(OFFSET($H$3,0,0,'Données projet'!$E$13+1,1))</f>
        <v>150.78964413039063</v>
      </c>
      <c r="CZ110" s="59">
        <f t="shared" si="96"/>
        <v>131.90332435966184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6.5677223281932768</v>
      </c>
      <c r="DG110" s="21">
        <f>EXP(-LN(2)/25)*DG109+(1-EXP(-LN(2)/25))/(LN(2)/25)*Calculateur!DB110*Calculateur!DD110*VLOOKUP('Données projet'!$B$13,Paramètres!$A$1:$I$89,3,0)*0.475*44/12</f>
        <v>2.9192033028531332</v>
      </c>
      <c r="DH110" s="21">
        <f>EXP(-LN(2)/2)*DH109+(1-EXP(-LN(2)/2))/(LN(2)/2)*DB110*DE110*VLOOKUP('Données projet'!$B$13,Paramètres!$A$1:$I$89,3,0)*0.475*44/12</f>
        <v>0.14504604591669676</v>
      </c>
      <c r="DI110" s="22">
        <f t="shared" si="69"/>
        <v>9.6319716769631079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-1.4210854715202004E-14</v>
      </c>
      <c r="DP110" s="17">
        <f>DO110*VLOOKUP('Données projet'!$B$14,Paramètres!$A$1:$I$89,3,0)*VLOOKUP('Données projet'!$B$14,Paramètres!$A$1:$I$89,5,0)</f>
        <v>-1.4853185348329136E-14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110.10595934547638</v>
      </c>
      <c r="DU110" s="59">
        <f t="shared" si="98"/>
        <v>131.10971921141493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30.538552683055077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30.538552683055077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6.8811111111111085</v>
      </c>
      <c r="EJ110" s="12">
        <f>IF('Données projet'!$A$192&gt;35,EJ109+EI110-ER109,IF(A110&lt;'Données projet'!$A$192,$EG$205^A110,IF(A110='Données projet'!$A$192,'Données projet'!$B$192,EJ109+EI110-ER109)))</f>
        <v>252.61333333333314</v>
      </c>
      <c r="EK110" s="17">
        <f>EJ110*VLOOKUP('Données projet'!$B$15,Paramètres!$A$1:$I$89,3,0)*VLOOKUP('Données projet'!$B$15,Paramètres!$A$1:$I$89,5,0)</f>
        <v>256.14991999999984</v>
      </c>
      <c r="EL110" s="13">
        <f t="shared" si="99"/>
        <v>61.900985272770555</v>
      </c>
      <c r="EM110" s="20">
        <f t="shared" si="73"/>
        <v>553.93866001674166</v>
      </c>
      <c r="EN110" s="59">
        <f t="shared" si="74"/>
        <v>847.27199335007504</v>
      </c>
      <c r="EO110" s="59">
        <f ca="1">AVERAGE(OFFSET($EN$3,0,0,'Données projet'!$E$15+1,1))-AVERAGE(OFFSET($H$3,0,0,'Données projet'!$E$15+1,1))</f>
        <v>420.38735944595965</v>
      </c>
      <c r="EP110" s="59">
        <f t="shared" si="100"/>
        <v>200.0823542414671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16.055126753127357</v>
      </c>
      <c r="EW110" s="21">
        <f>EXP(-LN(2)/25)*EW109+(1-EXP(-LN(2)/25))/(LN(2)/25)*Calculateur!ER110*Calculateur!ET110*VLOOKUP('Données projet'!$B$15,Paramètres!$A$1:$I$89,3,0)*0.475*44/12</f>
        <v>27.334560939853741</v>
      </c>
      <c r="EX110" s="21">
        <f>EXP(-LN(2)/2)*EX109+(1-EXP(-LN(2)/2))/(LN(2)/2)*ER110*EU110*VLOOKUP('Données projet'!$B$15,Paramètres!$A$1:$I$89,3,0)*0.475*44/12</f>
        <v>1.3985137437920421</v>
      </c>
      <c r="EY110" s="22">
        <f t="shared" si="75"/>
        <v>44.788201436773143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8.7540000000000013</v>
      </c>
      <c r="FE110" s="12">
        <f>IF('Données projet'!$A$218&gt;35,FE109+FD110-FM109,IF(A110&lt;'Données projet'!$A$218,$FB$205^A110,IF(A110='Données projet'!$A$218,'Données projet'!$B$218,FE109+FD110-FM109)))</f>
        <v>338.65600000000018</v>
      </c>
      <c r="FF110" s="17">
        <f>FE110*VLOOKUP('Données projet'!$B$16,Paramètres!$A$1:$I$89,3,0)*VLOOKUP('Données projet'!$B$16,Paramètres!$A$1:$I$89,5,0)</f>
        <v>364.52931840000019</v>
      </c>
      <c r="FG110" s="13">
        <f t="shared" si="101"/>
        <v>84.54712996865311</v>
      </c>
      <c r="FH110" s="20">
        <f t="shared" si="76"/>
        <v>782.14148090873778</v>
      </c>
      <c r="FI110" s="59">
        <f t="shared" si="77"/>
        <v>1075.474814242071</v>
      </c>
      <c r="FJ110" s="59">
        <f ca="1">AVERAGE(OFFSET($FI$3,0,0,'Données projet'!$E$16+1,1))-AVERAGE(OFFSET($H$3,0,0,'Données projet'!$E$16+1,1))</f>
        <v>415.8741608506952</v>
      </c>
      <c r="FK110" s="59">
        <f t="shared" si="102"/>
        <v>259.15848913719356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47.814892355129643</v>
      </c>
      <c r="FR110" s="21">
        <f>EXP(-LN(2)/25)*FR109+(1-EXP(-LN(2)/25))/(LN(2)/25)*Calculateur!FM110*Calculateur!FO110*VLOOKUP('Données projet'!$B$16,Paramètres!$A$1:$I$89,3,0)*0.475*44/12</f>
        <v>26.188042493551471</v>
      </c>
      <c r="FS110" s="21">
        <f>EXP(-LN(2)/2)*FS109+(1-EXP(-LN(2)/2))/(LN(2)/2)*FM110*FP110*VLOOKUP('Données projet'!$B$16,Paramètres!$A$1:$I$89,3,0)*0.475*44/12</f>
        <v>1.3111109329390063E-3</v>
      </c>
      <c r="FT110" s="22">
        <f t="shared" si="78"/>
        <v>74.004245959614067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8.7540000000000013</v>
      </c>
      <c r="FZ110" s="12">
        <f>IF('Données projet'!$A$244&gt;35,FZ109+FY110-GH109,IF(A110&lt;'Données projet'!$A$244,$FW$205^A110,IF(A110='Données projet'!$A$244,'Données projet'!$B$244,FZ109+FY110-GH109)))</f>
        <v>338.65600000000018</v>
      </c>
      <c r="GA110" s="17">
        <f>FZ110*VLOOKUP('Données projet'!$B$17,Paramètres!$A$1:$I$89,3,0)*VLOOKUP('Données projet'!$B$17,Paramètres!$A$1:$I$89,5,0)</f>
        <v>290.56684800000016</v>
      </c>
      <c r="GB110" s="13">
        <f t="shared" si="103"/>
        <v>69.195250439126994</v>
      </c>
      <c r="GC110" s="20">
        <f t="shared" si="79"/>
        <v>626.58565478147978</v>
      </c>
      <c r="GD110" s="59">
        <f t="shared" si="80"/>
        <v>919.91898811481315</v>
      </c>
      <c r="GE110" s="59">
        <f ca="1">AVERAGE(OFFSET($GD$3,0,0,'Données projet'!$E$17+1,1))-AVERAGE(OFFSET($H$3,0,0,'Données projet'!$E$17+1,1))</f>
        <v>322.39807389980882</v>
      </c>
      <c r="GF110" s="59">
        <f t="shared" si="104"/>
        <v>202.59410055732792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46.976882782340056</v>
      </c>
      <c r="GM110" s="21">
        <f>EXP(-LN(2)/25)*GM109+(1-EXP(-LN(2)/25))/(LN(2)/25)*Calculateur!GH110*Calculateur!GJ110*VLOOKUP('Données projet'!$B$17,Paramètres!$A$1:$I$89,3,0)*0.475*44/12</f>
        <v>25.729067700944572</v>
      </c>
      <c r="GN110" s="21">
        <f>EXP(-LN(2)/2)*GN109+(1-EXP(-LN(2)/2))/(LN(2)/2)*GH110*GK110*VLOOKUP('Données projet'!$B$17,Paramètres!$A$1:$I$89,3,0)*0.475*44/12</f>
        <v>1.0450884248064522E-3</v>
      </c>
      <c r="GO110" s="21">
        <f t="shared" si="81"/>
        <v>72.706995571709427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39.59279999999989</v>
      </c>
      <c r="D111" s="11">
        <f t="shared" si="86"/>
        <v>11.890654313289071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397.4161385587218</v>
      </c>
      <c r="H111" s="67">
        <f t="shared" si="56"/>
        <v>383.00034959564493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6.5620000000000003</v>
      </c>
      <c r="N111" s="13">
        <f>IF('Données projet'!$A$36&gt;35,N110+M111-V110,IF(A111&lt;'Données projet'!$A$36,$K$205^A111,IF(A111='Données projet'!$A$36,'Données projet'!$B$36,N110+M111-V110)))</f>
        <v>283.54800000000034</v>
      </c>
      <c r="O111" s="13">
        <f>N111*VLOOKUP('Données projet'!$B$9,Paramètres!$A$1:$I$89,3,0)*VLOOKUP('Données projet'!$B$9,Paramètres!$A$1:$I$89,5,0)</f>
        <v>132.70046400000015</v>
      </c>
      <c r="P111" s="13">
        <f t="shared" si="87"/>
        <v>34.619608644457088</v>
      </c>
      <c r="Q111" s="20">
        <f t="shared" si="107"/>
        <v>291.41579318909641</v>
      </c>
      <c r="R111" s="59">
        <f t="shared" si="55"/>
        <v>584.74912652242972</v>
      </c>
      <c r="S111" s="59">
        <f ca="1">AVERAGE(OFFSET($R$3,0,0,'Données projet'!$E$9+1,1))-AVERAGE(OFFSET($H$3,0,0,'Données projet'!$E$9+1,1))</f>
        <v>215.77907571824977</v>
      </c>
      <c r="T111" s="59">
        <f t="shared" si="88"/>
        <v>174.69390149594869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73.220283962107089</v>
      </c>
      <c r="AA111" s="21">
        <f>EXP(-LN(2)/25)*AA110+(1-EXP(-LN(2)/25))/(LN(2)/25)*Calculateur!V111*Calculateur!X111*VLOOKUP('Données projet'!$B$9,Paramètres!$A$1:$I$89,3,0)*0.475*44/12</f>
        <v>22.772072015790528</v>
      </c>
      <c r="AB111" s="21">
        <f>EXP(-LN(2)/2)*AB110+(1-EXP(-LN(2)/2))/(LN(2)/2)*V111*Y111*VLOOKUP('Données projet'!$B$9,Paramètres!$A$1:$I$89,3,0)*0.475*44/12</f>
        <v>1.0506589539308309</v>
      </c>
      <c r="AC111" s="22">
        <f t="shared" si="57"/>
        <v>97.043014931828452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-1.0197709343628959E-13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171.701352621833</v>
      </c>
      <c r="AO111" s="59">
        <f t="shared" si="90"/>
        <v>195.58435749168586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41.106271844162848</v>
      </c>
      <c r="AV111" s="21">
        <f>EXP(-LN(2)/25)*AV110+(1-EXP(-LN(2)/25))/(LN(2)/25)*Calculateur!AQ111*Calculateur!AS111*VLOOKUP('Données projet'!$B$10,Paramètres!$A$1:$I$89,3,0)*0.475*44/12</f>
        <v>10.440919315254312</v>
      </c>
      <c r="AW111" s="21">
        <f>EXP(-LN(2)/2)*AW110+(1-EXP(-LN(2)/2))/(LN(2)/2)*AQ111*AT111*VLOOKUP('Données projet'!$B$10,Paramètres!$A$1:$I$89,3,0)*0.475*44/12</f>
        <v>5.3309114263544882E-6</v>
      </c>
      <c r="AX111" s="21">
        <f t="shared" si="60"/>
        <v>51.547196490328588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-1.1823431123048067E-13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348.29124901999882</v>
      </c>
      <c r="BJ111" s="59">
        <f t="shared" si="92"/>
        <v>284.30034973939053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124.82176779805255</v>
      </c>
      <c r="BQ111" s="21">
        <f>EXP(-LN(2)/25)*BQ110+(1-EXP(-LN(2)/25))/(LN(2)/25)*Calculateur!BL111*Calculateur!BN111*VLOOKUP('Données projet'!$B$11,Paramètres!$A$1:$I$89,3,0)*0.475*44/12</f>
        <v>35.787535145759549</v>
      </c>
      <c r="BR111" s="21">
        <f>EXP(-LN(2)/2)*BR110+(1-EXP(-LN(2)/2))/(LN(2)/2)*BL111*BO111*VLOOKUP('Données projet'!$B$11,Paramètres!$A$1:$I$89,3,0)*0.475*44/12</f>
        <v>5.1493535900219633E-3</v>
      </c>
      <c r="BS111" s="22">
        <f t="shared" si="63"/>
        <v>160.61445229740212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5.2019999999999982</v>
      </c>
      <c r="BY111" s="12">
        <f>IF('Données projet'!$A$114&gt;35,BY110+BX111-CG110,IF(A111&lt;'Données projet'!$A$114,$BV$205^A111,IF(A111='Données projet'!$A$114,'Données projet'!$B$114,BY110+BX111-CG110)))</f>
        <v>236.69599999999977</v>
      </c>
      <c r="BZ111" s="13">
        <f>BY111*VLOOKUP('Données projet'!$B$12,Paramètres!$A$1:$I$89,3,0)*VLOOKUP('Données projet'!$B$12,Paramètres!$A$1:$I$89,5,0)</f>
        <v>141.54420799999988</v>
      </c>
      <c r="CA111" s="13">
        <f t="shared" si="93"/>
        <v>36.650535696402045</v>
      </c>
      <c r="CB111" s="20">
        <f t="shared" si="64"/>
        <v>310.35584527123336</v>
      </c>
      <c r="CC111" s="59">
        <f t="shared" si="65"/>
        <v>603.68917860456668</v>
      </c>
      <c r="CD111" s="59">
        <f ca="1">AVERAGE(OFFSET($CC$3,0,0,'Données projet'!$E$12+1,1))-AVERAGE(OFFSET($H$3,0,0,'Données projet'!$E$12+1,1))</f>
        <v>185.82627135915504</v>
      </c>
      <c r="CE111" s="59">
        <f t="shared" si="94"/>
        <v>155.46126452522037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43.209563239008922</v>
      </c>
      <c r="CL111" s="21">
        <f>EXP(-LN(2)/25)*CL110+(1-EXP(-LN(2)/25))/(LN(2)/25)*Calculateur!CG111*Calculateur!CI111*VLOOKUP('Données projet'!$B$12,Paramètres!$A$1:$I$89,3,0)*0.475*44/12</f>
        <v>13.364295282539516</v>
      </c>
      <c r="CM111" s="21">
        <f>EXP(-LN(2)/2)*CM110+(1-EXP(-LN(2)/2))/(LN(2)/2)*CG111*CJ111*VLOOKUP('Données projet'!$B$12,Paramètres!$A$1:$I$89,3,0)*0.475*44/12</f>
        <v>0.80465308457322571</v>
      </c>
      <c r="CN111" s="22">
        <f t="shared" si="66"/>
        <v>57.378511606121663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1.2692307692307694</v>
      </c>
      <c r="CT111" s="12">
        <f>IF('Données projet'!$A$140&gt;35,CT110+CS111-DB110,IF(A111&lt;'Données projet'!$A$140,$CQ$205^A111,IF(A111='Données projet'!$A$140,'Données projet'!$B$140,CT110+CS111-DB110)))</f>
        <v>110.92307692307691</v>
      </c>
      <c r="CU111" s="17">
        <f>CT111*VLOOKUP('Données projet'!$B$13,Paramètres!$A$1:$I$89,3,0)*VLOOKUP('Données projet'!$B$13,Paramètres!$A$1:$I$89,5,0)</f>
        <v>127.78338461538459</v>
      </c>
      <c r="CV111" s="13">
        <f t="shared" si="95"/>
        <v>33.483653061415268</v>
      </c>
      <c r="CW111" s="20">
        <f t="shared" si="67"/>
        <v>280.87342395375975</v>
      </c>
      <c r="CX111" s="59">
        <f t="shared" si="68"/>
        <v>574.20675728709307</v>
      </c>
      <c r="CY111" s="59">
        <f ca="1">AVERAGE(OFFSET($CX$3,0,0,'Données projet'!$E$13+1,1))-AVERAGE(OFFSET($H$3,0,0,'Données projet'!$E$13+1,1))</f>
        <v>150.78964413039063</v>
      </c>
      <c r="CZ111" s="59">
        <f t="shared" si="96"/>
        <v>131.90332435966184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6.4389332992524757</v>
      </c>
      <c r="DG111" s="21">
        <f>EXP(-LN(2)/25)*DG110+(1-EXP(-LN(2)/25))/(LN(2)/25)*Calculateur!DB111*Calculateur!DD111*VLOOKUP('Données projet'!$B$13,Paramètres!$A$1:$I$89,3,0)*0.475*44/12</f>
        <v>2.8393775350223844</v>
      </c>
      <c r="DH111" s="21">
        <f>EXP(-LN(2)/2)*DH110+(1-EXP(-LN(2)/2))/(LN(2)/2)*DB111*DE111*VLOOKUP('Données projet'!$B$13,Paramètres!$A$1:$I$89,3,0)*0.475*44/12</f>
        <v>0.10256304265199162</v>
      </c>
      <c r="DI111" s="22">
        <f t="shared" si="69"/>
        <v>9.3808738769268523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-1.4210854715202004E-14</v>
      </c>
      <c r="DP111" s="17">
        <f>DO111*VLOOKUP('Données projet'!$B$14,Paramètres!$A$1:$I$89,3,0)*VLOOKUP('Données projet'!$B$14,Paramètres!$A$1:$I$89,5,0)</f>
        <v>-1.4853185348329136E-14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110.10595934547638</v>
      </c>
      <c r="DU111" s="59">
        <f t="shared" si="98"/>
        <v>131.10971921141493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29.703474353984248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29.703474353984248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6.8811111111111085</v>
      </c>
      <c r="EJ111" s="12">
        <f>IF('Données projet'!$A$192&gt;35,EJ110+EI111-ER110,IF(A111&lt;'Données projet'!$A$192,$EG$205^A111,IF(A111='Données projet'!$A$192,'Données projet'!$B$192,EJ110+EI111-ER110)))</f>
        <v>259.49444444444424</v>
      </c>
      <c r="EK111" s="17">
        <f>EJ111*VLOOKUP('Données projet'!$B$15,Paramètres!$A$1:$I$89,3,0)*VLOOKUP('Données projet'!$B$15,Paramètres!$A$1:$I$89,5,0)</f>
        <v>263.12736666666649</v>
      </c>
      <c r="EL111" s="13">
        <f t="shared" si="99"/>
        <v>63.388541553044227</v>
      </c>
      <c r="EM111" s="20">
        <f t="shared" si="73"/>
        <v>568.68187348266281</v>
      </c>
      <c r="EN111" s="59">
        <f t="shared" si="74"/>
        <v>862.01520681599618</v>
      </c>
      <c r="EO111" s="59">
        <f ca="1">AVERAGE(OFFSET($EN$3,0,0,'Données projet'!$E$15+1,1))-AVERAGE(OFFSET($H$3,0,0,'Données projet'!$E$15+1,1))</f>
        <v>420.38735944595965</v>
      </c>
      <c r="EP111" s="59">
        <f t="shared" si="100"/>
        <v>200.0823542414671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15.740295510158905</v>
      </c>
      <c r="EW111" s="21">
        <f>EXP(-LN(2)/25)*EW110+(1-EXP(-LN(2)/25))/(LN(2)/25)*Calculateur!ER111*Calculateur!ET111*VLOOKUP('Données projet'!$B$15,Paramètres!$A$1:$I$89,3,0)*0.475*44/12</f>
        <v>26.587095933491355</v>
      </c>
      <c r="EX111" s="21">
        <f>EXP(-LN(2)/2)*EX110+(1-EXP(-LN(2)/2))/(LN(2)/2)*ER111*EU111*VLOOKUP('Données projet'!$B$15,Paramètres!$A$1:$I$89,3,0)*0.475*44/12</f>
        <v>0.98889855181793895</v>
      </c>
      <c r="EY111" s="22">
        <f t="shared" si="75"/>
        <v>43.316289995468196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8.7540000000000013</v>
      </c>
      <c r="FE111" s="12">
        <f>IF('Données projet'!$A$218&gt;35,FE110+FD111-FM110,IF(A111&lt;'Données projet'!$A$218,$FB$205^A111,IF(A111='Données projet'!$A$218,'Données projet'!$B$218,FE110+FD111-FM110)))</f>
        <v>347.4100000000002</v>
      </c>
      <c r="FF111" s="17">
        <f>FE111*VLOOKUP('Données projet'!$B$16,Paramètres!$A$1:$I$89,3,0)*VLOOKUP('Données projet'!$B$16,Paramètres!$A$1:$I$89,5,0)</f>
        <v>373.9521240000002</v>
      </c>
      <c r="FG111" s="13">
        <f t="shared" si="101"/>
        <v>86.475341601284939</v>
      </c>
      <c r="FH111" s="20">
        <f t="shared" si="76"/>
        <v>801.91116925557162</v>
      </c>
      <c r="FI111" s="59">
        <f t="shared" si="77"/>
        <v>1095.2445025889049</v>
      </c>
      <c r="FJ111" s="59">
        <f ca="1">AVERAGE(OFFSET($FI$3,0,0,'Données projet'!$E$16+1,1))-AVERAGE(OFFSET($H$3,0,0,'Données projet'!$E$16+1,1))</f>
        <v>415.8741608506952</v>
      </c>
      <c r="FK111" s="59">
        <f t="shared" si="102"/>
        <v>259.15848913719356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46.877271480250158</v>
      </c>
      <c r="FR111" s="21">
        <f>EXP(-LN(2)/25)*FR110+(1-EXP(-LN(2)/25))/(LN(2)/25)*Calculateur!FM111*Calculateur!FO111*VLOOKUP('Données projet'!$B$16,Paramètres!$A$1:$I$89,3,0)*0.475*44/12</f>
        <v>25.471929094396003</v>
      </c>
      <c r="FS111" s="21">
        <f>EXP(-LN(2)/2)*FS110+(1-EXP(-LN(2)/2))/(LN(2)/2)*FM111*FP111*VLOOKUP('Données projet'!$B$16,Paramètres!$A$1:$I$89,3,0)*0.475*44/12</f>
        <v>9.270954315689922E-4</v>
      </c>
      <c r="FT111" s="22">
        <f t="shared" si="78"/>
        <v>72.350127670077725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8.7540000000000013</v>
      </c>
      <c r="FZ111" s="12">
        <f>IF('Données projet'!$A$244&gt;35,FZ110+FY111-GH110,IF(A111&lt;'Données projet'!$A$244,$FW$205^A111,IF(A111='Données projet'!$A$244,'Données projet'!$B$244,FZ110+FY111-GH110)))</f>
        <v>347.4100000000002</v>
      </c>
      <c r="GA111" s="17">
        <f>FZ111*VLOOKUP('Données projet'!$B$17,Paramètres!$A$1:$I$89,3,0)*VLOOKUP('Données projet'!$B$17,Paramètres!$A$1:$I$89,5,0)</f>
        <v>298.07778000000019</v>
      </c>
      <c r="GB111" s="13">
        <f t="shared" si="103"/>
        <v>70.773341698630077</v>
      </c>
      <c r="GC111" s="20">
        <f t="shared" si="79"/>
        <v>642.41570362511436</v>
      </c>
      <c r="GD111" s="59">
        <f t="shared" si="80"/>
        <v>935.74903695844773</v>
      </c>
      <c r="GE111" s="59">
        <f ca="1">AVERAGE(OFFSET($GD$3,0,0,'Données projet'!$E$17+1,1))-AVERAGE(OFFSET($H$3,0,0,'Données projet'!$E$17+1,1))</f>
        <v>322.39807389980882</v>
      </c>
      <c r="GF111" s="59">
        <f t="shared" si="104"/>
        <v>202.59410055732792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46.055694764047608</v>
      </c>
      <c r="GM111" s="21">
        <f>EXP(-LN(2)/25)*GM110+(1-EXP(-LN(2)/25))/(LN(2)/25)*Calculateur!GH111*Calculateur!GJ111*VLOOKUP('Données projet'!$B$17,Paramètres!$A$1:$I$89,3,0)*0.475*44/12</f>
        <v>25.025504991629376</v>
      </c>
      <c r="GN111" s="21">
        <f>EXP(-LN(2)/2)*GN110+(1-EXP(-LN(2)/2))/(LN(2)/2)*GH111*GK111*VLOOKUP('Données projet'!$B$17,Paramètres!$A$1:$I$89,3,0)*0.475*44/12</f>
        <v>7.3898911212020961E-4</v>
      </c>
      <c r="GO111" s="21">
        <f t="shared" si="81"/>
        <v>71.081938744789099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39.959399999999889</v>
      </c>
      <c r="D112" s="11">
        <f t="shared" si="86"/>
        <v>11.987885236296803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400.99658778895696</v>
      </c>
      <c r="H112" s="67">
        <f t="shared" si="56"/>
        <v>383.8081884532167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290.11</v>
      </c>
      <c r="L112" s="12">
        <f>VLOOKUP(A112,'Données projet'!$A$35:$I$55,9,0)</f>
        <v>6.5620000000000003</v>
      </c>
      <c r="M112" s="12">
        <f t="array" ref="M112">INDEX(L:L,MIN(IF(ISNUMBER(L112:L308),ROW(L112:L308),"")))</f>
        <v>6.5620000000000003</v>
      </c>
      <c r="N112" s="13">
        <f>IF('Données projet'!$A$36&gt;35,N111+M112-V111,IF(A112&lt;'Données projet'!$A$36,$K$205^A112,IF(A112='Données projet'!$A$36,'Données projet'!$B$36,N111+M112-V111)))</f>
        <v>290.11000000000035</v>
      </c>
      <c r="O112" s="13">
        <f>N112*VLOOKUP('Données projet'!$B$9,Paramètres!$A$1:$I$89,3,0)*VLOOKUP('Données projet'!$B$9,Paramètres!$A$1:$I$89,5,0)</f>
        <v>135.77148000000017</v>
      </c>
      <c r="P112" s="13">
        <f t="shared" si="87"/>
        <v>35.326588664960227</v>
      </c>
      <c r="Q112" s="20">
        <f t="shared" si="107"/>
        <v>297.99580292480601</v>
      </c>
      <c r="R112" s="59">
        <f t="shared" si="55"/>
        <v>591.32913625813933</v>
      </c>
      <c r="S112" s="59">
        <f ca="1">AVERAGE(OFFSET($R$3,0,0,'Données projet'!$E$9+1,1))-AVERAGE(OFFSET($H$3,0,0,'Données projet'!$E$9+1,1))</f>
        <v>215.77907571824977</v>
      </c>
      <c r="T112" s="59">
        <f t="shared" si="88"/>
        <v>174.69390149594869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290.11</v>
      </c>
      <c r="W112" s="16">
        <f>IF(ISNA(VLOOKUP(A112,'Données projet'!$A$35:$I$55,5,0)),0%,VLOOKUP(A112,'Données projet'!$A$35:$I$55,5,0)*VLOOKUP('Données projet'!$B$9,Paramètres!$A$1:$I$89,7,0))</f>
        <v>0.33</v>
      </c>
      <c r="X112" s="16">
        <f>IF(ISNA(VLOOKUP(A112,'Données projet'!$A$35:$I$55,6,0)),0%,VLOOKUP(A112,'Données projet'!$A$35:$I$55,6,0)*VLOOKUP('Données projet'!$B$9,Paramètres!$A$1:$I$89,7,0))</f>
        <v>0.11000000000000001</v>
      </c>
      <c r="Y112" s="16">
        <f>IF(ISNA(VLOOKUP(A112,'Données projet'!$A$35:$I$55,7,0)),0%,VLOOKUP(A112,'Données projet'!$A$35:$I$55,7,0))</f>
        <v>0.2</v>
      </c>
      <c r="Z112" s="21">
        <f>EXP(-LN(2)/35)*Z111+(1-EXP(-LN(2)/35))/(LN(2)/35)*V112*W112*VLOOKUP('Données projet'!$B$9,Paramètres!$A$1:$I$89,3,0)*0.475*44/12</f>
        <v>131.2206532656123</v>
      </c>
      <c r="AA112" s="21">
        <f>EXP(-LN(2)/25)*AA111+(1-EXP(-LN(2)/25))/(LN(2)/25)*Calculateur!V112*Calculateur!X112*VLOOKUP('Données projet'!$B$9,Paramètres!$A$1:$I$89,3,0)*0.475*44/12</f>
        <v>41.883419024461048</v>
      </c>
      <c r="AB112" s="21">
        <f>EXP(-LN(2)/2)*AB111+(1-EXP(-LN(2)/2))/(LN(2)/2)*V112*Y112*VLOOKUP('Données projet'!$B$9,Paramètres!$A$1:$I$89,3,0)*0.475*44/12</f>
        <v>31.487899018832582</v>
      </c>
      <c r="AC112" s="22">
        <f t="shared" si="57"/>
        <v>204.59197130890595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-1.0197709343628959E-13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171.701352621833</v>
      </c>
      <c r="AO112" s="59">
        <f t="shared" si="90"/>
        <v>195.58435749168586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40.300202925648954</v>
      </c>
      <c r="AV112" s="21">
        <f>EXP(-LN(2)/25)*AV111+(1-EXP(-LN(2)/25))/(LN(2)/25)*Calculateur!AQ112*Calculateur!AS112*VLOOKUP('Données projet'!$B$10,Paramètres!$A$1:$I$89,3,0)*0.475*44/12</f>
        <v>10.1554118275146</v>
      </c>
      <c r="AW112" s="21">
        <f>EXP(-LN(2)/2)*AW111+(1-EXP(-LN(2)/2))/(LN(2)/2)*AQ112*AT112*VLOOKUP('Données projet'!$B$10,Paramètres!$A$1:$I$89,3,0)*0.475*44/12</f>
        <v>3.7695236194801092E-6</v>
      </c>
      <c r="AX112" s="21">
        <f t="shared" si="60"/>
        <v>50.455618522687175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-1.1823431123048067E-13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348.29124901999882</v>
      </c>
      <c r="BJ112" s="59">
        <f t="shared" si="92"/>
        <v>284.30034973939053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122.3740890652935</v>
      </c>
      <c r="BQ112" s="21">
        <f>EXP(-LN(2)/25)*BQ111+(1-EXP(-LN(2)/25))/(LN(2)/25)*Calculateur!BL112*Calculateur!BN112*VLOOKUP('Données projet'!$B$11,Paramètres!$A$1:$I$89,3,0)*0.475*44/12</f>
        <v>34.808923115214071</v>
      </c>
      <c r="BR112" s="21">
        <f>EXP(-LN(2)/2)*BR111+(1-EXP(-LN(2)/2))/(LN(2)/2)*BL112*BO112*VLOOKUP('Données projet'!$B$11,Paramètres!$A$1:$I$89,3,0)*0.475*44/12</f>
        <v>3.6411428422318238E-3</v>
      </c>
      <c r="BS112" s="22">
        <f t="shared" si="63"/>
        <v>157.18665332334982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5.2019999999999982</v>
      </c>
      <c r="BY112" s="12">
        <f>IF('Données projet'!$A$114&gt;35,BY111+BX112-CG111,IF(A112&lt;'Données projet'!$A$114,$BV$205^A112,IF(A112='Données projet'!$A$114,'Données projet'!$B$114,BY111+BX112-CG111)))</f>
        <v>241.89799999999977</v>
      </c>
      <c r="BZ112" s="13">
        <f>BY112*VLOOKUP('Données projet'!$B$12,Paramètres!$A$1:$I$89,3,0)*VLOOKUP('Données projet'!$B$12,Paramètres!$A$1:$I$89,5,0)</f>
        <v>144.65500399999988</v>
      </c>
      <c r="CA112" s="13">
        <f t="shared" si="93"/>
        <v>37.361362999804413</v>
      </c>
      <c r="CB112" s="20">
        <f t="shared" si="64"/>
        <v>317.01183919132581</v>
      </c>
      <c r="CC112" s="59">
        <f t="shared" si="65"/>
        <v>610.34517252465912</v>
      </c>
      <c r="CD112" s="59">
        <f ca="1">AVERAGE(OFFSET($CC$3,0,0,'Données projet'!$E$12+1,1))-AVERAGE(OFFSET($H$3,0,0,'Données projet'!$E$12+1,1))</f>
        <v>185.82627135915504</v>
      </c>
      <c r="CE112" s="59">
        <f t="shared" si="94"/>
        <v>155.46126452522037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42.36225005912317</v>
      </c>
      <c r="CL112" s="21">
        <f>EXP(-LN(2)/25)*CL111+(1-EXP(-LN(2)/25))/(LN(2)/25)*Calculateur!CG112*Calculateur!CI112*VLOOKUP('Données projet'!$B$12,Paramètres!$A$1:$I$89,3,0)*0.475*44/12</f>
        <v>12.998847925240728</v>
      </c>
      <c r="CM112" s="21">
        <f>EXP(-LN(2)/2)*CM111+(1-EXP(-LN(2)/2))/(LN(2)/2)*CG112*CJ112*VLOOKUP('Données projet'!$B$12,Paramètres!$A$1:$I$89,3,0)*0.475*44/12</f>
        <v>0.56897565260440042</v>
      </c>
      <c r="CN112" s="22">
        <f t="shared" si="66"/>
        <v>55.930073636968295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1.2692307692307694</v>
      </c>
      <c r="CT112" s="12">
        <f>IF('Données projet'!$A$140&gt;35,CT111+CS112-DB111,IF(A112&lt;'Données projet'!$A$140,$CQ$205^A112,IF(A112='Données projet'!$A$140,'Données projet'!$B$140,CT111+CS112-DB111)))</f>
        <v>112.19230769230768</v>
      </c>
      <c r="CU112" s="17">
        <f>CT112*VLOOKUP('Données projet'!$B$13,Paramètres!$A$1:$I$89,3,0)*VLOOKUP('Données projet'!$B$13,Paramètres!$A$1:$I$89,5,0)</f>
        <v>129.24553846153844</v>
      </c>
      <c r="CV112" s="13">
        <f t="shared" si="95"/>
        <v>33.821966410606663</v>
      </c>
      <c r="CW112" s="20">
        <f t="shared" si="67"/>
        <v>284.00923765231937</v>
      </c>
      <c r="CX112" s="59">
        <f t="shared" si="68"/>
        <v>577.34257098565263</v>
      </c>
      <c r="CY112" s="59">
        <f ca="1">AVERAGE(OFFSET($CX$3,0,0,'Données projet'!$E$13+1,1))-AVERAGE(OFFSET($H$3,0,0,'Données projet'!$E$13+1,1))</f>
        <v>150.78964413039063</v>
      </c>
      <c r="CZ112" s="59">
        <f t="shared" si="96"/>
        <v>131.90332435966184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6.3126697446156523</v>
      </c>
      <c r="DG112" s="21">
        <f>EXP(-LN(2)/25)*DG111+(1-EXP(-LN(2)/25))/(LN(2)/25)*Calculateur!DB112*Calculateur!DD112*VLOOKUP('Données projet'!$B$13,Paramètres!$A$1:$I$89,3,0)*0.475*44/12</f>
        <v>2.7617346070108222</v>
      </c>
      <c r="DH112" s="21">
        <f>EXP(-LN(2)/2)*DH111+(1-EXP(-LN(2)/2))/(LN(2)/2)*DB112*DE112*VLOOKUP('Données projet'!$B$13,Paramètres!$A$1:$I$89,3,0)*0.475*44/12</f>
        <v>7.2523022958348379E-2</v>
      </c>
      <c r="DI112" s="22">
        <f t="shared" si="69"/>
        <v>9.1469273745848234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-1.4210854715202004E-14</v>
      </c>
      <c r="DP112" s="17">
        <f>DO112*VLOOKUP('Données projet'!$B$14,Paramètres!$A$1:$I$89,3,0)*VLOOKUP('Données projet'!$B$14,Paramètres!$A$1:$I$89,5,0)</f>
        <v>-1.4853185348329136E-14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110.10595934547638</v>
      </c>
      <c r="DU112" s="59">
        <f t="shared" si="98"/>
        <v>131.10971921141493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28.891231285736719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28.891231285736719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6.8811111111111085</v>
      </c>
      <c r="EJ112" s="12">
        <f>IF('Données projet'!$A$192&gt;35,EJ111+EI112-ER111,IF(A112&lt;'Données projet'!$A$192,$EG$205^A112,IF(A112='Données projet'!$A$192,'Données projet'!$B$192,EJ111+EI112-ER111)))</f>
        <v>266.37555555555537</v>
      </c>
      <c r="EK112" s="17">
        <f>EJ112*VLOOKUP('Données projet'!$B$15,Paramètres!$A$1:$I$89,3,0)*VLOOKUP('Données projet'!$B$15,Paramètres!$A$1:$I$89,5,0)</f>
        <v>270.10481333333314</v>
      </c>
      <c r="EL112" s="13">
        <f t="shared" si="99"/>
        <v>64.87151281999401</v>
      </c>
      <c r="EM112" s="20">
        <f t="shared" si="73"/>
        <v>583.41710138371138</v>
      </c>
      <c r="EN112" s="59">
        <f t="shared" si="74"/>
        <v>876.75043471704475</v>
      </c>
      <c r="EO112" s="59">
        <f ca="1">AVERAGE(OFFSET($EN$3,0,0,'Données projet'!$E$15+1,1))-AVERAGE(OFFSET($H$3,0,0,'Données projet'!$E$15+1,1))</f>
        <v>420.38735944595965</v>
      </c>
      <c r="EP112" s="59">
        <f t="shared" si="100"/>
        <v>200.0823542414671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15.431637915836966</v>
      </c>
      <c r="EW112" s="21">
        <f>EXP(-LN(2)/25)*EW111+(1-EXP(-LN(2)/25))/(LN(2)/25)*Calculateur!ER112*Calculateur!ET112*VLOOKUP('Données projet'!$B$15,Paramètres!$A$1:$I$89,3,0)*0.475*44/12</f>
        <v>25.860070397035425</v>
      </c>
      <c r="EX112" s="21">
        <f>EXP(-LN(2)/2)*EX111+(1-EXP(-LN(2)/2))/(LN(2)/2)*ER112*EU112*VLOOKUP('Données projet'!$B$15,Paramètres!$A$1:$I$89,3,0)*0.475*44/12</f>
        <v>0.69925687189602115</v>
      </c>
      <c r="EY112" s="22">
        <f t="shared" si="75"/>
        <v>41.990965184768406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8.7540000000000013</v>
      </c>
      <c r="FE112" s="12">
        <f>IF('Données projet'!$A$218&gt;35,FE111+FD112-FM111,IF(A112&lt;'Données projet'!$A$218,$FB$205^A112,IF(A112='Données projet'!$A$218,'Données projet'!$B$218,FE111+FD112-FM111)))</f>
        <v>356.16400000000021</v>
      </c>
      <c r="FF112" s="17">
        <f>FE112*VLOOKUP('Données projet'!$B$16,Paramètres!$A$1:$I$89,3,0)*VLOOKUP('Données projet'!$B$16,Paramètres!$A$1:$I$89,5,0)</f>
        <v>383.3749296000002</v>
      </c>
      <c r="FG112" s="13">
        <f t="shared" si="101"/>
        <v>88.397905376386277</v>
      </c>
      <c r="FH112" s="20">
        <f t="shared" si="76"/>
        <v>821.67102091720653</v>
      </c>
      <c r="FI112" s="59">
        <f t="shared" si="77"/>
        <v>1115.0043542505398</v>
      </c>
      <c r="FJ112" s="59">
        <f ca="1">AVERAGE(OFFSET($FI$3,0,0,'Données projet'!$E$16+1,1))-AVERAGE(OFFSET($H$3,0,0,'Données projet'!$E$16+1,1))</f>
        <v>415.8741608506952</v>
      </c>
      <c r="FK112" s="59">
        <f t="shared" si="102"/>
        <v>259.15848913719356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45.958036778834803</v>
      </c>
      <c r="FR112" s="21">
        <f>EXP(-LN(2)/25)*FR111+(1-EXP(-LN(2)/25))/(LN(2)/25)*Calculateur!FM112*Calculateur!FO112*VLOOKUP('Données projet'!$B$16,Paramètres!$A$1:$I$89,3,0)*0.475*44/12</f>
        <v>24.775397853799209</v>
      </c>
      <c r="FS112" s="21">
        <f>EXP(-LN(2)/2)*FS111+(1-EXP(-LN(2)/2))/(LN(2)/2)*FM112*FP112*VLOOKUP('Données projet'!$B$16,Paramètres!$A$1:$I$89,3,0)*0.475*44/12</f>
        <v>6.5555546646950326E-4</v>
      </c>
      <c r="FT112" s="22">
        <f t="shared" si="78"/>
        <v>70.734090188100481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8.7540000000000013</v>
      </c>
      <c r="FZ112" s="12">
        <f>IF('Données projet'!$A$244&gt;35,FZ111+FY112-GH111,IF(A112&lt;'Données projet'!$A$244,$FW$205^A112,IF(A112='Données projet'!$A$244,'Données projet'!$B$244,FZ111+FY112-GH111)))</f>
        <v>356.16400000000021</v>
      </c>
      <c r="GA112" s="17">
        <f>FZ112*VLOOKUP('Données projet'!$B$17,Paramètres!$A$1:$I$89,3,0)*VLOOKUP('Données projet'!$B$17,Paramètres!$A$1:$I$89,5,0)</f>
        <v>305.58871200000021</v>
      </c>
      <c r="GB112" s="13">
        <f t="shared" si="103"/>
        <v>72.346810625992234</v>
      </c>
      <c r="GC112" s="20">
        <f t="shared" si="79"/>
        <v>658.23770190693688</v>
      </c>
      <c r="GD112" s="59">
        <f t="shared" si="80"/>
        <v>951.57103524027025</v>
      </c>
      <c r="GE112" s="59">
        <f ca="1">AVERAGE(OFFSET($GD$3,0,0,'Données projet'!$E$17+1,1))-AVERAGE(OFFSET($H$3,0,0,'Données projet'!$E$17+1,1))</f>
        <v>322.39807389980882</v>
      </c>
      <c r="GF112" s="59">
        <f t="shared" si="104"/>
        <v>202.59410055732792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45.152570680924669</v>
      </c>
      <c r="GM112" s="21">
        <f>EXP(-LN(2)/25)*GM111+(1-EXP(-LN(2)/25))/(LN(2)/25)*Calculateur!GH112*Calculateur!GJ112*VLOOKUP('Données projet'!$B$17,Paramètres!$A$1:$I$89,3,0)*0.475*44/12</f>
        <v>24.341181241599159</v>
      </c>
      <c r="GN112" s="21">
        <f>EXP(-LN(2)/2)*GN111+(1-EXP(-LN(2)/2))/(LN(2)/2)*GH112*GK112*VLOOKUP('Données projet'!$B$17,Paramètres!$A$1:$I$89,3,0)*0.475*44/12</f>
        <v>5.2254421240322609E-4</v>
      </c>
      <c r="GO112" s="21">
        <f t="shared" si="81"/>
        <v>69.494274466736229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40.325999999999887</v>
      </c>
      <c r="D113" s="11">
        <f t="shared" si="86"/>
        <v>12.085012381264146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404.576235925547</v>
      </c>
      <c r="H113" s="67">
        <f t="shared" si="56"/>
        <v>384.61584656403483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1.5961632016114892E-13</v>
      </c>
      <c r="P113" s="13">
        <f t="shared" si="87"/>
        <v>2.2708641912150958E-12</v>
      </c>
      <c r="Q113" s="20">
        <f t="shared" si="107"/>
        <v>4.2330868906469593E-12</v>
      </c>
      <c r="R113" s="59">
        <f t="shared" si="55"/>
        <v>293.33333333333752</v>
      </c>
      <c r="S113" s="59">
        <f ca="1">AVERAGE(OFFSET($R$3,0,0,'Données projet'!$E$9+1,1))-AVERAGE(OFFSET($H$3,0,0,'Données projet'!$E$9+1,1))</f>
        <v>215.77907571824977</v>
      </c>
      <c r="T113" s="59">
        <f t="shared" si="88"/>
        <v>174.69390149594869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128.64749629176916</v>
      </c>
      <c r="AA113" s="21">
        <f>EXP(-LN(2)/25)*AA112+(1-EXP(-LN(2)/25))/(LN(2)/25)*Calculateur!V113*Calculateur!X113*VLOOKUP('Données projet'!$B$9,Paramètres!$A$1:$I$89,3,0)*0.475*44/12</f>
        <v>40.738114728683883</v>
      </c>
      <c r="AB113" s="21">
        <f>EXP(-LN(2)/2)*AB112+(1-EXP(-LN(2)/2))/(LN(2)/2)*V113*Y113*VLOOKUP('Données projet'!$B$9,Paramètres!$A$1:$I$89,3,0)*0.475*44/12</f>
        <v>22.265306921533757</v>
      </c>
      <c r="AC113" s="22">
        <f t="shared" si="57"/>
        <v>191.65091794198679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-1.0197709343628959E-13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171.701352621833</v>
      </c>
      <c r="AO113" s="59">
        <f t="shared" si="90"/>
        <v>195.58435749168586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39.509940526973622</v>
      </c>
      <c r="AV113" s="21">
        <f>EXP(-LN(2)/25)*AV112+(1-EXP(-LN(2)/25))/(LN(2)/25)*Calculateur!AQ113*Calculateur!AS113*VLOOKUP('Données projet'!$B$10,Paramètres!$A$1:$I$89,3,0)*0.475*44/12</f>
        <v>9.8777115570413159</v>
      </c>
      <c r="AW113" s="21">
        <f>EXP(-LN(2)/2)*AW112+(1-EXP(-LN(2)/2))/(LN(2)/2)*AQ113*AT113*VLOOKUP('Données projet'!$B$10,Paramètres!$A$1:$I$89,3,0)*0.475*44/12</f>
        <v>2.6654557131772445E-6</v>
      </c>
      <c r="AX113" s="21">
        <f t="shared" si="60"/>
        <v>49.387654749470649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-1.1823431123048067E-13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348.29124901999882</v>
      </c>
      <c r="BJ113" s="59">
        <f t="shared" si="92"/>
        <v>284.30034973939053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119.97440781954725</v>
      </c>
      <c r="BQ113" s="21">
        <f>EXP(-LN(2)/25)*BQ112+(1-EXP(-LN(2)/25))/(LN(2)/25)*Calculateur!BL113*Calculateur!BN113*VLOOKUP('Données projet'!$B$11,Paramètres!$A$1:$I$89,3,0)*0.475*44/12</f>
        <v>33.85707128210683</v>
      </c>
      <c r="BR113" s="21">
        <f>EXP(-LN(2)/2)*BR112+(1-EXP(-LN(2)/2))/(LN(2)/2)*BL113*BO113*VLOOKUP('Données projet'!$B$11,Paramètres!$A$1:$I$89,3,0)*0.475*44/12</f>
        <v>2.5746767950109821E-3</v>
      </c>
      <c r="BS113" s="22">
        <f t="shared" si="63"/>
        <v>153.83405377844909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247.1</v>
      </c>
      <c r="BW113" s="12">
        <f>VLOOKUP(A113,'Données projet'!$A$113:$I$133,9,0)</f>
        <v>5.2019999999999982</v>
      </c>
      <c r="BX113" s="12">
        <f t="array" ref="BX113">INDEX(BW:BW,MIN(IF(ISNUMBER(BW113:BW309),ROW(BW113:BW309),"")))</f>
        <v>5.2019999999999982</v>
      </c>
      <c r="BY113" s="12">
        <f>IF('Données projet'!$A$114&gt;35,BY112+BX113-CG112,IF(A113&lt;'Données projet'!$A$114,$BV$205^A113,IF(A113='Données projet'!$A$114,'Données projet'!$B$114,BY112+BX113-CG112)))</f>
        <v>247.09999999999977</v>
      </c>
      <c r="BZ113" s="13">
        <f>BY113*VLOOKUP('Données projet'!$B$12,Paramètres!$A$1:$I$89,3,0)*VLOOKUP('Données projet'!$B$12,Paramètres!$A$1:$I$89,5,0)</f>
        <v>147.76579999999987</v>
      </c>
      <c r="CA113" s="13">
        <f t="shared" si="93"/>
        <v>38.07041305906651</v>
      </c>
      <c r="CB113" s="20">
        <f t="shared" si="64"/>
        <v>323.66473774454056</v>
      </c>
      <c r="CC113" s="59">
        <f t="shared" si="65"/>
        <v>616.99807107787387</v>
      </c>
      <c r="CD113" s="59">
        <f ca="1">AVERAGE(OFFSET($CC$3,0,0,'Données projet'!$E$12+1,1))-AVERAGE(OFFSET($H$3,0,0,'Données projet'!$E$12+1,1))</f>
        <v>185.82627135915504</v>
      </c>
      <c r="CE113" s="59">
        <f t="shared" si="94"/>
        <v>155.46126452522037</v>
      </c>
      <c r="CF113" s="15">
        <f>IF(ISNA(VLOOKUP(A113,'Données projet'!$A$113:$I$133,3,0)),0,VLOOKUP(A113,'Données projet'!$A$113:$I$133,3,0))</f>
        <v>6</v>
      </c>
      <c r="CG113" s="15">
        <f>IF(ISNA(VLOOKUP(A113,'Données projet'!$A$113:$I$133,4,0)),0,VLOOKUP(A113,'Données projet'!$A$113:$I$133,4,0))</f>
        <v>247.1</v>
      </c>
      <c r="CH113" s="16">
        <f>IF(ISNA(VLOOKUP(A113,'Données projet'!$A$113:$I$133,5,0)),0%,VLOOKUP(A113,'Données projet'!$A$113:$I$133,5,0)*VLOOKUP('Données projet'!$B$12,Paramètres!$A$1:$I$89,7,0))</f>
        <v>0.27</v>
      </c>
      <c r="CI113" s="16">
        <f>IF(ISNA(VLOOKUP(A113,'Données projet'!$A$113:$I$133,6,0)),0%,VLOOKUP(A113,'Données projet'!$A$113:$I$133,6,0)*VLOOKUP('Données projet'!$B$12,Paramètres!$A$1:$I$89,7,0))</f>
        <v>9.0000000000000011E-2</v>
      </c>
      <c r="CJ113" s="16">
        <f>IF(ISNA(VLOOKUP(A113,'Données projet'!$A$113:$I$133,7,0)),0%,VLOOKUP(A113,'Données projet'!$A$113:$I$133,7,0))</f>
        <v>0.2</v>
      </c>
      <c r="CK113" s="21">
        <f>EXP(-LN(2)/35)*CK112+(1-EXP(-LN(2)/35))/(LN(2)/35)*CG113*CH113*VLOOKUP('Données projet'!$B$12,Paramètres!$A$1:$I$89,3,0)*0.475*44/12</f>
        <v>94.457183836473732</v>
      </c>
      <c r="CL113" s="21">
        <f>EXP(-LN(2)/25)*CL112+(1-EXP(-LN(2)/25))/(LN(2)/25)*Calculateur!CG113*Calculateur!CI113*VLOOKUP('Données projet'!$B$12,Paramètres!$A$1:$I$89,3,0)*0.475*44/12</f>
        <v>30.215808173307476</v>
      </c>
      <c r="CM113" s="21">
        <f>EXP(-LN(2)/2)*CM112+(1-EXP(-LN(2)/2))/(LN(2)/2)*CG113*CJ113*VLOOKUP('Données projet'!$B$12,Paramètres!$A$1:$I$89,3,0)*0.475*44/12</f>
        <v>33.863368788253872</v>
      </c>
      <c r="CN113" s="22">
        <f t="shared" si="66"/>
        <v>158.53636079803508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113.46153846153845</v>
      </c>
      <c r="CR113" s="12">
        <f>VLOOKUP(A113,'Données projet'!$A$139:$I$159,9,0)</f>
        <v>1.2692307692307694</v>
      </c>
      <c r="CS113" s="12">
        <f t="array" ref="CS113">INDEX(CR:CR,MIN(IF(ISNUMBER(CR113:CR309),ROW(CR113:CR309),"")))</f>
        <v>1.2692307692307694</v>
      </c>
      <c r="CT113" s="12">
        <f>IF('Données projet'!$A$140&gt;35,CT112+CS113-DB112,IF(A113&lt;'Données projet'!$A$140,$CQ$205^A113,IF(A113='Données projet'!$A$140,'Données projet'!$B$140,CT112+CS113-DB112)))</f>
        <v>113.46153846153845</v>
      </c>
      <c r="CU113" s="17">
        <f>CT113*VLOOKUP('Données projet'!$B$13,Paramètres!$A$1:$I$89,3,0)*VLOOKUP('Données projet'!$B$13,Paramètres!$A$1:$I$89,5,0)</f>
        <v>130.70769230769227</v>
      </c>
      <c r="CV113" s="13">
        <f t="shared" si="95"/>
        <v>34.159834540985152</v>
      </c>
      <c r="CW113" s="20">
        <f t="shared" si="67"/>
        <v>287.14427592811313</v>
      </c>
      <c r="CX113" s="59">
        <f t="shared" si="68"/>
        <v>580.47760926144645</v>
      </c>
      <c r="CY113" s="59">
        <f ca="1">AVERAGE(OFFSET($CX$3,0,0,'Données projet'!$E$13+1,1))-AVERAGE(OFFSET($H$3,0,0,'Données projet'!$E$13+1,1))</f>
        <v>150.78964413039063</v>
      </c>
      <c r="CZ113" s="59">
        <f t="shared" si="96"/>
        <v>131.90332435966184</v>
      </c>
      <c r="DA113" s="15">
        <f>IF(ISNA(VLOOKUP(A113,'Données projet'!$A$139:$I$159,3,0)),0,VLOOKUP(A113,'Données projet'!$A$139:$I$159,3,0))</f>
        <v>11</v>
      </c>
      <c r="DB113" s="15">
        <f>IF(ISNA(VLOOKUP(A113,'Données projet'!$A$139:$I$159,4,0)),0,VLOOKUP(A113,'Données projet'!$A$139:$I$159,4,0))</f>
        <v>10.692307692307692</v>
      </c>
      <c r="DC113" s="16">
        <f>IF(ISNA(VLOOKUP(A113,'Données projet'!$A$139:$I$159,5,0)),0%,VLOOKUP(A113,'Données projet'!$A$139:$I$159,5,0)*VLOOKUP('Données projet'!$B$13,Paramètres!$A$1:$I$89,7,0))</f>
        <v>0.18000000000000002</v>
      </c>
      <c r="DD113" s="16">
        <f>IF(ISNA(VLOOKUP(A113,'Données projet'!$A$139:$I$159,6,0)),0%,VLOOKUP(A113,'Données projet'!$A$139:$I$159,6,0)*VLOOKUP('Données projet'!$B$13,Paramètres!$A$1:$I$89,7,0))</f>
        <v>9.0000000000000011E-2</v>
      </c>
      <c r="DE113" s="16">
        <f>IF(ISNA(VLOOKUP(A113,'Données projet'!$A$139:$I$159,7,0)),0%,VLOOKUP(A113,'Données projet'!$A$139:$I$159,7,0))</f>
        <v>0.2</v>
      </c>
      <c r="DF113" s="21">
        <f>EXP(-LN(2)/35)*DF112+(1-EXP(-LN(2)/35))/(LN(2)/35)*DB113*DC113*VLOOKUP('Données projet'!$B$13,Paramètres!$A$1:$I$89,3,0)*0.475*44/12</f>
        <v>7.7820329896767628</v>
      </c>
      <c r="DG113" s="21">
        <f>EXP(-LN(2)/25)*DG112+(1-EXP(-LN(2)/25))/(LN(2)/25)*Calculateur!DB113*Calculateur!DD113*VLOOKUP('Données projet'!$B$13,Paramètres!$A$1:$I$89,3,0)*0.475*44/12</f>
        <v>3.4796538321870187</v>
      </c>
      <c r="DH113" s="21">
        <f>EXP(-LN(2)/2)*DH112+(1-EXP(-LN(2)/2))/(LN(2)/2)*DB113*DE113*VLOOKUP('Données projet'!$B$13,Paramètres!$A$1:$I$89,3,0)*0.475*44/12</f>
        <v>1.5621322991453119</v>
      </c>
      <c r="DI113" s="22">
        <f t="shared" si="69"/>
        <v>12.823819121009093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-1.4210854715202004E-14</v>
      </c>
      <c r="DP113" s="17">
        <f>DO113*VLOOKUP('Données projet'!$B$14,Paramètres!$A$1:$I$89,3,0)*VLOOKUP('Données projet'!$B$14,Paramètres!$A$1:$I$89,5,0)</f>
        <v>-1.4853185348329136E-14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110.10595934547638</v>
      </c>
      <c r="DU113" s="59">
        <f t="shared" si="98"/>
        <v>131.10971921141493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28.101199046904426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28.101199046904426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6.8811111111111085</v>
      </c>
      <c r="EJ113" s="12">
        <f>IF('Données projet'!$A$192&gt;35,EJ112+EI113-ER112,IF(A113&lt;'Données projet'!$A$192,$EG$205^A113,IF(A113='Données projet'!$A$192,'Données projet'!$B$192,EJ112+EI113-ER112)))</f>
        <v>273.25666666666649</v>
      </c>
      <c r="EK113" s="17">
        <f>EJ113*VLOOKUP('Données projet'!$B$15,Paramètres!$A$1:$I$89,3,0)*VLOOKUP('Données projet'!$B$15,Paramètres!$A$1:$I$89,5,0)</f>
        <v>277.08225999999985</v>
      </c>
      <c r="EL113" s="13">
        <f t="shared" si="99"/>
        <v>66.350031133112068</v>
      </c>
      <c r="EM113" s="20">
        <f t="shared" si="73"/>
        <v>598.14457372350319</v>
      </c>
      <c r="EN113" s="59">
        <f t="shared" si="74"/>
        <v>891.47790705683656</v>
      </c>
      <c r="EO113" s="59">
        <f ca="1">AVERAGE(OFFSET($EN$3,0,0,'Données projet'!$E$15+1,1))-AVERAGE(OFFSET($H$3,0,0,'Données projet'!$E$15+1,1))</f>
        <v>420.38735944595965</v>
      </c>
      <c r="EP113" s="59">
        <f t="shared" si="100"/>
        <v>200.0823542414671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15.129032908677138</v>
      </c>
      <c r="EW113" s="21">
        <f>EXP(-LN(2)/25)*EW112+(1-EXP(-LN(2)/25))/(LN(2)/25)*Calculateur!ER113*Calculateur!ET113*VLOOKUP('Données projet'!$B$15,Paramètres!$A$1:$I$89,3,0)*0.475*44/12</f>
        <v>25.152925412106494</v>
      </c>
      <c r="EX113" s="21">
        <f>EXP(-LN(2)/2)*EX112+(1-EXP(-LN(2)/2))/(LN(2)/2)*ER113*EU113*VLOOKUP('Données projet'!$B$15,Paramètres!$A$1:$I$89,3,0)*0.475*44/12</f>
        <v>0.49444927590896953</v>
      </c>
      <c r="EY113" s="22">
        <f t="shared" si="75"/>
        <v>40.7764075966926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8.7540000000000013</v>
      </c>
      <c r="FE113" s="12">
        <f>IF('Données projet'!$A$218&gt;35,FE112+FD113-FM112,IF(A113&lt;'Données projet'!$A$218,$FB$205^A113,IF(A113='Données projet'!$A$218,'Données projet'!$B$218,FE112+FD113-FM112)))</f>
        <v>364.91800000000023</v>
      </c>
      <c r="FF113" s="17">
        <f>FE113*VLOOKUP('Données projet'!$B$16,Paramètres!$A$1:$I$89,3,0)*VLOOKUP('Données projet'!$B$16,Paramètres!$A$1:$I$89,5,0)</f>
        <v>392.7977352000002</v>
      </c>
      <c r="FG113" s="13">
        <f t="shared" si="101"/>
        <v>90.314976078445369</v>
      </c>
      <c r="FH113" s="20">
        <f t="shared" si="76"/>
        <v>841.42130547662589</v>
      </c>
      <c r="FI113" s="59">
        <f t="shared" si="77"/>
        <v>1134.7546388099593</v>
      </c>
      <c r="FJ113" s="59">
        <f ca="1">AVERAGE(OFFSET($FI$3,0,0,'Données projet'!$E$16+1,1))-AVERAGE(OFFSET($H$3,0,0,'Données projet'!$E$16+1,1))</f>
        <v>415.8741608506952</v>
      </c>
      <c r="FK113" s="59">
        <f t="shared" si="102"/>
        <v>259.15848913719356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45.056827709236394</v>
      </c>
      <c r="FR113" s="21">
        <f>EXP(-LN(2)/25)*FR112+(1-EXP(-LN(2)/25))/(LN(2)/25)*Calculateur!FM113*Calculateur!FO113*VLOOKUP('Données projet'!$B$16,Paramètres!$A$1:$I$89,3,0)*0.475*44/12</f>
        <v>24.097913296605523</v>
      </c>
      <c r="FS113" s="21">
        <f>EXP(-LN(2)/2)*FS112+(1-EXP(-LN(2)/2))/(LN(2)/2)*FM113*FP113*VLOOKUP('Données projet'!$B$16,Paramètres!$A$1:$I$89,3,0)*0.475*44/12</f>
        <v>4.6354771578449615E-4</v>
      </c>
      <c r="FT113" s="22">
        <f t="shared" si="78"/>
        <v>69.155204553557695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8.7540000000000013</v>
      </c>
      <c r="FZ113" s="12">
        <f>IF('Données projet'!$A$244&gt;35,FZ112+FY113-GH112,IF(A113&lt;'Données projet'!$A$244,$FW$205^A113,IF(A113='Données projet'!$A$244,'Données projet'!$B$244,FZ112+FY113-GH112)))</f>
        <v>364.91800000000023</v>
      </c>
      <c r="GA113" s="17">
        <f>FZ113*VLOOKUP('Données projet'!$B$17,Paramètres!$A$1:$I$89,3,0)*VLOOKUP('Données projet'!$B$17,Paramètres!$A$1:$I$89,5,0)</f>
        <v>313.09964400000024</v>
      </c>
      <c r="GB113" s="13">
        <f t="shared" si="103"/>
        <v>73.915783900279308</v>
      </c>
      <c r="GC113" s="20">
        <f t="shared" si="79"/>
        <v>674.05187025965336</v>
      </c>
      <c r="GD113" s="59">
        <f t="shared" si="80"/>
        <v>967.38520359298673</v>
      </c>
      <c r="GE113" s="59">
        <f ca="1">AVERAGE(OFFSET($GD$3,0,0,'Données projet'!$E$17+1,1))-AVERAGE(OFFSET($H$3,0,0,'Données projet'!$E$17+1,1))</f>
        <v>322.39807389980882</v>
      </c>
      <c r="GF113" s="59">
        <f t="shared" si="104"/>
        <v>202.59410055732792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44.267156310220464</v>
      </c>
      <c r="GM113" s="21">
        <f>EXP(-LN(2)/25)*GM112+(1-EXP(-LN(2)/25))/(LN(2)/25)*Calculateur!GH113*Calculateur!GJ113*VLOOKUP('Données projet'!$B$17,Paramètres!$A$1:$I$89,3,0)*0.475*44/12</f>
        <v>23.67557036050054</v>
      </c>
      <c r="GN113" s="21">
        <f>EXP(-LN(2)/2)*GN112+(1-EXP(-LN(2)/2))/(LN(2)/2)*GH113*GK113*VLOOKUP('Données projet'!$B$17,Paramètres!$A$1:$I$89,3,0)*0.475*44/12</f>
        <v>3.694945560601048E-4</v>
      </c>
      <c r="GO113" s="21">
        <f t="shared" si="81"/>
        <v>67.943096165277055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40.692599999999885</v>
      </c>
      <c r="D114" s="11">
        <f t="shared" si="86"/>
        <v>12.182036800915931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408.15509109478876</v>
      </c>
      <c r="H114" s="67">
        <f t="shared" si="56"/>
        <v>385.42332576159504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1.5961632016114892E-13</v>
      </c>
      <c r="P114" s="13">
        <f t="shared" si="87"/>
        <v>2.2708641912150958E-12</v>
      </c>
      <c r="Q114" s="20">
        <f t="shared" si="107"/>
        <v>4.2330868906469593E-12</v>
      </c>
      <c r="R114" s="59">
        <f t="shared" si="55"/>
        <v>293.33333333333752</v>
      </c>
      <c r="S114" s="59">
        <f ca="1">AVERAGE(OFFSET($R$3,0,0,'Données projet'!$E$9+1,1))-AVERAGE(OFFSET($H$3,0,0,'Données projet'!$E$9+1,1))</f>
        <v>215.77907571824977</v>
      </c>
      <c r="T114" s="59">
        <f t="shared" si="88"/>
        <v>174.69390149594869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126.12479735671231</v>
      </c>
      <c r="AA114" s="21">
        <f>EXP(-LN(2)/25)*AA113+(1-EXP(-LN(2)/25))/(LN(2)/25)*Calculateur!V114*Calculateur!X114*VLOOKUP('Données projet'!$B$9,Paramètres!$A$1:$I$89,3,0)*0.475*44/12</f>
        <v>39.624128839103676</v>
      </c>
      <c r="AB114" s="21">
        <f>EXP(-LN(2)/2)*AB113+(1-EXP(-LN(2)/2))/(LN(2)/2)*V114*Y114*VLOOKUP('Données projet'!$B$9,Paramètres!$A$1:$I$89,3,0)*0.475*44/12</f>
        <v>15.743949509416293</v>
      </c>
      <c r="AC114" s="22">
        <f t="shared" si="57"/>
        <v>181.49287570523228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-1.0197709343628959E-13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171.701352621833</v>
      </c>
      <c r="AO114" s="59">
        <f t="shared" si="90"/>
        <v>195.58435749168586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38.735174691923845</v>
      </c>
      <c r="AV114" s="21">
        <f>EXP(-LN(2)/25)*AV113+(1-EXP(-LN(2)/25))/(LN(2)/25)*Calculateur!AQ114*Calculateur!AS114*VLOOKUP('Données projet'!$B$10,Paramètres!$A$1:$I$89,3,0)*0.475*44/12</f>
        <v>9.6076050150677457</v>
      </c>
      <c r="AW114" s="21">
        <f>EXP(-LN(2)/2)*AW113+(1-EXP(-LN(2)/2))/(LN(2)/2)*AQ114*AT114*VLOOKUP('Données projet'!$B$10,Paramètres!$A$1:$I$89,3,0)*0.475*44/12</f>
        <v>1.884761809740055E-6</v>
      </c>
      <c r="AX114" s="21">
        <f t="shared" si="60"/>
        <v>48.342781591753401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-1.1823431123048067E-13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348.29124901999882</v>
      </c>
      <c r="BJ114" s="59">
        <f t="shared" si="92"/>
        <v>284.30034973939053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117.62178285936906</v>
      </c>
      <c r="BQ114" s="21">
        <f>EXP(-LN(2)/25)*BQ113+(1-EXP(-LN(2)/25))/(LN(2)/25)*Calculateur!BL114*Calculateur!BN114*VLOOKUP('Données projet'!$B$11,Paramètres!$A$1:$I$89,3,0)*0.475*44/12</f>
        <v>32.931247887431624</v>
      </c>
      <c r="BR114" s="21">
        <f>EXP(-LN(2)/2)*BR113+(1-EXP(-LN(2)/2))/(LN(2)/2)*BL114*BO114*VLOOKUP('Données projet'!$B$11,Paramètres!$A$1:$I$89,3,0)*0.475*44/12</f>
        <v>1.8205714211159121E-3</v>
      </c>
      <c r="BS114" s="22">
        <f t="shared" si="63"/>
        <v>150.55485131822181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-2.2737367544323206E-13</v>
      </c>
      <c r="BZ114" s="13">
        <f>BY114*VLOOKUP('Données projet'!$B$12,Paramètres!$A$1:$I$89,3,0)*VLOOKUP('Données projet'!$B$12,Paramètres!$A$1:$I$89,5,0)</f>
        <v>-1.3596945791505279E-13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185.82627135915504</v>
      </c>
      <c r="CE114" s="59">
        <f t="shared" si="94"/>
        <v>155.46126452522037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92.604936074633798</v>
      </c>
      <c r="CL114" s="21">
        <f>EXP(-LN(2)/25)*CL113+(1-EXP(-LN(2)/25))/(LN(2)/25)*Calculateur!CG114*Calculateur!CI114*VLOOKUP('Données projet'!$B$12,Paramètres!$A$1:$I$89,3,0)*0.475*44/12</f>
        <v>29.38955530982809</v>
      </c>
      <c r="CM114" s="21">
        <f>EXP(-LN(2)/2)*CM113+(1-EXP(-LN(2)/2))/(LN(2)/2)*CG114*CJ114*VLOOKUP('Données projet'!$B$12,Paramètres!$A$1:$I$89,3,0)*0.475*44/12</f>
        <v>23.945017703995195</v>
      </c>
      <c r="CN114" s="22">
        <f t="shared" si="66"/>
        <v>145.9395090884571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1.1692307692307708</v>
      </c>
      <c r="CT114" s="12">
        <f>IF('Données projet'!$A$140&gt;35,CT113+CS114-DB113,IF(A114&lt;'Données projet'!$A$140,$CQ$205^A114,IF(A114='Données projet'!$A$140,'Données projet'!$B$140,CT113+CS114-DB113)))</f>
        <v>103.93846153846152</v>
      </c>
      <c r="CU114" s="17">
        <f>CT114*VLOOKUP('Données projet'!$B$13,Paramètres!$A$1:$I$89,3,0)*VLOOKUP('Données projet'!$B$13,Paramètres!$A$1:$I$89,5,0)</f>
        <v>119.73710769230766</v>
      </c>
      <c r="CV114" s="13">
        <f t="shared" si="95"/>
        <v>31.613676156282359</v>
      </c>
      <c r="CW114" s="20">
        <f t="shared" si="67"/>
        <v>263.60261520296098</v>
      </c>
      <c r="CX114" s="59">
        <f t="shared" si="68"/>
        <v>556.93594853629429</v>
      </c>
      <c r="CY114" s="59">
        <f ca="1">AVERAGE(OFFSET($CX$3,0,0,'Données projet'!$E$13+1,1))-AVERAGE(OFFSET($H$3,0,0,'Données projet'!$E$13+1,1))</f>
        <v>150.78964413039063</v>
      </c>
      <c r="CZ114" s="59">
        <f t="shared" si="96"/>
        <v>131.90332435966184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7.6294320693206403</v>
      </c>
      <c r="DG114" s="21">
        <f>EXP(-LN(2)/25)*DG113+(1-EXP(-LN(2)/25))/(LN(2)/25)*Calculateur!DB114*Calculateur!DD114*VLOOKUP('Données projet'!$B$13,Paramètres!$A$1:$I$89,3,0)*0.475*44/12</f>
        <v>3.3845025151588226</v>
      </c>
      <c r="DH114" s="21">
        <f>EXP(-LN(2)/2)*DH113+(1-EXP(-LN(2)/2))/(LN(2)/2)*DB114*DE114*VLOOKUP('Données projet'!$B$13,Paramètres!$A$1:$I$89,3,0)*0.475*44/12</f>
        <v>1.1045943418361825</v>
      </c>
      <c r="DI114" s="22">
        <f t="shared" si="69"/>
        <v>12.118528926315646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-1.4210854715202004E-14</v>
      </c>
      <c r="DP114" s="17">
        <f>DO114*VLOOKUP('Données projet'!$B$14,Paramètres!$A$1:$I$89,3,0)*VLOOKUP('Données projet'!$B$14,Paramètres!$A$1:$I$89,5,0)</f>
        <v>-1.4853185348329136E-14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110.10595934547638</v>
      </c>
      <c r="DU114" s="59">
        <f t="shared" si="98"/>
        <v>131.10971921141493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27.332770281188992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27.332770281188992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6.8811111111111085</v>
      </c>
      <c r="EJ114" s="12">
        <f>IF('Données projet'!$A$192&gt;35,EJ113+EI114-ER113,IF(A114&lt;'Données projet'!$A$192,$EG$205^A114,IF(A114='Données projet'!$A$192,'Données projet'!$B$192,EJ113+EI114-ER113)))</f>
        <v>280.13777777777761</v>
      </c>
      <c r="EK114" s="17">
        <f>EJ114*VLOOKUP('Données projet'!$B$15,Paramètres!$A$1:$I$89,3,0)*VLOOKUP('Données projet'!$B$15,Paramètres!$A$1:$I$89,5,0)</f>
        <v>284.0597066666665</v>
      </c>
      <c r="EL114" s="13">
        <f t="shared" si="99"/>
        <v>67.824221521859315</v>
      </c>
      <c r="EM114" s="20">
        <f t="shared" si="73"/>
        <v>612.86450826168243</v>
      </c>
      <c r="EN114" s="59">
        <f t="shared" si="74"/>
        <v>906.19784159501569</v>
      </c>
      <c r="EO114" s="59">
        <f ca="1">AVERAGE(OFFSET($EN$3,0,0,'Données projet'!$E$15+1,1))-AVERAGE(OFFSET($H$3,0,0,'Données projet'!$E$15+1,1))</f>
        <v>420.38735944595965</v>
      </c>
      <c r="EP114" s="59">
        <f t="shared" si="100"/>
        <v>200.0823542414671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14.832361801136884</v>
      </c>
      <c r="EW114" s="21">
        <f>EXP(-LN(2)/25)*EW113+(1-EXP(-LN(2)/25))/(LN(2)/25)*Calculateur!ER114*Calculateur!ET114*VLOOKUP('Données projet'!$B$15,Paramètres!$A$1:$I$89,3,0)*0.475*44/12</f>
        <v>24.465117343977582</v>
      </c>
      <c r="EX114" s="21">
        <f>EXP(-LN(2)/2)*EX113+(1-EXP(-LN(2)/2))/(LN(2)/2)*ER114*EU114*VLOOKUP('Données projet'!$B$15,Paramètres!$A$1:$I$89,3,0)*0.475*44/12</f>
        <v>0.34962843594801063</v>
      </c>
      <c r="EY114" s="22">
        <f t="shared" si="75"/>
        <v>39.647107581062478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8.7540000000000013</v>
      </c>
      <c r="FE114" s="12">
        <f>IF('Données projet'!$A$218&gt;35,FE113+FD114-FM113,IF(A114&lt;'Données projet'!$A$218,$FB$205^A114,IF(A114='Données projet'!$A$218,'Données projet'!$B$218,FE113+FD114-FM113)))</f>
        <v>373.67200000000025</v>
      </c>
      <c r="FF114" s="17">
        <f>FE114*VLOOKUP('Données projet'!$B$16,Paramètres!$A$1:$I$89,3,0)*VLOOKUP('Données projet'!$B$16,Paramètres!$A$1:$I$89,5,0)</f>
        <v>402.22054080000021</v>
      </c>
      <c r="FG114" s="13">
        <f t="shared" si="101"/>
        <v>92.2267006422028</v>
      </c>
      <c r="FH114" s="20">
        <f t="shared" si="76"/>
        <v>861.16227884517014</v>
      </c>
      <c r="FI114" s="59">
        <f t="shared" si="77"/>
        <v>1154.4956121785035</v>
      </c>
      <c r="FJ114" s="59">
        <f ca="1">AVERAGE(OFFSET($FI$3,0,0,'Données projet'!$E$16+1,1))-AVERAGE(OFFSET($H$3,0,0,'Données projet'!$E$16+1,1))</f>
        <v>415.8741608506952</v>
      </c>
      <c r="FK114" s="59">
        <f t="shared" si="102"/>
        <v>259.15848913719356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44.173290799809557</v>
      </c>
      <c r="FR114" s="21">
        <f>EXP(-LN(2)/25)*FR113+(1-EXP(-LN(2)/25))/(LN(2)/25)*Calculateur!FM114*Calculateur!FO114*VLOOKUP('Données projet'!$B$16,Paramètres!$A$1:$I$89,3,0)*0.475*44/12</f>
        <v>23.438954590255662</v>
      </c>
      <c r="FS114" s="21">
        <f>EXP(-LN(2)/2)*FS113+(1-EXP(-LN(2)/2))/(LN(2)/2)*FM114*FP114*VLOOKUP('Données projet'!$B$16,Paramètres!$A$1:$I$89,3,0)*0.475*44/12</f>
        <v>3.2777773323475169E-4</v>
      </c>
      <c r="FT114" s="22">
        <f t="shared" si="78"/>
        <v>67.612573167798459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8.7540000000000013</v>
      </c>
      <c r="FZ114" s="12">
        <f>IF('Données projet'!$A$244&gt;35,FZ113+FY114-GH113,IF(A114&lt;'Données projet'!$A$244,$FW$205^A114,IF(A114='Données projet'!$A$244,'Données projet'!$B$244,FZ113+FY114-GH113)))</f>
        <v>373.67200000000025</v>
      </c>
      <c r="GA114" s="17">
        <f>FZ114*VLOOKUP('Données projet'!$B$17,Paramètres!$A$1:$I$89,3,0)*VLOOKUP('Données projet'!$B$17,Paramètres!$A$1:$I$89,5,0)</f>
        <v>320.61057600000026</v>
      </c>
      <c r="GB114" s="13">
        <f t="shared" si="103"/>
        <v>75.480381776148903</v>
      </c>
      <c r="GC114" s="20">
        <f t="shared" si="79"/>
        <v>689.85841812679303</v>
      </c>
      <c r="GD114" s="59">
        <f t="shared" si="80"/>
        <v>983.1917514601264</v>
      </c>
      <c r="GE114" s="59">
        <f ca="1">AVERAGE(OFFSET($GD$3,0,0,'Données projet'!$E$17+1,1))-AVERAGE(OFFSET($H$3,0,0,'Données projet'!$E$17+1,1))</f>
        <v>322.39807389980882</v>
      </c>
      <c r="GF114" s="59">
        <f t="shared" si="104"/>
        <v>202.59410055732792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43.39910437527633</v>
      </c>
      <c r="GM114" s="21">
        <f>EXP(-LN(2)/25)*GM113+(1-EXP(-LN(2)/25))/(LN(2)/25)*Calculateur!GH114*Calculateur!GJ114*VLOOKUP('Données projet'!$B$17,Paramètres!$A$1:$I$89,3,0)*0.475*44/12</f>
        <v>23.028160643948517</v>
      </c>
      <c r="GN114" s="21">
        <f>EXP(-LN(2)/2)*GN113+(1-EXP(-LN(2)/2))/(LN(2)/2)*GH114*GK114*VLOOKUP('Données projet'!$B$17,Paramètres!$A$1:$I$89,3,0)*0.475*44/12</f>
        <v>2.6127210620161304E-4</v>
      </c>
      <c r="GO114" s="21">
        <f t="shared" si="81"/>
        <v>66.427526291331048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41.059199999999883</v>
      </c>
      <c r="D115" s="11">
        <f t="shared" si="86"/>
        <v>12.278959527914715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411.73316126811272</v>
      </c>
      <c r="H115" s="67">
        <f t="shared" si="56"/>
        <v>386.23062784445125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1.5961632016114892E-13</v>
      </c>
      <c r="P115" s="13">
        <f t="shared" si="87"/>
        <v>2.2708641912150958E-12</v>
      </c>
      <c r="Q115" s="20">
        <f t="shared" si="107"/>
        <v>4.2330868906469593E-12</v>
      </c>
      <c r="R115" s="59">
        <f t="shared" si="55"/>
        <v>293.33333333333752</v>
      </c>
      <c r="S115" s="59">
        <f ca="1">AVERAGE(OFFSET($R$3,0,0,'Données projet'!$E$9+1,1))-AVERAGE(OFFSET($H$3,0,0,'Données projet'!$E$9+1,1))</f>
        <v>215.77907571824977</v>
      </c>
      <c r="T115" s="59">
        <f t="shared" si="88"/>
        <v>174.69390149594869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123.65156700907751</v>
      </c>
      <c r="AA115" s="21">
        <f>EXP(-LN(2)/25)*AA114+(1-EXP(-LN(2)/25))/(LN(2)/25)*Calculateur!V115*Calculateur!X115*VLOOKUP('Données projet'!$B$9,Paramètres!$A$1:$I$89,3,0)*0.475*44/12</f>
        <v>38.540604952256011</v>
      </c>
      <c r="AB115" s="21">
        <f>EXP(-LN(2)/2)*AB114+(1-EXP(-LN(2)/2))/(LN(2)/2)*V115*Y115*VLOOKUP('Données projet'!$B$9,Paramètres!$A$1:$I$89,3,0)*0.475*44/12</f>
        <v>11.13265346076688</v>
      </c>
      <c r="AC115" s="22">
        <f t="shared" si="57"/>
        <v>173.32482542210039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-1.0197709343628959E-13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171.701352621833</v>
      </c>
      <c r="AO115" s="59">
        <f t="shared" si="90"/>
        <v>195.58435749168586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37.975601542338893</v>
      </c>
      <c r="AV115" s="21">
        <f>EXP(-LN(2)/25)*AV114+(1-EXP(-LN(2)/25))/(LN(2)/25)*Calculateur!AQ115*Calculateur!AS115*VLOOKUP('Données projet'!$B$10,Paramètres!$A$1:$I$89,3,0)*0.475*44/12</f>
        <v>9.3448845506887288</v>
      </c>
      <c r="AW115" s="21">
        <f>EXP(-LN(2)/2)*AW114+(1-EXP(-LN(2)/2))/(LN(2)/2)*AQ115*AT115*VLOOKUP('Données projet'!$B$10,Paramètres!$A$1:$I$89,3,0)*0.475*44/12</f>
        <v>1.3327278565886225E-6</v>
      </c>
      <c r="AX115" s="21">
        <f t="shared" si="60"/>
        <v>47.320487425755481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-1.1823431123048067E-13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348.29124901999882</v>
      </c>
      <c r="BJ115" s="59">
        <f t="shared" si="92"/>
        <v>284.30034973939053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115.31529143970043</v>
      </c>
      <c r="BQ115" s="21">
        <f>EXP(-LN(2)/25)*BQ114+(1-EXP(-LN(2)/25))/(LN(2)/25)*Calculateur!BL115*Calculateur!BN115*VLOOKUP('Données projet'!$B$11,Paramètres!$A$1:$I$89,3,0)*0.475*44/12</f>
        <v>32.030741182170743</v>
      </c>
      <c r="BR115" s="21">
        <f>EXP(-LN(2)/2)*BR114+(1-EXP(-LN(2)/2))/(LN(2)/2)*BL115*BO115*VLOOKUP('Données projet'!$B$11,Paramètres!$A$1:$I$89,3,0)*0.475*44/12</f>
        <v>1.2873383975054913E-3</v>
      </c>
      <c r="BS115" s="22">
        <f t="shared" si="63"/>
        <v>147.34731996026869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-2.2737367544323206E-13</v>
      </c>
      <c r="BZ115" s="13">
        <f>BY115*VLOOKUP('Données projet'!$B$12,Paramètres!$A$1:$I$89,3,0)*VLOOKUP('Données projet'!$B$12,Paramètres!$A$1:$I$89,5,0)</f>
        <v>-1.3596945791505279E-13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185.82627135915504</v>
      </c>
      <c r="CE115" s="59">
        <f t="shared" si="94"/>
        <v>155.46126452522037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90.789009761643953</v>
      </c>
      <c r="CL115" s="21">
        <f>EXP(-LN(2)/25)*CL114+(1-EXP(-LN(2)/25))/(LN(2)/25)*Calculateur!CG115*Calculateur!CI115*VLOOKUP('Données projet'!$B$12,Paramètres!$A$1:$I$89,3,0)*0.475*44/12</f>
        <v>28.585896374351297</v>
      </c>
      <c r="CM115" s="21">
        <f>EXP(-LN(2)/2)*CM114+(1-EXP(-LN(2)/2))/(LN(2)/2)*CG115*CJ115*VLOOKUP('Données projet'!$B$12,Paramètres!$A$1:$I$89,3,0)*0.475*44/12</f>
        <v>16.931684394126936</v>
      </c>
      <c r="CN115" s="22">
        <f t="shared" si="66"/>
        <v>136.30659053012218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1.1692307692307708</v>
      </c>
      <c r="CT115" s="12">
        <f>IF('Données projet'!$A$140&gt;35,CT114+CS115-DB114,IF(A115&lt;'Données projet'!$A$140,$CQ$205^A115,IF(A115='Données projet'!$A$140,'Données projet'!$B$140,CT114+CS115-DB114)))</f>
        <v>105.10769230769229</v>
      </c>
      <c r="CU115" s="17">
        <f>CT115*VLOOKUP('Données projet'!$B$13,Paramètres!$A$1:$I$89,3,0)*VLOOKUP('Données projet'!$B$13,Paramètres!$A$1:$I$89,5,0)</f>
        <v>121.08406153846151</v>
      </c>
      <c r="CV115" s="13">
        <f t="shared" si="95"/>
        <v>31.927706355023137</v>
      </c>
      <c r="CW115" s="20">
        <f t="shared" si="67"/>
        <v>266.49549574781912</v>
      </c>
      <c r="CX115" s="59">
        <f t="shared" si="68"/>
        <v>559.82882908115243</v>
      </c>
      <c r="CY115" s="59">
        <f ca="1">AVERAGE(OFFSET($CX$3,0,0,'Données projet'!$E$13+1,1))-AVERAGE(OFFSET($H$3,0,0,'Données projet'!$E$13+1,1))</f>
        <v>150.78964413039063</v>
      </c>
      <c r="CZ115" s="59">
        <f t="shared" si="96"/>
        <v>131.90332435966184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7.4798235599353307</v>
      </c>
      <c r="DG115" s="21">
        <f>EXP(-LN(2)/25)*DG114+(1-EXP(-LN(2)/25))/(LN(2)/25)*Calculateur!DB115*Calculateur!DD115*VLOOKUP('Données projet'!$B$13,Paramètres!$A$1:$I$89,3,0)*0.475*44/12</f>
        <v>3.2919531158985529</v>
      </c>
      <c r="DH115" s="21">
        <f>EXP(-LN(2)/2)*DH114+(1-EXP(-LN(2)/2))/(LN(2)/2)*DB115*DE115*VLOOKUP('Données projet'!$B$13,Paramètres!$A$1:$I$89,3,0)*0.475*44/12</f>
        <v>0.78106614957265608</v>
      </c>
      <c r="DI115" s="22">
        <f t="shared" si="69"/>
        <v>11.55284282540654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-1.4210854715202004E-14</v>
      </c>
      <c r="DP115" s="17">
        <f>DO115*VLOOKUP('Données projet'!$B$14,Paramètres!$A$1:$I$89,3,0)*VLOOKUP('Données projet'!$B$14,Paramètres!$A$1:$I$89,5,0)</f>
        <v>-1.4853185348329136E-14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110.10595934547638</v>
      </c>
      <c r="DU115" s="59">
        <f t="shared" si="98"/>
        <v>131.10971921141493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26.585354240481958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26.585354240481958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6.8811111111111085</v>
      </c>
      <c r="EJ115" s="12">
        <f>IF('Données projet'!$A$192&gt;35,EJ114+EI115-ER114,IF(A115&lt;'Données projet'!$A$192,$EG$205^A115,IF(A115='Données projet'!$A$192,'Données projet'!$B$192,EJ114+EI115-ER114)))</f>
        <v>287.01888888888874</v>
      </c>
      <c r="EK115" s="17">
        <f>EJ115*VLOOKUP('Données projet'!$B$15,Paramètres!$A$1:$I$89,3,0)*VLOOKUP('Données projet'!$B$15,Paramètres!$A$1:$I$89,5,0)</f>
        <v>291.03715333333321</v>
      </c>
      <c r="EL115" s="13">
        <f t="shared" si="99"/>
        <v>69.294202523257042</v>
      </c>
      <c r="EM115" s="20">
        <f t="shared" si="73"/>
        <v>627.57711145022802</v>
      </c>
      <c r="EN115" s="59">
        <f t="shared" si="74"/>
        <v>920.91044478356139</v>
      </c>
      <c r="EO115" s="59">
        <f ca="1">AVERAGE(OFFSET($EN$3,0,0,'Données projet'!$E$15+1,1))-AVERAGE(OFFSET($H$3,0,0,'Données projet'!$E$15+1,1))</f>
        <v>420.38735944595965</v>
      </c>
      <c r="EP115" s="59">
        <f t="shared" si="100"/>
        <v>200.0823542414671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14.541508233063986</v>
      </c>
      <c r="EW115" s="21">
        <f>EXP(-LN(2)/25)*EW114+(1-EXP(-LN(2)/25))/(LN(2)/25)*Calculateur!ER115*Calculateur!ET115*VLOOKUP('Données projet'!$B$15,Paramètres!$A$1:$I$89,3,0)*0.475*44/12</f>
        <v>23.79611742364191</v>
      </c>
      <c r="EX115" s="21">
        <f>EXP(-LN(2)/2)*EX114+(1-EXP(-LN(2)/2))/(LN(2)/2)*ER115*EU115*VLOOKUP('Données projet'!$B$15,Paramètres!$A$1:$I$89,3,0)*0.475*44/12</f>
        <v>0.24722463795448482</v>
      </c>
      <c r="EY115" s="22">
        <f t="shared" si="75"/>
        <v>38.584850294660377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8.7540000000000013</v>
      </c>
      <c r="FE115" s="12">
        <f>IF('Données projet'!$A$218&gt;35,FE114+FD115-FM114,IF(A115&lt;'Données projet'!$A$218,$FB$205^A115,IF(A115='Données projet'!$A$218,'Données projet'!$B$218,FE114+FD115-FM114)))</f>
        <v>382.42600000000027</v>
      </c>
      <c r="FF115" s="17">
        <f>FE115*VLOOKUP('Données projet'!$B$16,Paramètres!$A$1:$I$89,3,0)*VLOOKUP('Données projet'!$B$16,Paramètres!$A$1:$I$89,5,0)</f>
        <v>411.64334640000027</v>
      </c>
      <c r="FG115" s="13">
        <f t="shared" si="101"/>
        <v>94.133218725173833</v>
      </c>
      <c r="FH115" s="20">
        <f t="shared" si="76"/>
        <v>880.89418425967813</v>
      </c>
      <c r="FI115" s="59">
        <f t="shared" si="77"/>
        <v>1174.2275175930115</v>
      </c>
      <c r="FJ115" s="59">
        <f ca="1">AVERAGE(OFFSET($FI$3,0,0,'Données projet'!$E$16+1,1))-AVERAGE(OFFSET($H$3,0,0,'Données projet'!$E$16+1,1))</f>
        <v>415.8741608506952</v>
      </c>
      <c r="FK115" s="59">
        <f t="shared" si="102"/>
        <v>259.15848913719356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43.307079510272274</v>
      </c>
      <c r="FR115" s="21">
        <f>EXP(-LN(2)/25)*FR114+(1-EXP(-LN(2)/25))/(LN(2)/25)*Calculateur!FM115*Calculateur!FO115*VLOOKUP('Données projet'!$B$16,Paramètres!$A$1:$I$89,3,0)*0.475*44/12</f>
        <v>22.79801514438407</v>
      </c>
      <c r="FS115" s="21">
        <f>EXP(-LN(2)/2)*FS114+(1-EXP(-LN(2)/2))/(LN(2)/2)*FM115*FP115*VLOOKUP('Données projet'!$B$16,Paramètres!$A$1:$I$89,3,0)*0.475*44/12</f>
        <v>2.3177385789224813E-4</v>
      </c>
      <c r="FT115" s="22">
        <f t="shared" si="78"/>
        <v>66.105326428514232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8.7540000000000013</v>
      </c>
      <c r="FZ115" s="12">
        <f>IF('Données projet'!$A$244&gt;35,FZ114+FY115-GH114,IF(A115&lt;'Données projet'!$A$244,$FW$205^A115,IF(A115='Données projet'!$A$244,'Données projet'!$B$244,FZ114+FY115-GH114)))</f>
        <v>382.42600000000027</v>
      </c>
      <c r="GA115" s="17">
        <f>FZ115*VLOOKUP('Données projet'!$B$17,Paramètres!$A$1:$I$89,3,0)*VLOOKUP('Données projet'!$B$17,Paramètres!$A$1:$I$89,5,0)</f>
        <v>328.12150800000023</v>
      </c>
      <c r="GB115" s="13">
        <f t="shared" si="103"/>
        <v>77.040718552415782</v>
      </c>
      <c r="GC115" s="20">
        <f t="shared" si="79"/>
        <v>705.6575445787912</v>
      </c>
      <c r="GD115" s="59">
        <f t="shared" si="80"/>
        <v>998.99087791212446</v>
      </c>
      <c r="GE115" s="59">
        <f ca="1">AVERAGE(OFFSET($GD$3,0,0,'Données projet'!$E$17+1,1))-AVERAGE(OFFSET($H$3,0,0,'Données projet'!$E$17+1,1))</f>
        <v>322.39807389980882</v>
      </c>
      <c r="GF115" s="59">
        <f t="shared" si="104"/>
        <v>202.59410055732792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42.548074409317053</v>
      </c>
      <c r="GM115" s="21">
        <f>EXP(-LN(2)/25)*GM114+(1-EXP(-LN(2)/25))/(LN(2)/25)*Calculateur!GH115*Calculateur!GJ115*VLOOKUP('Données projet'!$B$17,Paramètres!$A$1:$I$89,3,0)*0.475*44/12</f>
        <v>22.398454380141409</v>
      </c>
      <c r="GN115" s="21">
        <f>EXP(-LN(2)/2)*GN114+(1-EXP(-LN(2)/2))/(LN(2)/2)*GH115*GK115*VLOOKUP('Données projet'!$B$17,Paramètres!$A$1:$I$89,3,0)*0.475*44/12</f>
        <v>1.847472780300524E-4</v>
      </c>
      <c r="GO115" s="21">
        <f t="shared" si="81"/>
        <v>64.946713536736482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41.425799999999882</v>
      </c>
      <c r="D116" s="11">
        <f t="shared" si="86"/>
        <v>12.375781575418815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415.31045426638997</v>
      </c>
      <c r="H116" s="67">
        <f t="shared" si="56"/>
        <v>387.03775457718751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1.5961632016114892E-13</v>
      </c>
      <c r="P116" s="13">
        <f t="shared" si="87"/>
        <v>2.2708641912150958E-12</v>
      </c>
      <c r="Q116" s="20">
        <f t="shared" si="107"/>
        <v>4.2330868906469593E-12</v>
      </c>
      <c r="R116" s="59">
        <f t="shared" si="55"/>
        <v>293.33333333333752</v>
      </c>
      <c r="S116" s="59">
        <f ca="1">AVERAGE(OFFSET($R$3,0,0,'Données projet'!$E$9+1,1))-AVERAGE(OFFSET($H$3,0,0,'Données projet'!$E$9+1,1))</f>
        <v>215.77907571824977</v>
      </c>
      <c r="T116" s="59">
        <f t="shared" si="88"/>
        <v>174.69390149594869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121.22683520003827</v>
      </c>
      <c r="AA116" s="21">
        <f>EXP(-LN(2)/25)*AA115+(1-EXP(-LN(2)/25))/(LN(2)/25)*Calculateur!V116*Calculateur!X116*VLOOKUP('Données projet'!$B$9,Paramètres!$A$1:$I$89,3,0)*0.475*44/12</f>
        <v>37.486710083074243</v>
      </c>
      <c r="AB116" s="21">
        <f>EXP(-LN(2)/2)*AB115+(1-EXP(-LN(2)/2))/(LN(2)/2)*V116*Y116*VLOOKUP('Données projet'!$B$9,Paramètres!$A$1:$I$89,3,0)*0.475*44/12</f>
        <v>7.8719747547081482</v>
      </c>
      <c r="AC116" s="22">
        <f t="shared" si="57"/>
        <v>166.58552003782069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-1.0197709343628959E-13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171.701352621833</v>
      </c>
      <c r="AO116" s="59">
        <f t="shared" si="90"/>
        <v>195.58435749168586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37.230923158923432</v>
      </c>
      <c r="AV116" s="21">
        <f>EXP(-LN(2)/25)*AV115+(1-EXP(-LN(2)/25))/(LN(2)/25)*Calculateur!AQ116*Calculateur!AS116*VLOOKUP('Données projet'!$B$10,Paramètres!$A$1:$I$89,3,0)*0.475*44/12</f>
        <v>9.0893481912240244</v>
      </c>
      <c r="AW116" s="21">
        <f>EXP(-LN(2)/2)*AW115+(1-EXP(-LN(2)/2))/(LN(2)/2)*AQ116*AT116*VLOOKUP('Données projet'!$B$10,Paramètres!$A$1:$I$89,3,0)*0.475*44/12</f>
        <v>9.4238090487002761E-7</v>
      </c>
      <c r="AX116" s="21">
        <f t="shared" si="60"/>
        <v>46.320272292528365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-1.1823431123048067E-13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348.29124901999882</v>
      </c>
      <c r="BJ116" s="59">
        <f t="shared" si="92"/>
        <v>284.30034973939053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113.05402890995065</v>
      </c>
      <c r="BQ116" s="21">
        <f>EXP(-LN(2)/25)*BQ115+(1-EXP(-LN(2)/25))/(LN(2)/25)*Calculateur!BL116*Calculateur!BN116*VLOOKUP('Données projet'!$B$11,Paramètres!$A$1:$I$89,3,0)*0.475*44/12</f>
        <v>31.154858880120813</v>
      </c>
      <c r="BR116" s="21">
        <f>EXP(-LN(2)/2)*BR115+(1-EXP(-LN(2)/2))/(LN(2)/2)*BL116*BO116*VLOOKUP('Données projet'!$B$11,Paramètres!$A$1:$I$89,3,0)*0.475*44/12</f>
        <v>9.1028571055795616E-4</v>
      </c>
      <c r="BS116" s="22">
        <f t="shared" si="63"/>
        <v>144.209798075782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-2.2737367544323206E-13</v>
      </c>
      <c r="BZ116" s="13">
        <f>BY116*VLOOKUP('Données projet'!$B$12,Paramètres!$A$1:$I$89,3,0)*VLOOKUP('Données projet'!$B$12,Paramètres!$A$1:$I$89,5,0)</f>
        <v>-1.3596945791505279E-13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185.82627135915504</v>
      </c>
      <c r="CE116" s="59">
        <f t="shared" si="94"/>
        <v>155.46126452522037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89.008692656046165</v>
      </c>
      <c r="CL116" s="21">
        <f>EXP(-LN(2)/25)*CL115+(1-EXP(-LN(2)/25))/(LN(2)/25)*Calculateur!CG116*Calculateur!CI116*VLOOKUP('Données projet'!$B$12,Paramètres!$A$1:$I$89,3,0)*0.475*44/12</f>
        <v>27.804213534727705</v>
      </c>
      <c r="CM116" s="21">
        <f>EXP(-LN(2)/2)*CM115+(1-EXP(-LN(2)/2))/(LN(2)/2)*CG116*CJ116*VLOOKUP('Données projet'!$B$12,Paramètres!$A$1:$I$89,3,0)*0.475*44/12</f>
        <v>11.972508851997597</v>
      </c>
      <c r="CN116" s="22">
        <f t="shared" si="66"/>
        <v>128.78541504277146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1.1692307692307708</v>
      </c>
      <c r="CT116" s="12">
        <f>IF('Données projet'!$A$140&gt;35,CT115+CS116-DB115,IF(A116&lt;'Données projet'!$A$140,$CQ$205^A116,IF(A116='Données projet'!$A$140,'Données projet'!$B$140,CT115+CS116-DB115)))</f>
        <v>106.27692307692305</v>
      </c>
      <c r="CU116" s="17">
        <f>CT116*VLOOKUP('Données projet'!$B$13,Paramètres!$A$1:$I$89,3,0)*VLOOKUP('Données projet'!$B$13,Paramètres!$A$1:$I$89,5,0)</f>
        <v>122.43101538461535</v>
      </c>
      <c r="CV116" s="13">
        <f t="shared" si="95"/>
        <v>32.241330186739141</v>
      </c>
      <c r="CW116" s="20">
        <f t="shared" si="67"/>
        <v>269.38766853677572</v>
      </c>
      <c r="CX116" s="59">
        <f t="shared" si="68"/>
        <v>562.72100187010903</v>
      </c>
      <c r="CY116" s="59">
        <f ca="1">AVERAGE(OFFSET($CX$3,0,0,'Données projet'!$E$13+1,1))-AVERAGE(OFFSET($H$3,0,0,'Données projet'!$E$13+1,1))</f>
        <v>150.78964413039063</v>
      </c>
      <c r="CZ116" s="59">
        <f t="shared" si="96"/>
        <v>131.90332435966184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7.3331487821668864</v>
      </c>
      <c r="DG116" s="21">
        <f>EXP(-LN(2)/25)*DG115+(1-EXP(-LN(2)/25))/(LN(2)/25)*Calculateur!DB116*Calculateur!DD116*VLOOKUP('Données projet'!$B$13,Paramètres!$A$1:$I$89,3,0)*0.475*44/12</f>
        <v>3.2019344848280165</v>
      </c>
      <c r="DH116" s="21">
        <f>EXP(-LN(2)/2)*DH115+(1-EXP(-LN(2)/2))/(LN(2)/2)*DB116*DE116*VLOOKUP('Données projet'!$B$13,Paramètres!$A$1:$I$89,3,0)*0.475*44/12</f>
        <v>0.55229717091809138</v>
      </c>
      <c r="DI116" s="22">
        <f t="shared" si="69"/>
        <v>11.087380437912994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-1.4210854715202004E-14</v>
      </c>
      <c r="DP116" s="17">
        <f>DO116*VLOOKUP('Données projet'!$B$14,Paramètres!$A$1:$I$89,3,0)*VLOOKUP('Données projet'!$B$14,Paramètres!$A$1:$I$89,5,0)</f>
        <v>-1.4853185348329136E-14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110.10595934547638</v>
      </c>
      <c r="DU116" s="59">
        <f t="shared" si="98"/>
        <v>131.10971921141493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25.858376330712961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25.858376330712961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293.89999999999998</v>
      </c>
      <c r="EH116" s="12">
        <f>VLOOKUP(A116,'Données projet'!$A$191:$I$211,9,0)</f>
        <v>6.8811111111111085</v>
      </c>
      <c r="EI116" s="12">
        <f t="array" ref="EI116">INDEX(EH:EH,MIN(IF(ISNUMBER(EH116:EH312),ROW(EH116:EH312),"")))</f>
        <v>6.8811111111111085</v>
      </c>
      <c r="EJ116" s="12">
        <f>IF('Données projet'!$A$192&gt;35,EJ115+EI116-ER115,IF(A116&lt;'Données projet'!$A$192,$EG$205^A116,IF(A116='Données projet'!$A$192,'Données projet'!$B$192,EJ115+EI116-ER115)))</f>
        <v>293.89999999999986</v>
      </c>
      <c r="EK116" s="17">
        <f>EJ116*VLOOKUP('Données projet'!$B$15,Paramètres!$A$1:$I$89,3,0)*VLOOKUP('Données projet'!$B$15,Paramètres!$A$1:$I$89,5,0)</f>
        <v>298.01459999999986</v>
      </c>
      <c r="EL116" s="13">
        <f t="shared" si="99"/>
        <v>70.760086666473185</v>
      </c>
      <c r="EM116" s="20">
        <f t="shared" si="73"/>
        <v>642.2825792774405</v>
      </c>
      <c r="EN116" s="59">
        <f t="shared" si="74"/>
        <v>935.61591261077388</v>
      </c>
      <c r="EO116" s="59">
        <f ca="1">AVERAGE(OFFSET($EN$3,0,0,'Données projet'!$E$15+1,1))-AVERAGE(OFFSET($H$3,0,0,'Données projet'!$E$15+1,1))</f>
        <v>420.38735944595965</v>
      </c>
      <c r="EP116" s="59">
        <f t="shared" si="100"/>
        <v>200.0823542414671</v>
      </c>
      <c r="EQ116" s="15">
        <f>IF(ISNA(VLOOKUP(A116,'Données projet'!$A$191:$I$211,3,0)),0,VLOOKUP(A116,'Données projet'!$A$191:$I$211,3,0))</f>
        <v>7</v>
      </c>
      <c r="ER116" s="15">
        <f>IF(ISNA(VLOOKUP(A116,'Données projet'!$A$191:$I$211,4,0)),0,VLOOKUP(A116,'Données projet'!$A$191:$I$211,4,0))</f>
        <v>41.639999999999986</v>
      </c>
      <c r="ES116" s="16">
        <f>IF(ISNA(VLOOKUP(A116,'Données projet'!$A$191:$I$211,5,0)),0%,VLOOKUP(A116,'Données projet'!$A$191:$I$211,5,0)*VLOOKUP('Données projet'!$B$15,Paramètres!$A$1:$I$89,7,0))</f>
        <v>0.15049999999999999</v>
      </c>
      <c r="ET116" s="16">
        <f>IF(ISNA(VLOOKUP(A116,'Données projet'!$A$191:$I$211,6,0)),0%,VLOOKUP(A116,'Données projet'!$A$191:$I$211,6,0)*VLOOKUP('Données projet'!$B$15,Paramètres!$A$1:$I$89,7,0))</f>
        <v>8.6000000000000007E-2</v>
      </c>
      <c r="EU116" s="16">
        <f>IF(ISNA(VLOOKUP(A116,'Données projet'!$A$191:$I$211,7,0)),0%,VLOOKUP(A116,'Données projet'!$A$191:$I$211,7,0))</f>
        <v>0.1</v>
      </c>
      <c r="EV116" s="21">
        <f>EXP(-LN(2)/35)*EV115+(1-EXP(-LN(2)/35))/(LN(2)/35)*ER116*ES116*VLOOKUP('Données projet'!$B$15,Paramètres!$A$1:$I$89,3,0)*0.475*44/12</f>
        <v>21.281130984296624</v>
      </c>
      <c r="EW116" s="21">
        <f>EXP(-LN(2)/25)*EW115+(1-EXP(-LN(2)/25))/(LN(2)/25)*Calculateur!ER116*Calculateur!ET116*VLOOKUP('Données projet'!$B$15,Paramètres!$A$1:$I$89,3,0)*0.475*44/12</f>
        <v>27.143761998936192</v>
      </c>
      <c r="EX116" s="21">
        <f>EXP(-LN(2)/2)*EX115+(1-EXP(-LN(2)/2))/(LN(2)/2)*ER116*EU116*VLOOKUP('Données projet'!$B$15,Paramètres!$A$1:$I$89,3,0)*0.475*44/12</f>
        <v>4.1586641354046767</v>
      </c>
      <c r="EY116" s="22">
        <f t="shared" si="75"/>
        <v>52.583557118637493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>
        <f>VLOOKUP(A116,'Données projet'!$A$217:$I$237,2,0)</f>
        <v>391.18</v>
      </c>
      <c r="FC116" s="12">
        <f>VLOOKUP(A116,'Données projet'!$A$217:$I$237,9,0)</f>
        <v>8.7540000000000013</v>
      </c>
      <c r="FD116" s="12">
        <f t="array" ref="FD116">INDEX(FC:FC,MIN(IF(ISNUMBER(FC116:FC312),ROW(FC116:FC312),"")))</f>
        <v>8.7540000000000013</v>
      </c>
      <c r="FE116" s="12">
        <f>IF('Données projet'!$A$218&gt;35,FE115+FD116-FM115,IF(A116&lt;'Données projet'!$A$218,$FB$205^A116,IF(A116='Données projet'!$A$218,'Données projet'!$B$218,FE115+FD116-FM115)))</f>
        <v>391.18000000000029</v>
      </c>
      <c r="FF116" s="17">
        <f>FE116*VLOOKUP('Données projet'!$B$16,Paramètres!$A$1:$I$89,3,0)*VLOOKUP('Données projet'!$B$16,Paramètres!$A$1:$I$89,5,0)</f>
        <v>421.06615200000027</v>
      </c>
      <c r="FG116" s="13">
        <f t="shared" si="101"/>
        <v>96.034663226272244</v>
      </c>
      <c r="FH116" s="20">
        <f t="shared" si="76"/>
        <v>900.61725318575793</v>
      </c>
      <c r="FI116" s="59">
        <f t="shared" si="77"/>
        <v>1193.9505865190913</v>
      </c>
      <c r="FJ116" s="59">
        <f ca="1">AVERAGE(OFFSET($FI$3,0,0,'Données projet'!$E$16+1,1))-AVERAGE(OFFSET($H$3,0,0,'Données projet'!$E$16+1,1))</f>
        <v>415.8741608506952</v>
      </c>
      <c r="FK116" s="59">
        <f t="shared" si="102"/>
        <v>259.15848913719356</v>
      </c>
      <c r="FL116" s="15">
        <f>IF(ISNA(VLOOKUP(A116,'Données projet'!$A$217:$I$237,3,0)),0,VLOOKUP(A116,'Données projet'!$A$217:$I$237,3,0))</f>
        <v>10</v>
      </c>
      <c r="FM116" s="15">
        <f>IF(ISNA(VLOOKUP(A116,'Données projet'!$A$217:$I$237,4,0)),0,VLOOKUP(A116,'Données projet'!$A$217:$I$237,4,0))</f>
        <v>68.670000000000016</v>
      </c>
      <c r="FN116" s="16">
        <f>IF(ISNA(VLOOKUP(A116,'Données projet'!$A$217:$I$237,5,0)),0%,VLOOKUP(A116,'Données projet'!$A$217:$I$237,5,0)*VLOOKUP('Données projet'!$B$16,Paramètres!$A$1:$I$89,7,0))</f>
        <v>0.215</v>
      </c>
      <c r="FO116" s="16">
        <f>IF(ISNA(VLOOKUP(A116,'Données projet'!$A$217:$I$237,6,0)),0%,VLOOKUP(A116,'Données projet'!$A$217:$I$237,6,0)*VLOOKUP('Données projet'!$B$16,Paramètres!$A$1:$I$89,7,0))</f>
        <v>8.6000000000000007E-2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60.026015257440037</v>
      </c>
      <c r="FR116" s="21">
        <f>EXP(-LN(2)/25)*FR115+(1-EXP(-LN(2)/25))/(LN(2)/25)*Calculateur!FM116*Calculateur!FO116*VLOOKUP('Données projet'!$B$16,Paramètres!$A$1:$I$89,3,0)*0.475*44/12</f>
        <v>29.174197668231898</v>
      </c>
      <c r="FS116" s="21">
        <f>EXP(-LN(2)/2)*FS115+(1-EXP(-LN(2)/2))/(LN(2)/2)*FM116*FP116*VLOOKUP('Données projet'!$B$16,Paramètres!$A$1:$I$89,3,0)*0.475*44/12</f>
        <v>1.6388886661737587E-4</v>
      </c>
      <c r="FT116" s="22">
        <f t="shared" si="78"/>
        <v>89.200376814538558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391.18</v>
      </c>
      <c r="FX116" s="12">
        <f>VLOOKUP(A116,'Données projet'!$A$243:$I$263,9,0)</f>
        <v>8.7540000000000013</v>
      </c>
      <c r="FY116" s="12">
        <f t="array" ref="FY116">INDEX(FX:FX,MIN(IF(ISNUMBER(FX116:FX312),ROW(FX116:FX312),"")))</f>
        <v>8.7540000000000013</v>
      </c>
      <c r="FZ116" s="12">
        <f>IF('Données projet'!$A$244&gt;35,FZ115+FY116-GH115,IF(A116&lt;'Données projet'!$A$244,$FW$205^A116,IF(A116='Données projet'!$A$244,'Données projet'!$B$244,FZ115+FY116-GH115)))</f>
        <v>391.18000000000029</v>
      </c>
      <c r="GA116" s="17">
        <f>FZ116*VLOOKUP('Données projet'!$B$17,Paramètres!$A$1:$I$89,3,0)*VLOOKUP('Données projet'!$B$17,Paramètres!$A$1:$I$89,5,0)</f>
        <v>335.63244000000026</v>
      </c>
      <c r="GB116" s="13">
        <f t="shared" si="103"/>
        <v>78.59690299650498</v>
      </c>
      <c r="GC116" s="20">
        <f t="shared" si="79"/>
        <v>721.44943905224648</v>
      </c>
      <c r="GD116" s="59">
        <f t="shared" si="80"/>
        <v>1014.7827723855798</v>
      </c>
      <c r="GE116" s="59">
        <f ca="1">AVERAGE(OFFSET($GD$3,0,0,'Données projet'!$E$17+1,1))-AVERAGE(OFFSET($H$3,0,0,'Données projet'!$E$17+1,1))</f>
        <v>322.39807389980882</v>
      </c>
      <c r="GF116" s="59">
        <f t="shared" si="104"/>
        <v>202.59410055732792</v>
      </c>
      <c r="GG116" s="15">
        <f>IF(ISNA(VLOOKUP(A116,'Données projet'!$A$243:$I$263,3,0)),0,VLOOKUP(A116,'Données projet'!$A$243:$I$263,3,0))</f>
        <v>10</v>
      </c>
      <c r="GH116" s="15">
        <f>IF(ISNA(VLOOKUP(A116,'Données projet'!$A$243:$I$263,4,0)),0,VLOOKUP(A116,'Données projet'!$A$243:$I$263,4,0))</f>
        <v>68.670000000000016</v>
      </c>
      <c r="GI116" s="16">
        <f>IF(ISNA(VLOOKUP(A116,'Données projet'!$A$243:$I$263,5,0)),0%,VLOOKUP(A116,'Données projet'!$A$243:$I$263,5,0)*VLOOKUP('Données projet'!$B$17,Paramètres!$A$1:$I$89,7,0))</f>
        <v>0.26500000000000001</v>
      </c>
      <c r="GJ116" s="16">
        <f>IF(ISNA(VLOOKUP(A116,'Données projet'!$A$243:$I$263,6,0)),0%,VLOOKUP(A116,'Données projet'!$A$243:$I$263,6,0)*VLOOKUP('Données projet'!$B$17,Paramètres!$A$1:$I$89,7,0))</f>
        <v>0.10600000000000001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58.97399207126314</v>
      </c>
      <c r="GM116" s="21">
        <f>EXP(-LN(2)/25)*GM115+(1-EXP(-LN(2)/25))/(LN(2)/25)*Calculateur!GH116*Calculateur!GJ116*VLOOKUP('Données projet'!$B$17,Paramètres!$A$1:$I$89,3,0)*0.475*44/12</f>
        <v>28.662887159722274</v>
      </c>
      <c r="GN116" s="21">
        <f>EXP(-LN(2)/2)*GN115+(1-EXP(-LN(2)/2))/(LN(2)/2)*GH116*GK116*VLOOKUP('Données projet'!$B$17,Paramètres!$A$1:$I$89,3,0)*0.475*44/12</f>
        <v>1.3063605310080652E-4</v>
      </c>
      <c r="GO116" s="21">
        <f t="shared" si="81"/>
        <v>87.637009867038515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41.79239999999988</v>
      </c>
      <c r="D117" s="11">
        <f t="shared" si="86"/>
        <v>12.472503937619933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418.88697776408281</v>
      </c>
      <c r="H117" s="67">
        <f t="shared" si="56"/>
        <v>387.84470769135447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1.5961632016114892E-13</v>
      </c>
      <c r="P117" s="13">
        <f t="shared" si="87"/>
        <v>2.2708641912150958E-12</v>
      </c>
      <c r="Q117" s="20">
        <f t="shared" si="107"/>
        <v>4.2330868906469593E-12</v>
      </c>
      <c r="R117" s="59">
        <f t="shared" si="55"/>
        <v>293.33333333333752</v>
      </c>
      <c r="S117" s="59">
        <f ca="1">AVERAGE(OFFSET($R$3,0,0,'Données projet'!$E$9+1,1))-AVERAGE(OFFSET($H$3,0,0,'Données projet'!$E$9+1,1))</f>
        <v>215.77907571824977</v>
      </c>
      <c r="T117" s="59">
        <f t="shared" si="88"/>
        <v>174.69390149594869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118.84965090283391</v>
      </c>
      <c r="AA117" s="21">
        <f>EXP(-LN(2)/25)*AA116+(1-EXP(-LN(2)/25))/(LN(2)/25)*Calculateur!V117*Calculateur!X117*VLOOKUP('Données projet'!$B$9,Paramètres!$A$1:$I$89,3,0)*0.475*44/12</f>
        <v>36.461634024512172</v>
      </c>
      <c r="AB117" s="21">
        <f>EXP(-LN(2)/2)*AB116+(1-EXP(-LN(2)/2))/(LN(2)/2)*V117*Y117*VLOOKUP('Données projet'!$B$9,Paramètres!$A$1:$I$89,3,0)*0.475*44/12</f>
        <v>5.5663267303834409</v>
      </c>
      <c r="AC117" s="22">
        <f t="shared" si="57"/>
        <v>160.87761165772955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-1.0197709343628959E-13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171.701352621833</v>
      </c>
      <c r="AO117" s="59">
        <f t="shared" si="90"/>
        <v>195.58435749168586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36.500847464397779</v>
      </c>
      <c r="AV117" s="21">
        <f>EXP(-LN(2)/25)*AV116+(1-EXP(-LN(2)/25))/(LN(2)/25)*Calculateur!AQ117*Calculateur!AS117*VLOOKUP('Données projet'!$B$10,Paramètres!$A$1:$I$89,3,0)*0.475*44/12</f>
        <v>8.8407994869469562</v>
      </c>
      <c r="AW117" s="21">
        <f>EXP(-LN(2)/2)*AW116+(1-EXP(-LN(2)/2))/(LN(2)/2)*AQ117*AT117*VLOOKUP('Données projet'!$B$10,Paramètres!$A$1:$I$89,3,0)*0.475*44/12</f>
        <v>6.6636392829431134E-7</v>
      </c>
      <c r="AX117" s="21">
        <f t="shared" si="60"/>
        <v>45.341647617708666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-1.1823431123048067E-13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348.29124901999882</v>
      </c>
      <c r="BJ117" s="59">
        <f t="shared" si="92"/>
        <v>284.30034973939053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110.83710835917529</v>
      </c>
      <c r="BQ117" s="21">
        <f>EXP(-LN(2)/25)*BQ116+(1-EXP(-LN(2)/25))/(LN(2)/25)*Calculateur!BL117*Calculateur!BN117*VLOOKUP('Données projet'!$B$11,Paramètres!$A$1:$I$89,3,0)*0.475*44/12</f>
        <v>30.302927625681086</v>
      </c>
      <c r="BR117" s="21">
        <f>EXP(-LN(2)/2)*BR116+(1-EXP(-LN(2)/2))/(LN(2)/2)*BL117*BO117*VLOOKUP('Données projet'!$B$11,Paramètres!$A$1:$I$89,3,0)*0.475*44/12</f>
        <v>6.4366919875274563E-4</v>
      </c>
      <c r="BS117" s="22">
        <f t="shared" si="63"/>
        <v>141.14067965405513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-2.2737367544323206E-13</v>
      </c>
      <c r="BZ117" s="13">
        <f>BY117*VLOOKUP('Données projet'!$B$12,Paramètres!$A$1:$I$89,3,0)*VLOOKUP('Données projet'!$B$12,Paramètres!$A$1:$I$89,5,0)</f>
        <v>-1.3596945791505279E-13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185.82627135915504</v>
      </c>
      <c r="CE117" s="59">
        <f t="shared" si="94"/>
        <v>155.46126452522037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87.263286483002929</v>
      </c>
      <c r="CL117" s="21">
        <f>EXP(-LN(2)/25)*CL116+(1-EXP(-LN(2)/25))/(LN(2)/25)*Calculateur!CG117*Calculateur!CI117*VLOOKUP('Données projet'!$B$12,Paramètres!$A$1:$I$89,3,0)*0.475*44/12</f>
        <v>27.043905853460533</v>
      </c>
      <c r="CM117" s="21">
        <f>EXP(-LN(2)/2)*CM116+(1-EXP(-LN(2)/2))/(LN(2)/2)*CG117*CJ117*VLOOKUP('Données projet'!$B$12,Paramètres!$A$1:$I$89,3,0)*0.475*44/12</f>
        <v>8.4658421970634681</v>
      </c>
      <c r="CN117" s="22">
        <f t="shared" si="66"/>
        <v>122.77303453352692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1.1692307692307708</v>
      </c>
      <c r="CT117" s="12">
        <f>IF('Données projet'!$A$140&gt;35,CT116+CS117-DB116,IF(A117&lt;'Données projet'!$A$140,$CQ$205^A117,IF(A117='Données projet'!$A$140,'Données projet'!$B$140,CT116+CS117-DB116)))</f>
        <v>107.44615384615382</v>
      </c>
      <c r="CU117" s="17">
        <f>CT117*VLOOKUP('Données projet'!$B$13,Paramètres!$A$1:$I$89,3,0)*VLOOKUP('Données projet'!$B$13,Paramètres!$A$1:$I$89,5,0)</f>
        <v>123.7779692307692</v>
      </c>
      <c r="CV117" s="13">
        <f t="shared" si="95"/>
        <v>32.554552639575824</v>
      </c>
      <c r="CW117" s="20">
        <f t="shared" si="67"/>
        <v>272.27914225751755</v>
      </c>
      <c r="CX117" s="59">
        <f t="shared" si="68"/>
        <v>565.61247559085086</v>
      </c>
      <c r="CY117" s="59">
        <f ca="1">AVERAGE(OFFSET($CX$3,0,0,'Données projet'!$E$13+1,1))-AVERAGE(OFFSET($H$3,0,0,'Données projet'!$E$13+1,1))</f>
        <v>150.78964413039063</v>
      </c>
      <c r="CZ117" s="59">
        <f t="shared" si="96"/>
        <v>131.90332435966184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7.1893502073277009</v>
      </c>
      <c r="DG117" s="21">
        <f>EXP(-LN(2)/25)*DG116+(1-EXP(-LN(2)/25))/(LN(2)/25)*Calculateur!DB117*Calculateur!DD117*VLOOKUP('Données projet'!$B$13,Paramètres!$A$1:$I$89,3,0)*0.475*44/12</f>
        <v>3.1143774179579777</v>
      </c>
      <c r="DH117" s="21">
        <f>EXP(-LN(2)/2)*DH116+(1-EXP(-LN(2)/2))/(LN(2)/2)*DB117*DE117*VLOOKUP('Données projet'!$B$13,Paramètres!$A$1:$I$89,3,0)*0.475*44/12</f>
        <v>0.39053307478632809</v>
      </c>
      <c r="DI117" s="22">
        <f t="shared" si="69"/>
        <v>10.694260700072006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-1.4210854715202004E-14</v>
      </c>
      <c r="DP117" s="17">
        <f>DO117*VLOOKUP('Données projet'!$B$14,Paramètres!$A$1:$I$89,3,0)*VLOOKUP('Données projet'!$B$14,Paramètres!$A$1:$I$89,5,0)</f>
        <v>-1.4853185348329136E-14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110.10595934547638</v>
      </c>
      <c r="DU117" s="59">
        <f t="shared" si="98"/>
        <v>131.10971921141493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25.151277670116706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25.151277670116706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7.0011111111111104</v>
      </c>
      <c r="EJ117" s="12">
        <f>IF('Données projet'!$A$192&gt;35,EJ116+EI117-ER116,IF(A117&lt;'Données projet'!$A$192,$EG$205^A117,IF(A117='Données projet'!$A$192,'Données projet'!$B$192,EJ116+EI117-ER116)))</f>
        <v>259.26111111111101</v>
      </c>
      <c r="EK117" s="17">
        <f>EJ117*VLOOKUP('Données projet'!$B$15,Paramètres!$A$1:$I$89,3,0)*VLOOKUP('Données projet'!$B$15,Paramètres!$A$1:$I$89,5,0)</f>
        <v>262.89076666666659</v>
      </c>
      <c r="EL117" s="13">
        <f t="shared" si="99"/>
        <v>63.338175499546331</v>
      </c>
      <c r="EM117" s="20">
        <f t="shared" si="73"/>
        <v>568.18207427282073</v>
      </c>
      <c r="EN117" s="59">
        <f t="shared" si="74"/>
        <v>861.51540760615399</v>
      </c>
      <c r="EO117" s="59">
        <f ca="1">AVERAGE(OFFSET($EN$3,0,0,'Données projet'!$E$15+1,1))-AVERAGE(OFFSET($H$3,0,0,'Données projet'!$E$15+1,1))</f>
        <v>420.38735944595965</v>
      </c>
      <c r="EP117" s="59">
        <f t="shared" si="100"/>
        <v>200.0823542414671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20.863820985902777</v>
      </c>
      <c r="EW117" s="21">
        <f>EXP(-LN(2)/25)*EW116+(1-EXP(-LN(2)/25))/(LN(2)/25)*Calculateur!ER117*Calculateur!ET117*VLOOKUP('Données projet'!$B$15,Paramètres!$A$1:$I$89,3,0)*0.475*44/12</f>
        <v>26.401514399646878</v>
      </c>
      <c r="EX117" s="21">
        <f>EXP(-LN(2)/2)*EX116+(1-EXP(-LN(2)/2))/(LN(2)/2)*ER117*EU117*VLOOKUP('Données projet'!$B$15,Paramètres!$A$1:$I$89,3,0)*0.475*44/12</f>
        <v>2.9406196108219378</v>
      </c>
      <c r="EY117" s="22">
        <f t="shared" si="75"/>
        <v>50.205954996371595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8.7019999999999982</v>
      </c>
      <c r="FE117" s="12">
        <f>IF('Données projet'!$A$218&gt;35,FE116+FD117-FM116,IF(A117&lt;'Données projet'!$A$218,$FB$205^A117,IF(A117='Données projet'!$A$218,'Données projet'!$B$218,FE116+FD117-FM116)))</f>
        <v>331.21200000000027</v>
      </c>
      <c r="FF117" s="17">
        <f>FE117*VLOOKUP('Données projet'!$B$16,Paramètres!$A$1:$I$89,3,0)*VLOOKUP('Données projet'!$B$16,Paramètres!$A$1:$I$89,5,0)</f>
        <v>356.51659680000029</v>
      </c>
      <c r="FG117" s="13">
        <f t="shared" si="101"/>
        <v>82.902902138726972</v>
      </c>
      <c r="FH117" s="20">
        <f t="shared" si="76"/>
        <v>765.32229398494985</v>
      </c>
      <c r="FI117" s="59">
        <f t="shared" si="77"/>
        <v>1058.6556273182832</v>
      </c>
      <c r="FJ117" s="59">
        <f ca="1">AVERAGE(OFFSET($FI$3,0,0,'Données projet'!$E$16+1,1))-AVERAGE(OFFSET($H$3,0,0,'Données projet'!$E$16+1,1))</f>
        <v>415.8741608506952</v>
      </c>
      <c r="FK117" s="59">
        <f t="shared" si="102"/>
        <v>259.15848913719356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58.848941710495787</v>
      </c>
      <c r="FR117" s="21">
        <f>EXP(-LN(2)/25)*FR116+(1-EXP(-LN(2)/25))/(LN(2)/25)*Calculateur!FM117*Calculateur!FO117*VLOOKUP('Données projet'!$B$16,Paramètres!$A$1:$I$89,3,0)*0.475*44/12</f>
        <v>28.376427698789719</v>
      </c>
      <c r="FS117" s="21">
        <f>EXP(-LN(2)/2)*FS116+(1-EXP(-LN(2)/2))/(LN(2)/2)*FM117*FP117*VLOOKUP('Données projet'!$B$16,Paramètres!$A$1:$I$89,3,0)*0.475*44/12</f>
        <v>1.1588692894612408E-4</v>
      </c>
      <c r="FT117" s="22">
        <f t="shared" si="78"/>
        <v>87.225485296214458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8.7019999999999982</v>
      </c>
      <c r="FZ117" s="12">
        <f>IF('Données projet'!$A$244&gt;35,FZ116+FY117-GH116,IF(A117&lt;'Données projet'!$A$244,$FW$205^A117,IF(A117='Données projet'!$A$244,'Données projet'!$B$244,FZ116+FY117-GH116)))</f>
        <v>331.21200000000027</v>
      </c>
      <c r="GA117" s="17">
        <f>FZ117*VLOOKUP('Données projet'!$B$17,Paramètres!$A$1:$I$89,3,0)*VLOOKUP('Données projet'!$B$17,Paramètres!$A$1:$I$89,5,0)</f>
        <v>284.17989600000027</v>
      </c>
      <c r="GB117" s="13">
        <f t="shared" si="103"/>
        <v>67.849577836013154</v>
      </c>
      <c r="GC117" s="20">
        <f t="shared" si="79"/>
        <v>613.11800026439005</v>
      </c>
      <c r="GD117" s="59">
        <f t="shared" si="80"/>
        <v>906.45133359772331</v>
      </c>
      <c r="GE117" s="59">
        <f ca="1">AVERAGE(OFFSET($GD$3,0,0,'Données projet'!$E$17+1,1))-AVERAGE(OFFSET($H$3,0,0,'Données projet'!$E$17+1,1))</f>
        <v>322.39807389980882</v>
      </c>
      <c r="GF117" s="59">
        <f t="shared" si="104"/>
        <v>202.59410055732792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57.817548057329034</v>
      </c>
      <c r="GM117" s="21">
        <f>EXP(-LN(2)/25)*GM116+(1-EXP(-LN(2)/25))/(LN(2)/25)*Calculateur!GH117*Calculateur!GJ117*VLOOKUP('Données projet'!$B$17,Paramètres!$A$1:$I$89,3,0)*0.475*44/12</f>
        <v>27.879099003023942</v>
      </c>
      <c r="GN117" s="21">
        <f>EXP(-LN(2)/2)*GN116+(1-EXP(-LN(2)/2))/(LN(2)/2)*GH117*GK117*VLOOKUP('Données projet'!$B$17,Paramètres!$A$1:$I$89,3,0)*0.475*44/12</f>
        <v>9.2373639015026201E-5</v>
      </c>
      <c r="GO117" s="21">
        <f t="shared" si="81"/>
        <v>85.696739433991993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42.158999999999878</v>
      </c>
      <c r="D118" s="11">
        <f t="shared" si="86"/>
        <v>12.569127590261408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422.46273929324508</v>
      </c>
      <c r="H118" s="67">
        <f t="shared" si="56"/>
        <v>388.65148888637174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1.5961632016114892E-13</v>
      </c>
      <c r="P118" s="13">
        <f t="shared" si="87"/>
        <v>2.2708641912150958E-12</v>
      </c>
      <c r="Q118" s="20">
        <f t="shared" si="107"/>
        <v>4.2330868906469593E-12</v>
      </c>
      <c r="R118" s="59">
        <f t="shared" si="55"/>
        <v>293.33333333333752</v>
      </c>
      <c r="S118" s="59">
        <f ca="1">AVERAGE(OFFSET($R$3,0,0,'Données projet'!$E$9+1,1))-AVERAGE(OFFSET($H$3,0,0,'Données projet'!$E$9+1,1))</f>
        <v>215.77907571824977</v>
      </c>
      <c r="T118" s="59">
        <f t="shared" si="88"/>
        <v>174.69390149594869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116.51908173975849</v>
      </c>
      <c r="AA118" s="21">
        <f>EXP(-LN(2)/25)*AA117+(1-EXP(-LN(2)/25))/(LN(2)/25)*Calculateur!V118*Calculateur!X118*VLOOKUP('Données projet'!$B$9,Paramètres!$A$1:$I$89,3,0)*0.475*44/12</f>
        <v>35.464588724677888</v>
      </c>
      <c r="AB118" s="21">
        <f>EXP(-LN(2)/2)*AB117+(1-EXP(-LN(2)/2))/(LN(2)/2)*V118*Y118*VLOOKUP('Données projet'!$B$9,Paramètres!$A$1:$I$89,3,0)*0.475*44/12</f>
        <v>3.9359873773540746</v>
      </c>
      <c r="AC118" s="22">
        <f t="shared" si="57"/>
        <v>155.91965784179047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-1.0197709343628959E-13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171.701352621833</v>
      </c>
      <c r="AO118" s="59">
        <f t="shared" si="90"/>
        <v>195.58435749168586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35.785088108939568</v>
      </c>
      <c r="AV118" s="21">
        <f>EXP(-LN(2)/25)*AV117+(1-EXP(-LN(2)/25))/(LN(2)/25)*Calculateur!AQ118*Calculateur!AS118*VLOOKUP('Données projet'!$B$10,Paramètres!$A$1:$I$89,3,0)*0.475*44/12</f>
        <v>8.5990473600589521</v>
      </c>
      <c r="AW118" s="21">
        <f>EXP(-LN(2)/2)*AW117+(1-EXP(-LN(2)/2))/(LN(2)/2)*AQ118*AT118*VLOOKUP('Données projet'!$B$10,Paramètres!$A$1:$I$89,3,0)*0.475*44/12</f>
        <v>4.7119045243501391E-7</v>
      </c>
      <c r="AX118" s="21">
        <f t="shared" si="60"/>
        <v>44.384135940188976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-1.1823431123048067E-13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348.29124901999882</v>
      </c>
      <c r="BJ118" s="59">
        <f t="shared" si="92"/>
        <v>284.30034973939053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108.66366026821262</v>
      </c>
      <c r="BQ118" s="21">
        <f>EXP(-LN(2)/25)*BQ117+(1-EXP(-LN(2)/25))/(LN(2)/25)*Calculateur!BL118*Calculateur!BN118*VLOOKUP('Données projet'!$B$11,Paramètres!$A$1:$I$89,3,0)*0.475*44/12</f>
        <v>29.474292476195131</v>
      </c>
      <c r="BR118" s="21">
        <f>EXP(-LN(2)/2)*BR117+(1-EXP(-LN(2)/2))/(LN(2)/2)*BL118*BO118*VLOOKUP('Données projet'!$B$11,Paramètres!$A$1:$I$89,3,0)*0.475*44/12</f>
        <v>4.5514285527897808E-4</v>
      </c>
      <c r="BS118" s="22">
        <f t="shared" si="63"/>
        <v>138.13840788726304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-2.2737367544323206E-13</v>
      </c>
      <c r="BZ118" s="13">
        <f>BY118*VLOOKUP('Données projet'!$B$12,Paramètres!$A$1:$I$89,3,0)*VLOOKUP('Données projet'!$B$12,Paramètres!$A$1:$I$89,5,0)</f>
        <v>-1.3596945791505279E-13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185.82627135915504</v>
      </c>
      <c r="CE118" s="59">
        <f t="shared" si="94"/>
        <v>155.46126452522037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85.552106660420435</v>
      </c>
      <c r="CL118" s="21">
        <f>EXP(-LN(2)/25)*CL117+(1-EXP(-LN(2)/25))/(LN(2)/25)*Calculateur!CG118*Calculateur!CI118*VLOOKUP('Données projet'!$B$12,Paramètres!$A$1:$I$89,3,0)*0.475*44/12</f>
        <v>26.304388825720455</v>
      </c>
      <c r="CM118" s="21">
        <f>EXP(-LN(2)/2)*CM117+(1-EXP(-LN(2)/2))/(LN(2)/2)*CG118*CJ118*VLOOKUP('Données projet'!$B$12,Paramètres!$A$1:$I$89,3,0)*0.475*44/12</f>
        <v>5.9862544259987986</v>
      </c>
      <c r="CN118" s="22">
        <f t="shared" si="66"/>
        <v>117.84274991213968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1.1692307692307708</v>
      </c>
      <c r="CT118" s="12">
        <f>IF('Données projet'!$A$140&gt;35,CT117+CS118-DB117,IF(A118&lt;'Données projet'!$A$140,$CQ$205^A118,IF(A118='Données projet'!$A$140,'Données projet'!$B$140,CT117+CS118-DB117)))</f>
        <v>108.61538461538458</v>
      </c>
      <c r="CU118" s="17">
        <f>CT118*VLOOKUP('Données projet'!$B$13,Paramètres!$A$1:$I$89,3,0)*VLOOKUP('Données projet'!$B$13,Paramètres!$A$1:$I$89,5,0)</f>
        <v>125.12492307692304</v>
      </c>
      <c r="CV118" s="13">
        <f t="shared" si="95"/>
        <v>32.86737858686417</v>
      </c>
      <c r="CW118" s="20">
        <f t="shared" si="67"/>
        <v>275.16992539776271</v>
      </c>
      <c r="CX118" s="59">
        <f t="shared" si="68"/>
        <v>568.50325873109603</v>
      </c>
      <c r="CY118" s="59">
        <f ca="1">AVERAGE(OFFSET($CX$3,0,0,'Données projet'!$E$13+1,1))-AVERAGE(OFFSET($H$3,0,0,'Données projet'!$E$13+1,1))</f>
        <v>150.78964413039063</v>
      </c>
      <c r="CZ118" s="59">
        <f t="shared" si="96"/>
        <v>131.90332435966184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7.0483714348326414</v>
      </c>
      <c r="DG118" s="21">
        <f>EXP(-LN(2)/25)*DG117+(1-EXP(-LN(2)/25))/(LN(2)/25)*Calculateur!DB118*Calculateur!DD118*VLOOKUP('Données projet'!$B$13,Paramètres!$A$1:$I$89,3,0)*0.475*44/12</f>
        <v>3.0292146036859262</v>
      </c>
      <c r="DH118" s="21">
        <f>EXP(-LN(2)/2)*DH117+(1-EXP(-LN(2)/2))/(LN(2)/2)*DB118*DE118*VLOOKUP('Données projet'!$B$13,Paramètres!$A$1:$I$89,3,0)*0.475*44/12</f>
        <v>0.27614858545904569</v>
      </c>
      <c r="DI118" s="22">
        <f t="shared" si="69"/>
        <v>10.353734623977614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-1.4210854715202004E-14</v>
      </c>
      <c r="DP118" s="17">
        <f>DO118*VLOOKUP('Données projet'!$B$14,Paramètres!$A$1:$I$89,3,0)*VLOOKUP('Données projet'!$B$14,Paramètres!$A$1:$I$89,5,0)</f>
        <v>-1.4853185348329136E-14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110.10595934547638</v>
      </c>
      <c r="DU118" s="59">
        <f t="shared" si="98"/>
        <v>131.10971921141493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24.463514659579154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24.463514659579154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7.0011111111111104</v>
      </c>
      <c r="EJ118" s="12">
        <f>IF('Données projet'!$A$192&gt;35,EJ117+EI118-ER117,IF(A118&lt;'Données projet'!$A$192,$EG$205^A118,IF(A118='Données projet'!$A$192,'Données projet'!$B$192,EJ117+EI118-ER117)))</f>
        <v>266.26222222222214</v>
      </c>
      <c r="EK118" s="17">
        <f>EJ118*VLOOKUP('Données projet'!$B$15,Paramètres!$A$1:$I$89,3,0)*VLOOKUP('Données projet'!$B$15,Paramètres!$A$1:$I$89,5,0)</f>
        <v>269.98989333333327</v>
      </c>
      <c r="EL118" s="13">
        <f t="shared" si="99"/>
        <v>64.847124393424096</v>
      </c>
      <c r="EM118" s="20">
        <f t="shared" si="73"/>
        <v>583.1744725407691</v>
      </c>
      <c r="EN118" s="59">
        <f t="shared" si="74"/>
        <v>876.50780587410236</v>
      </c>
      <c r="EO118" s="59">
        <f ca="1">AVERAGE(OFFSET($EN$3,0,0,'Données projet'!$E$15+1,1))-AVERAGE(OFFSET($H$3,0,0,'Données projet'!$E$15+1,1))</f>
        <v>420.38735944595965</v>
      </c>
      <c r="EP118" s="59">
        <f t="shared" si="100"/>
        <v>200.0823542414671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20.454694182043468</v>
      </c>
      <c r="EW118" s="21">
        <f>EXP(-LN(2)/25)*EW117+(1-EXP(-LN(2)/25))/(LN(2)/25)*Calculateur!ER118*Calculateur!ET118*VLOOKUP('Données projet'!$B$15,Paramètres!$A$1:$I$89,3,0)*0.475*44/12</f>
        <v>25.679563599993234</v>
      </c>
      <c r="EX118" s="21">
        <f>EXP(-LN(2)/2)*EX117+(1-EXP(-LN(2)/2))/(LN(2)/2)*ER118*EU118*VLOOKUP('Données projet'!$B$15,Paramètres!$A$1:$I$89,3,0)*0.475*44/12</f>
        <v>2.0793320677023388</v>
      </c>
      <c r="EY118" s="22">
        <f t="shared" si="75"/>
        <v>48.213589849739037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8.7019999999999982</v>
      </c>
      <c r="FE118" s="12">
        <f>IF('Données projet'!$A$218&gt;35,FE117+FD118-FM117,IF(A118&lt;'Données projet'!$A$218,$FB$205^A118,IF(A118='Données projet'!$A$218,'Données projet'!$B$218,FE117+FD118-FM117)))</f>
        <v>339.91400000000027</v>
      </c>
      <c r="FF118" s="17">
        <f>FE118*VLOOKUP('Données projet'!$B$16,Paramètres!$A$1:$I$89,3,0)*VLOOKUP('Données projet'!$B$16,Paramètres!$A$1:$I$89,5,0)</f>
        <v>365.88342960000028</v>
      </c>
      <c r="FG118" s="13">
        <f t="shared" si="101"/>
        <v>84.824578653678017</v>
      </c>
      <c r="FH118" s="20">
        <f t="shared" si="76"/>
        <v>784.98311437515633</v>
      </c>
      <c r="FI118" s="59">
        <f t="shared" si="77"/>
        <v>1078.3164477084897</v>
      </c>
      <c r="FJ118" s="59">
        <f ca="1">AVERAGE(OFFSET($FI$3,0,0,'Données projet'!$E$16+1,1))-AVERAGE(OFFSET($H$3,0,0,'Données projet'!$E$16+1,1))</f>
        <v>415.8741608506952</v>
      </c>
      <c r="FK118" s="59">
        <f t="shared" si="102"/>
        <v>259.15848913719356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57.694949857863136</v>
      </c>
      <c r="FR118" s="21">
        <f>EXP(-LN(2)/25)*FR117+(1-EXP(-LN(2)/25))/(LN(2)/25)*Calculateur!FM118*Calculateur!FO118*VLOOKUP('Données projet'!$B$16,Paramètres!$A$1:$I$89,3,0)*0.475*44/12</f>
        <v>27.600472791114836</v>
      </c>
      <c r="FS118" s="21">
        <f>EXP(-LN(2)/2)*FS117+(1-EXP(-LN(2)/2))/(LN(2)/2)*FM118*FP118*VLOOKUP('Données projet'!$B$16,Paramètres!$A$1:$I$89,3,0)*0.475*44/12</f>
        <v>8.1944433308687949E-5</v>
      </c>
      <c r="FT118" s="22">
        <f t="shared" si="78"/>
        <v>85.29550459341128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8.7019999999999982</v>
      </c>
      <c r="FZ118" s="12">
        <f>IF('Données projet'!$A$244&gt;35,FZ117+FY118-GH117,IF(A118&lt;'Données projet'!$A$244,$FW$205^A118,IF(A118='Données projet'!$A$244,'Données projet'!$B$244,FZ117+FY118-GH117)))</f>
        <v>339.91400000000027</v>
      </c>
      <c r="GA118" s="17">
        <f>FZ118*VLOOKUP('Données projet'!$B$17,Paramètres!$A$1:$I$89,3,0)*VLOOKUP('Données projet'!$B$17,Paramètres!$A$1:$I$89,5,0)</f>
        <v>291.64621200000028</v>
      </c>
      <c r="GB118" s="13">
        <f t="shared" si="103"/>
        <v>69.422320609946794</v>
      </c>
      <c r="GC118" s="20">
        <f t="shared" si="79"/>
        <v>628.86102762899111</v>
      </c>
      <c r="GD118" s="59">
        <f t="shared" si="80"/>
        <v>922.19436096232448</v>
      </c>
      <c r="GE118" s="59">
        <f ca="1">AVERAGE(OFFSET($GD$3,0,0,'Données projet'!$E$17+1,1))-AVERAGE(OFFSET($H$3,0,0,'Données projet'!$E$17+1,1))</f>
        <v>322.39807389980882</v>
      </c>
      <c r="GF118" s="59">
        <f t="shared" si="104"/>
        <v>202.59410055732792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56.683781205146978</v>
      </c>
      <c r="GM118" s="21">
        <f>EXP(-LN(2)/25)*GM117+(1-EXP(-LN(2)/25))/(LN(2)/25)*Calculateur!GH118*Calculateur!GJ118*VLOOKUP('Données projet'!$B$17,Paramètres!$A$1:$I$89,3,0)*0.475*44/12</f>
        <v>27.116743574688154</v>
      </c>
      <c r="GN118" s="21">
        <f>EXP(-LN(2)/2)*GN117+(1-EXP(-LN(2)/2))/(LN(2)/2)*GH118*GK118*VLOOKUP('Données projet'!$B$17,Paramètres!$A$1:$I$89,3,0)*0.475*44/12</f>
        <v>6.5318026550403261E-5</v>
      </c>
      <c r="GO118" s="21">
        <f t="shared" si="81"/>
        <v>83.800590097861686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42.525599999999876</v>
      </c>
      <c r="D119" s="11">
        <f t="shared" si="86"/>
        <v>12.665653491137897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426.03774624737935</v>
      </c>
      <c r="H119" s="67">
        <f t="shared" si="56"/>
        <v>389.45809983039828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1.5961632016114892E-13</v>
      </c>
      <c r="P119" s="13">
        <f t="shared" si="87"/>
        <v>2.2708641912150958E-12</v>
      </c>
      <c r="Q119" s="20">
        <f t="shared" si="107"/>
        <v>4.2330868906469593E-12</v>
      </c>
      <c r="R119" s="59">
        <f t="shared" si="55"/>
        <v>293.33333333333752</v>
      </c>
      <c r="S119" s="59">
        <f ca="1">AVERAGE(OFFSET($R$3,0,0,'Données projet'!$E$9+1,1))-AVERAGE(OFFSET($H$3,0,0,'Données projet'!$E$9+1,1))</f>
        <v>215.77907571824977</v>
      </c>
      <c r="T119" s="59">
        <f t="shared" si="88"/>
        <v>174.69390149594869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114.23421361646415</v>
      </c>
      <c r="AA119" s="21">
        <f>EXP(-LN(2)/25)*AA118+(1-EXP(-LN(2)/25))/(LN(2)/25)*Calculateur!V119*Calculateur!X119*VLOOKUP('Données projet'!$B$9,Paramètres!$A$1:$I$89,3,0)*0.475*44/12</f>
        <v>34.494807680999905</v>
      </c>
      <c r="AB119" s="21">
        <f>EXP(-LN(2)/2)*AB118+(1-EXP(-LN(2)/2))/(LN(2)/2)*V119*Y119*VLOOKUP('Données projet'!$B$9,Paramètres!$A$1:$I$89,3,0)*0.475*44/12</f>
        <v>2.7831633651917209</v>
      </c>
      <c r="AC119" s="22">
        <f t="shared" si="57"/>
        <v>151.51218466265576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-1.0197709343628959E-13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171.701352621833</v>
      </c>
      <c r="AO119" s="59">
        <f t="shared" si="90"/>
        <v>195.58435749168586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35.083364357871801</v>
      </c>
      <c r="AV119" s="21">
        <f>EXP(-LN(2)/25)*AV118+(1-EXP(-LN(2)/25))/(LN(2)/25)*Calculateur!AQ119*Calculateur!AS119*VLOOKUP('Données projet'!$B$10,Paramètres!$A$1:$I$89,3,0)*0.475*44/12</f>
        <v>8.363905957793893</v>
      </c>
      <c r="AW119" s="21">
        <f>EXP(-LN(2)/2)*AW118+(1-EXP(-LN(2)/2))/(LN(2)/2)*AQ119*AT119*VLOOKUP('Données projet'!$B$10,Paramètres!$A$1:$I$89,3,0)*0.475*44/12</f>
        <v>3.3318196414715572E-7</v>
      </c>
      <c r="AX119" s="21">
        <f t="shared" si="60"/>
        <v>43.447270648847656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-1.1823431123048067E-13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348.29124901999882</v>
      </c>
      <c r="BJ119" s="59">
        <f t="shared" si="92"/>
        <v>284.30034973939053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106.53283216864131</v>
      </c>
      <c r="BQ119" s="21">
        <f>EXP(-LN(2)/25)*BQ118+(1-EXP(-LN(2)/25))/(LN(2)/25)*Calculateur!BL119*Calculateur!BN119*VLOOKUP('Données projet'!$B$11,Paramètres!$A$1:$I$89,3,0)*0.475*44/12</f>
        <v>28.668316398447899</v>
      </c>
      <c r="BR119" s="21">
        <f>EXP(-LN(2)/2)*BR118+(1-EXP(-LN(2)/2))/(LN(2)/2)*BL119*BO119*VLOOKUP('Données projet'!$B$11,Paramètres!$A$1:$I$89,3,0)*0.475*44/12</f>
        <v>3.2183459937637282E-4</v>
      </c>
      <c r="BS119" s="22">
        <f t="shared" si="63"/>
        <v>135.2014704016886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-2.2737367544323206E-13</v>
      </c>
      <c r="BZ119" s="13">
        <f>BY119*VLOOKUP('Données projet'!$B$12,Paramètres!$A$1:$I$89,3,0)*VLOOKUP('Données projet'!$B$12,Paramètres!$A$1:$I$89,5,0)</f>
        <v>-1.3596945791505279E-13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185.82627135915504</v>
      </c>
      <c r="CE119" s="59">
        <f t="shared" si="94"/>
        <v>155.46126452522037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83.874482030442138</v>
      </c>
      <c r="CL119" s="21">
        <f>EXP(-LN(2)/25)*CL118+(1-EXP(-LN(2)/25))/(LN(2)/25)*Calculateur!CG119*Calculateur!CI119*VLOOKUP('Données projet'!$B$12,Paramètres!$A$1:$I$89,3,0)*0.475*44/12</f>
        <v>25.585093929993441</v>
      </c>
      <c r="CM119" s="21">
        <f>EXP(-LN(2)/2)*CM118+(1-EXP(-LN(2)/2))/(LN(2)/2)*CG119*CJ119*VLOOKUP('Données projet'!$B$12,Paramètres!$A$1:$I$89,3,0)*0.475*44/12</f>
        <v>4.232921098531734</v>
      </c>
      <c r="CN119" s="22">
        <f t="shared" si="66"/>
        <v>113.69249705896732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1.1692307692307708</v>
      </c>
      <c r="CT119" s="12">
        <f>IF('Données projet'!$A$140&gt;35,CT118+CS119-DB118,IF(A119&lt;'Données projet'!$A$140,$CQ$205^A119,IF(A119='Données projet'!$A$140,'Données projet'!$B$140,CT118+CS119-DB118)))</f>
        <v>109.78461538461535</v>
      </c>
      <c r="CU119" s="17">
        <f>CT119*VLOOKUP('Données projet'!$B$13,Paramètres!$A$1:$I$89,3,0)*VLOOKUP('Données projet'!$B$13,Paramètres!$A$1:$I$89,5,0)</f>
        <v>126.47187692307686</v>
      </c>
      <c r="CV119" s="13">
        <f t="shared" si="95"/>
        <v>33.179812790970331</v>
      </c>
      <c r="CW119" s="20">
        <f t="shared" si="67"/>
        <v>278.0600262519655</v>
      </c>
      <c r="CX119" s="59">
        <f t="shared" si="68"/>
        <v>571.39335958529887</v>
      </c>
      <c r="CY119" s="59">
        <f ca="1">AVERAGE(OFFSET($CX$3,0,0,'Données projet'!$E$13+1,1))-AVERAGE(OFFSET($H$3,0,0,'Données projet'!$E$13+1,1))</f>
        <v>150.78964413039063</v>
      </c>
      <c r="CZ119" s="59">
        <f t="shared" si="96"/>
        <v>131.90332435966184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6.9101571700776496</v>
      </c>
      <c r="DG119" s="21">
        <f>EXP(-LN(2)/25)*DG118+(1-EXP(-LN(2)/25))/(LN(2)/25)*Calculateur!DB119*Calculateur!DD119*VLOOKUP('Données projet'!$B$13,Paramètres!$A$1:$I$89,3,0)*0.475*44/12</f>
        <v>2.9463805710486621</v>
      </c>
      <c r="DH119" s="21">
        <f>EXP(-LN(2)/2)*DH118+(1-EXP(-LN(2)/2))/(LN(2)/2)*DB119*DE119*VLOOKUP('Données projet'!$B$13,Paramètres!$A$1:$I$89,3,0)*0.475*44/12</f>
        <v>0.19526653739316405</v>
      </c>
      <c r="DI119" s="22">
        <f t="shared" si="69"/>
        <v>10.051804278519477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-1.4210854715202004E-14</v>
      </c>
      <c r="DP119" s="17">
        <f>DO119*VLOOKUP('Données projet'!$B$14,Paramètres!$A$1:$I$89,3,0)*VLOOKUP('Données projet'!$B$14,Paramètres!$A$1:$I$89,5,0)</f>
        <v>-1.4853185348329136E-14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110.10595934547638</v>
      </c>
      <c r="DU119" s="59">
        <f t="shared" si="98"/>
        <v>131.10971921141493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23.79455856473264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23.79455856473264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7.0011111111111104</v>
      </c>
      <c r="EJ119" s="12">
        <f>IF('Données projet'!$A$192&gt;35,EJ118+EI119-ER118,IF(A119&lt;'Données projet'!$A$192,$EG$205^A119,IF(A119='Données projet'!$A$192,'Données projet'!$B$192,EJ118+EI119-ER118)))</f>
        <v>273.26333333333326</v>
      </c>
      <c r="EK119" s="17">
        <f>EJ119*VLOOKUP('Données projet'!$B$15,Paramètres!$A$1:$I$89,3,0)*VLOOKUP('Données projet'!$B$15,Paramètres!$A$1:$I$89,5,0)</f>
        <v>277.08901999999995</v>
      </c>
      <c r="EL119" s="13">
        <f t="shared" si="99"/>
        <v>66.351461456355509</v>
      </c>
      <c r="EM119" s="20">
        <f t="shared" si="73"/>
        <v>598.15883853648563</v>
      </c>
      <c r="EN119" s="59">
        <f t="shared" si="74"/>
        <v>891.492171869819</v>
      </c>
      <c r="EO119" s="59">
        <f ca="1">AVERAGE(OFFSET($EN$3,0,0,'Données projet'!$E$15+1,1))-AVERAGE(OFFSET($H$3,0,0,'Données projet'!$E$15+1,1))</f>
        <v>420.38735944595965</v>
      </c>
      <c r="EP119" s="59">
        <f t="shared" si="100"/>
        <v>200.0823542414671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20.05359010526513</v>
      </c>
      <c r="EW119" s="21">
        <f>EXP(-LN(2)/25)*EW118+(1-EXP(-LN(2)/25))/(LN(2)/25)*Calculateur!ER119*Calculateur!ET119*VLOOKUP('Données projet'!$B$15,Paramètres!$A$1:$I$89,3,0)*0.475*44/12</f>
        <v>24.977354582921862</v>
      </c>
      <c r="EX119" s="21">
        <f>EXP(-LN(2)/2)*EX118+(1-EXP(-LN(2)/2))/(LN(2)/2)*ER119*EU119*VLOOKUP('Données projet'!$B$15,Paramètres!$A$1:$I$89,3,0)*0.475*44/12</f>
        <v>1.4703098054109691</v>
      </c>
      <c r="EY119" s="22">
        <f t="shared" si="75"/>
        <v>46.501254493597962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8.7019999999999982</v>
      </c>
      <c r="FE119" s="12">
        <f>IF('Données projet'!$A$218&gt;35,FE118+FD119-FM118,IF(A119&lt;'Données projet'!$A$218,$FB$205^A119,IF(A119='Données projet'!$A$218,'Données projet'!$B$218,FE118+FD119-FM118)))</f>
        <v>348.61600000000027</v>
      </c>
      <c r="FF119" s="17">
        <f>FE119*VLOOKUP('Données projet'!$B$16,Paramètres!$A$1:$I$89,3,0)*VLOOKUP('Données projet'!$B$16,Paramètres!$A$1:$I$89,5,0)</f>
        <v>375.25026240000028</v>
      </c>
      <c r="FG119" s="13">
        <f t="shared" si="101"/>
        <v>86.740536610933873</v>
      </c>
      <c r="FH119" s="20">
        <f t="shared" si="76"/>
        <v>804.63397494404364</v>
      </c>
      <c r="FI119" s="59">
        <f t="shared" si="77"/>
        <v>1097.967308277377</v>
      </c>
      <c r="FJ119" s="59">
        <f ca="1">AVERAGE(OFFSET($FI$3,0,0,'Données projet'!$E$16+1,1))-AVERAGE(OFFSET($H$3,0,0,'Données projet'!$E$16+1,1))</f>
        <v>415.8741608506952</v>
      </c>
      <c r="FK119" s="59">
        <f t="shared" si="102"/>
        <v>259.15848913719356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56.563587081595088</v>
      </c>
      <c r="FR119" s="21">
        <f>EXP(-LN(2)/25)*FR118+(1-EXP(-LN(2)/25))/(LN(2)/25)*Calculateur!FM119*Calculateur!FO119*VLOOKUP('Données projet'!$B$16,Paramètres!$A$1:$I$89,3,0)*0.475*44/12</f>
        <v>26.845736411196018</v>
      </c>
      <c r="FS119" s="21">
        <f>EXP(-LN(2)/2)*FS118+(1-EXP(-LN(2)/2))/(LN(2)/2)*FM119*FP119*VLOOKUP('Données projet'!$B$16,Paramètres!$A$1:$I$89,3,0)*0.475*44/12</f>
        <v>5.7943464473062053E-5</v>
      </c>
      <c r="FT119" s="22">
        <f t="shared" si="78"/>
        <v>83.409381436255572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8.7019999999999982</v>
      </c>
      <c r="FZ119" s="12">
        <f>IF('Données projet'!$A$244&gt;35,FZ118+FY119-GH118,IF(A119&lt;'Données projet'!$A$244,$FW$205^A119,IF(A119='Données projet'!$A$244,'Données projet'!$B$244,FZ118+FY119-GH118)))</f>
        <v>348.61600000000027</v>
      </c>
      <c r="GA119" s="17">
        <f>FZ119*VLOOKUP('Données projet'!$B$17,Paramètres!$A$1:$I$89,3,0)*VLOOKUP('Données projet'!$B$17,Paramètres!$A$1:$I$89,5,0)</f>
        <v>299.11252800000028</v>
      </c>
      <c r="GB119" s="13">
        <f t="shared" si="103"/>
        <v>70.99038318915332</v>
      </c>
      <c r="GC119" s="20">
        <f t="shared" si="79"/>
        <v>644.59590365444251</v>
      </c>
      <c r="GD119" s="59">
        <f t="shared" si="80"/>
        <v>937.92923698777577</v>
      </c>
      <c r="GE119" s="59">
        <f ca="1">AVERAGE(OFFSET($GD$3,0,0,'Données projet'!$E$17+1,1))-AVERAGE(OFFSET($H$3,0,0,'Données projet'!$E$17+1,1))</f>
        <v>322.39807389980882</v>
      </c>
      <c r="GF119" s="59">
        <f t="shared" si="104"/>
        <v>202.59410055732792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55.572246829406716</v>
      </c>
      <c r="GM119" s="21">
        <f>EXP(-LN(2)/25)*GM118+(1-EXP(-LN(2)/25))/(LN(2)/25)*Calculateur!GH119*Calculateur!GJ119*VLOOKUP('Données projet'!$B$17,Paramètres!$A$1:$I$89,3,0)*0.475*44/12</f>
        <v>26.375234795630739</v>
      </c>
      <c r="GN119" s="21">
        <f>EXP(-LN(2)/2)*GN118+(1-EXP(-LN(2)/2))/(LN(2)/2)*GH119*GK119*VLOOKUP('Données projet'!$B$17,Paramètres!$A$1:$I$89,3,0)*0.475*44/12</f>
        <v>4.6186819507513101E-5</v>
      </c>
      <c r="GO119" s="21">
        <f t="shared" si="81"/>
        <v>81.947527811856958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42.892199999999875</v>
      </c>
      <c r="D120" s="11">
        <f t="shared" si="86"/>
        <v>12.762082580577419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429.61200588515811</v>
      </c>
      <c r="H120" s="67">
        <f t="shared" si="56"/>
        <v>390.26454216117207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1.5961632016114892E-13</v>
      </c>
      <c r="P120" s="13">
        <f t="shared" si="87"/>
        <v>2.2708641912150958E-12</v>
      </c>
      <c r="Q120" s="20">
        <f t="shared" si="107"/>
        <v>4.2330868906469593E-12</v>
      </c>
      <c r="R120" s="59">
        <f t="shared" si="55"/>
        <v>293.33333333333752</v>
      </c>
      <c r="S120" s="59">
        <f ca="1">AVERAGE(OFFSET($R$3,0,0,'Données projet'!$E$9+1,1))-AVERAGE(OFFSET($H$3,0,0,'Données projet'!$E$9+1,1))</f>
        <v>215.77907571824977</v>
      </c>
      <c r="T120" s="59">
        <f t="shared" si="88"/>
        <v>174.69390149594869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111.99415036343565</v>
      </c>
      <c r="AA120" s="21">
        <f>EXP(-LN(2)/25)*AA119+(1-EXP(-LN(2)/25))/(LN(2)/25)*Calculateur!V120*Calculateur!X120*VLOOKUP('Données projet'!$B$9,Paramètres!$A$1:$I$89,3,0)*0.475*44/12</f>
        <v>33.551545350959863</v>
      </c>
      <c r="AB120" s="21">
        <f>EXP(-LN(2)/2)*AB119+(1-EXP(-LN(2)/2))/(LN(2)/2)*V120*Y120*VLOOKUP('Données projet'!$B$9,Paramètres!$A$1:$I$89,3,0)*0.475*44/12</f>
        <v>1.9679936886770375</v>
      </c>
      <c r="AC120" s="22">
        <f t="shared" si="57"/>
        <v>147.51368940307256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-1.0197709343628959E-13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171.701352621833</v>
      </c>
      <c r="AO120" s="59">
        <f t="shared" si="90"/>
        <v>195.58435749168586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34.395400981553244</v>
      </c>
      <c r="AV120" s="21">
        <f>EXP(-LN(2)/25)*AV119+(1-EXP(-LN(2)/25))/(LN(2)/25)*Calculateur!AQ120*Calculateur!AS120*VLOOKUP('Données projet'!$B$10,Paramètres!$A$1:$I$89,3,0)*0.475*44/12</f>
        <v>8.1351945095393212</v>
      </c>
      <c r="AW120" s="21">
        <f>EXP(-LN(2)/2)*AW119+(1-EXP(-LN(2)/2))/(LN(2)/2)*AQ120*AT120*VLOOKUP('Données projet'!$B$10,Paramètres!$A$1:$I$89,3,0)*0.475*44/12</f>
        <v>2.3559522621750698E-7</v>
      </c>
      <c r="AX120" s="21">
        <f t="shared" si="60"/>
        <v>42.530595726687793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-1.1823431123048067E-13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348.29124901999882</v>
      </c>
      <c r="BJ120" s="59">
        <f t="shared" si="92"/>
        <v>284.30034973939053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104.44378830842577</v>
      </c>
      <c r="BQ120" s="21">
        <f>EXP(-LN(2)/25)*BQ119+(1-EXP(-LN(2)/25))/(LN(2)/25)*Calculateur!BL120*Calculateur!BN120*VLOOKUP('Données projet'!$B$11,Paramètres!$A$1:$I$89,3,0)*0.475*44/12</f>
        <v>27.884379778931105</v>
      </c>
      <c r="BR120" s="21">
        <f>EXP(-LN(2)/2)*BR119+(1-EXP(-LN(2)/2))/(LN(2)/2)*BL120*BO120*VLOOKUP('Données projet'!$B$11,Paramètres!$A$1:$I$89,3,0)*0.475*44/12</f>
        <v>2.2757142763948904E-4</v>
      </c>
      <c r="BS120" s="22">
        <f t="shared" si="63"/>
        <v>132.3283956587845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-2.2737367544323206E-13</v>
      </c>
      <c r="BZ120" s="13">
        <f>BY120*VLOOKUP('Données projet'!$B$12,Paramètres!$A$1:$I$89,3,0)*VLOOKUP('Données projet'!$B$12,Paramètres!$A$1:$I$89,5,0)</f>
        <v>-1.3596945791505279E-13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185.82627135915504</v>
      </c>
      <c r="CE120" s="59">
        <f t="shared" si="94"/>
        <v>155.46126452522037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82.229754596207741</v>
      </c>
      <c r="CL120" s="21">
        <f>EXP(-LN(2)/25)*CL119+(1-EXP(-LN(2)/25))/(LN(2)/25)*Calculateur!CG120*Calculateur!CI120*VLOOKUP('Données projet'!$B$12,Paramètres!$A$1:$I$89,3,0)*0.475*44/12</f>
        <v>24.885468191016155</v>
      </c>
      <c r="CM120" s="21">
        <f>EXP(-LN(2)/2)*CM119+(1-EXP(-LN(2)/2))/(LN(2)/2)*CG120*CJ120*VLOOKUP('Données projet'!$B$12,Paramètres!$A$1:$I$89,3,0)*0.475*44/12</f>
        <v>2.9931272129993993</v>
      </c>
      <c r="CN120" s="22">
        <f t="shared" si="66"/>
        <v>110.1083500002233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1.1692307692307708</v>
      </c>
      <c r="CT120" s="12">
        <f>IF('Données projet'!$A$140&gt;35,CT119+CS120-DB119,IF(A120&lt;'Données projet'!$A$140,$CQ$205^A120,IF(A120='Données projet'!$A$140,'Données projet'!$B$140,CT119+CS120-DB119)))</f>
        <v>110.95384615384611</v>
      </c>
      <c r="CU120" s="17">
        <f>CT120*VLOOKUP('Données projet'!$B$13,Paramètres!$A$1:$I$89,3,0)*VLOOKUP('Données projet'!$B$13,Paramètres!$A$1:$I$89,5,0)</f>
        <v>127.81883076923071</v>
      </c>
      <c r="CV120" s="13">
        <f t="shared" si="95"/>
        <v>33.491859906976494</v>
      </c>
      <c r="CW120" s="20">
        <f t="shared" si="67"/>
        <v>280.94945292772752</v>
      </c>
      <c r="CX120" s="59">
        <f t="shared" si="68"/>
        <v>574.28278626106089</v>
      </c>
      <c r="CY120" s="59">
        <f ca="1">AVERAGE(OFFSET($CX$3,0,0,'Données projet'!$E$13+1,1))-AVERAGE(OFFSET($H$3,0,0,'Données projet'!$E$13+1,1))</f>
        <v>150.78964413039063</v>
      </c>
      <c r="CZ120" s="59">
        <f t="shared" si="96"/>
        <v>131.90332435966184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6.774653202752126</v>
      </c>
      <c r="DG120" s="21">
        <f>EXP(-LN(2)/25)*DG119+(1-EXP(-LN(2)/25))/(LN(2)/25)*Calculateur!DB120*Calculateur!DD120*VLOOKUP('Données projet'!$B$13,Paramètres!$A$1:$I$89,3,0)*0.475*44/12</f>
        <v>2.8658116393899165</v>
      </c>
      <c r="DH120" s="21">
        <f>EXP(-LN(2)/2)*DH119+(1-EXP(-LN(2)/2))/(LN(2)/2)*DB120*DE120*VLOOKUP('Données projet'!$B$13,Paramètres!$A$1:$I$89,3,0)*0.475*44/12</f>
        <v>0.13807429272952285</v>
      </c>
      <c r="DI120" s="22">
        <f t="shared" si="69"/>
        <v>9.7785391348715649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-1.4210854715202004E-14</v>
      </c>
      <c r="DP120" s="17">
        <f>DO120*VLOOKUP('Données projet'!$B$14,Paramètres!$A$1:$I$89,3,0)*VLOOKUP('Données projet'!$B$14,Paramètres!$A$1:$I$89,5,0)</f>
        <v>-1.4853185348329136E-14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110.10595934547638</v>
      </c>
      <c r="DU120" s="59">
        <f t="shared" si="98"/>
        <v>131.10971921141493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23.143895109478574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23.143895109478574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7.0011111111111104</v>
      </c>
      <c r="EJ120" s="12">
        <f>IF('Données projet'!$A$192&gt;35,EJ119+EI120-ER119,IF(A120&lt;'Données projet'!$A$192,$EG$205^A120,IF(A120='Données projet'!$A$192,'Données projet'!$B$192,EJ119+EI120-ER119)))</f>
        <v>280.26444444444439</v>
      </c>
      <c r="EK120" s="17">
        <f>EJ120*VLOOKUP('Données projet'!$B$15,Paramètres!$A$1:$I$89,3,0)*VLOOKUP('Données projet'!$B$15,Paramètres!$A$1:$I$89,5,0)</f>
        <v>284.18814666666663</v>
      </c>
      <c r="EL120" s="13">
        <f t="shared" si="99"/>
        <v>67.851318431342392</v>
      </c>
      <c r="EM120" s="20">
        <f t="shared" si="73"/>
        <v>613.13540171236571</v>
      </c>
      <c r="EN120" s="59">
        <f t="shared" si="74"/>
        <v>906.46873504569908</v>
      </c>
      <c r="EO120" s="59">
        <f ca="1">AVERAGE(OFFSET($EN$3,0,0,'Données projet'!$E$15+1,1))-AVERAGE(OFFSET($H$3,0,0,'Données projet'!$E$15+1,1))</f>
        <v>420.38735944595965</v>
      </c>
      <c r="EP120" s="59">
        <f t="shared" si="100"/>
        <v>200.0823542414671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19.660351434783085</v>
      </c>
      <c r="EW120" s="21">
        <f>EXP(-LN(2)/25)*EW119+(1-EXP(-LN(2)/25))/(LN(2)/25)*Calculateur!ER120*Calculateur!ET120*VLOOKUP('Données projet'!$B$15,Paramètres!$A$1:$I$89,3,0)*0.475*44/12</f>
        <v>24.294347508349873</v>
      </c>
      <c r="EX120" s="21">
        <f>EXP(-LN(2)/2)*EX119+(1-EXP(-LN(2)/2))/(LN(2)/2)*ER120*EU120*VLOOKUP('Données projet'!$B$15,Paramètres!$A$1:$I$89,3,0)*0.475*44/12</f>
        <v>1.0396660338511694</v>
      </c>
      <c r="EY120" s="22">
        <f t="shared" si="75"/>
        <v>44.994364976984123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8.7019999999999982</v>
      </c>
      <c r="FE120" s="12">
        <f>IF('Données projet'!$A$218&gt;35,FE119+FD120-FM119,IF(A120&lt;'Données projet'!$A$218,$FB$205^A120,IF(A120='Données projet'!$A$218,'Données projet'!$B$218,FE119+FD120-FM119)))</f>
        <v>357.31800000000027</v>
      </c>
      <c r="FF120" s="17">
        <f>FE120*VLOOKUP('Données projet'!$B$16,Paramètres!$A$1:$I$89,3,0)*VLOOKUP('Données projet'!$B$16,Paramètres!$A$1:$I$89,5,0)</f>
        <v>384.61709520000028</v>
      </c>
      <c r="FG120" s="13">
        <f t="shared" si="101"/>
        <v>88.650935172194906</v>
      </c>
      <c r="FH120" s="20">
        <f t="shared" si="76"/>
        <v>824.27515289823998</v>
      </c>
      <c r="FI120" s="59">
        <f t="shared" si="77"/>
        <v>1117.6084862315734</v>
      </c>
      <c r="FJ120" s="59">
        <f ca="1">AVERAGE(OFFSET($FI$3,0,0,'Données projet'!$E$16+1,1))-AVERAGE(OFFSET($H$3,0,0,'Données projet'!$E$16+1,1))</f>
        <v>415.8741608506952</v>
      </c>
      <c r="FK120" s="59">
        <f t="shared" si="102"/>
        <v>259.15848913719356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55.454409639306498</v>
      </c>
      <c r="FR120" s="21">
        <f>EXP(-LN(2)/25)*FR119+(1-EXP(-LN(2)/25))/(LN(2)/25)*Calculateur!FM120*Calculateur!FO120*VLOOKUP('Données projet'!$B$16,Paramètres!$A$1:$I$89,3,0)*0.475*44/12</f>
        <v>26.111638337275942</v>
      </c>
      <c r="FS120" s="21">
        <f>EXP(-LN(2)/2)*FS119+(1-EXP(-LN(2)/2))/(LN(2)/2)*FM120*FP120*VLOOKUP('Données projet'!$B$16,Paramètres!$A$1:$I$89,3,0)*0.475*44/12</f>
        <v>4.0972216654343981E-5</v>
      </c>
      <c r="FT120" s="22">
        <f t="shared" si="78"/>
        <v>81.566088948799091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8.7019999999999982</v>
      </c>
      <c r="FZ120" s="12">
        <f>IF('Données projet'!$A$244&gt;35,FZ119+FY120-GH119,IF(A120&lt;'Données projet'!$A$244,$FW$205^A120,IF(A120='Données projet'!$A$244,'Données projet'!$B$244,FZ119+FY120-GH119)))</f>
        <v>357.31800000000027</v>
      </c>
      <c r="GA120" s="17">
        <f>FZ120*VLOOKUP('Données projet'!$B$17,Paramètres!$A$1:$I$89,3,0)*VLOOKUP('Données projet'!$B$17,Paramètres!$A$1:$I$89,5,0)</f>
        <v>306.57884400000029</v>
      </c>
      <c r="GB120" s="13">
        <f t="shared" si="103"/>
        <v>72.553895835106132</v>
      </c>
      <c r="GC120" s="20">
        <f t="shared" si="79"/>
        <v>660.3228552128104</v>
      </c>
      <c r="GD120" s="59">
        <f t="shared" si="80"/>
        <v>953.65618854614377</v>
      </c>
      <c r="GE120" s="59">
        <f ca="1">AVERAGE(OFFSET($GD$3,0,0,'Données projet'!$E$17+1,1))-AVERAGE(OFFSET($H$3,0,0,'Données projet'!$E$17+1,1))</f>
        <v>322.39807389980882</v>
      </c>
      <c r="GF120" s="59">
        <f t="shared" si="104"/>
        <v>202.59410055732792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54.482508964805689</v>
      </c>
      <c r="GM120" s="21">
        <f>EXP(-LN(2)/25)*GM119+(1-EXP(-LN(2)/25))/(LN(2)/25)*Calculateur!GH120*Calculateur!GJ120*VLOOKUP('Données projet'!$B$17,Paramètres!$A$1:$I$89,3,0)*0.475*44/12</f>
        <v>25.654002613130899</v>
      </c>
      <c r="GN120" s="21">
        <f>EXP(-LN(2)/2)*GN119+(1-EXP(-LN(2)/2))/(LN(2)/2)*GH120*GK120*VLOOKUP('Données projet'!$B$17,Paramètres!$A$1:$I$89,3,0)*0.475*44/12</f>
        <v>3.265901327520163E-5</v>
      </c>
      <c r="GO120" s="21">
        <f t="shared" si="81"/>
        <v>80.13654423694986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43.258799999999873</v>
      </c>
      <c r="D121" s="11">
        <f t="shared" si="86"/>
        <v>12.85841578190632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433.18552533401271</v>
      </c>
      <c r="H121" s="67">
        <f t="shared" si="56"/>
        <v>391.07081748681992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1.5961632016114892E-13</v>
      </c>
      <c r="P121" s="13">
        <f t="shared" si="87"/>
        <v>2.2708641912150958E-12</v>
      </c>
      <c r="Q121" s="20">
        <f t="shared" si="107"/>
        <v>4.2330868906469593E-12</v>
      </c>
      <c r="R121" s="59">
        <f t="shared" si="55"/>
        <v>293.33333333333752</v>
      </c>
      <c r="S121" s="59">
        <f ca="1">AVERAGE(OFFSET($R$3,0,0,'Données projet'!$E$9+1,1))-AVERAGE(OFFSET($H$3,0,0,'Données projet'!$E$9+1,1))</f>
        <v>215.77907571824977</v>
      </c>
      <c r="T121" s="59">
        <f t="shared" si="88"/>
        <v>174.69390149594869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109.79801338449538</v>
      </c>
      <c r="AA121" s="21">
        <f>EXP(-LN(2)/25)*AA120+(1-EXP(-LN(2)/25))/(LN(2)/25)*Calculateur!V121*Calculateur!X121*VLOOKUP('Données projet'!$B$9,Paramètres!$A$1:$I$89,3,0)*0.475*44/12</f>
        <v>32.634076578938782</v>
      </c>
      <c r="AB121" s="21">
        <f>EXP(-LN(2)/2)*AB120+(1-EXP(-LN(2)/2))/(LN(2)/2)*V121*Y121*VLOOKUP('Données projet'!$B$9,Paramètres!$A$1:$I$89,3,0)*0.475*44/12</f>
        <v>1.3915816825958607</v>
      </c>
      <c r="AC121" s="22">
        <f t="shared" si="57"/>
        <v>143.82367164603002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-1.0197709343628959E-13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171.701352621833</v>
      </c>
      <c r="AO121" s="59">
        <f t="shared" si="90"/>
        <v>195.58435749168586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33.720928147428069</v>
      </c>
      <c r="AV121" s="21">
        <f>EXP(-LN(2)/25)*AV120+(1-EXP(-LN(2)/25))/(LN(2)/25)*Calculateur!AQ121*Calculateur!AS121*VLOOKUP('Données projet'!$B$10,Paramètres!$A$1:$I$89,3,0)*0.475*44/12</f>
        <v>7.9127371878646828</v>
      </c>
      <c r="AW121" s="21">
        <f>EXP(-LN(2)/2)*AW120+(1-EXP(-LN(2)/2))/(LN(2)/2)*AQ121*AT121*VLOOKUP('Données projet'!$B$10,Paramètres!$A$1:$I$89,3,0)*0.475*44/12</f>
        <v>1.6659098207357789E-7</v>
      </c>
      <c r="AX121" s="21">
        <f t="shared" si="60"/>
        <v>41.633665501883733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-1.1823431123048067E-13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348.29124901999882</v>
      </c>
      <c r="BJ121" s="59">
        <f t="shared" si="92"/>
        <v>284.30034973939053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102.39570932411812</v>
      </c>
      <c r="BQ121" s="21">
        <f>EXP(-LN(2)/25)*BQ120+(1-EXP(-LN(2)/25))/(LN(2)/25)*Calculateur!BL121*Calculateur!BN121*VLOOKUP('Données projet'!$B$11,Paramètres!$A$1:$I$89,3,0)*0.475*44/12</f>
        <v>27.121879947500432</v>
      </c>
      <c r="BR121" s="21">
        <f>EXP(-LN(2)/2)*BR120+(1-EXP(-LN(2)/2))/(LN(2)/2)*BL121*BO121*VLOOKUP('Données projet'!$B$11,Paramètres!$A$1:$I$89,3,0)*0.475*44/12</f>
        <v>1.6091729968818641E-4</v>
      </c>
      <c r="BS121" s="22">
        <f t="shared" si="63"/>
        <v>129.51775018891823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-2.2737367544323206E-13</v>
      </c>
      <c r="BZ121" s="13">
        <f>BY121*VLOOKUP('Données projet'!$B$12,Paramètres!$A$1:$I$89,3,0)*VLOOKUP('Données projet'!$B$12,Paramètres!$A$1:$I$89,5,0)</f>
        <v>-1.3596945791505279E-13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185.82627135915504</v>
      </c>
      <c r="CE121" s="59">
        <f t="shared" si="94"/>
        <v>155.46126452522037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80.617279263773995</v>
      </c>
      <c r="CL121" s="21">
        <f>EXP(-LN(2)/25)*CL120+(1-EXP(-LN(2)/25))/(LN(2)/25)*Calculateur!CG121*Calculateur!CI121*VLOOKUP('Données projet'!$B$12,Paramètres!$A$1:$I$89,3,0)*0.475*44/12</f>
        <v>24.204973754662923</v>
      </c>
      <c r="CM121" s="21">
        <f>EXP(-LN(2)/2)*CM120+(1-EXP(-LN(2)/2))/(LN(2)/2)*CG121*CJ121*VLOOKUP('Données projet'!$B$12,Paramètres!$A$1:$I$89,3,0)*0.475*44/12</f>
        <v>2.116460549265867</v>
      </c>
      <c r="CN121" s="22">
        <f t="shared" si="66"/>
        <v>106.93871356770279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1.1692307692307708</v>
      </c>
      <c r="CT121" s="12">
        <f>IF('Données projet'!$A$140&gt;35,CT120+CS121-DB120,IF(A121&lt;'Données projet'!$A$140,$CQ$205^A121,IF(A121='Données projet'!$A$140,'Données projet'!$B$140,CT120+CS121-DB120)))</f>
        <v>112.12307692307688</v>
      </c>
      <c r="CU121" s="17">
        <f>CT121*VLOOKUP('Données projet'!$B$13,Paramètres!$A$1:$I$89,3,0)*VLOOKUP('Données projet'!$B$13,Paramètres!$A$1:$I$89,5,0)</f>
        <v>129.16578461538455</v>
      </c>
      <c r="CV121" s="13">
        <f t="shared" si="95"/>
        <v>33.803524486202448</v>
      </c>
      <c r="CW121" s="20">
        <f t="shared" si="67"/>
        <v>283.83821335193062</v>
      </c>
      <c r="CX121" s="59">
        <f t="shared" si="68"/>
        <v>577.17154668526393</v>
      </c>
      <c r="CY121" s="59">
        <f ca="1">AVERAGE(OFFSET($CX$3,0,0,'Données projet'!$E$13+1,1))-AVERAGE(OFFSET($H$3,0,0,'Données projet'!$E$13+1,1))</f>
        <v>150.78964413039063</v>
      </c>
      <c r="CZ121" s="59">
        <f t="shared" si="96"/>
        <v>131.90332435966184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6.6418063855765963</v>
      </c>
      <c r="DG121" s="21">
        <f>EXP(-LN(2)/25)*DG120+(1-EXP(-LN(2)/25))/(LN(2)/25)*Calculateur!DB121*Calculateur!DD121*VLOOKUP('Données projet'!$B$13,Paramètres!$A$1:$I$89,3,0)*0.475*44/12</f>
        <v>2.7874458694043152</v>
      </c>
      <c r="DH121" s="21">
        <f>EXP(-LN(2)/2)*DH120+(1-EXP(-LN(2)/2))/(LN(2)/2)*DB121*DE121*VLOOKUP('Données projet'!$B$13,Paramètres!$A$1:$I$89,3,0)*0.475*44/12</f>
        <v>9.7633268696582023E-2</v>
      </c>
      <c r="DI121" s="22">
        <f t="shared" si="69"/>
        <v>9.5268855236774925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-1.4210854715202004E-14</v>
      </c>
      <c r="DP121" s="17">
        <f>DO121*VLOOKUP('Données projet'!$B$14,Paramètres!$A$1:$I$89,3,0)*VLOOKUP('Données projet'!$B$14,Paramètres!$A$1:$I$89,5,0)</f>
        <v>-1.4853185348329136E-14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110.10595934547638</v>
      </c>
      <c r="DU121" s="59">
        <f t="shared" si="98"/>
        <v>131.10971921141493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22.511024080625337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22.511024080625337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7.0011111111111104</v>
      </c>
      <c r="EJ121" s="12">
        <f>IF('Données projet'!$A$192&gt;35,EJ120+EI121-ER120,IF(A121&lt;'Données projet'!$A$192,$EG$205^A121,IF(A121='Données projet'!$A$192,'Données projet'!$B$192,EJ120+EI121-ER120)))</f>
        <v>287.26555555555552</v>
      </c>
      <c r="EK121" s="17">
        <f>EJ121*VLOOKUP('Données projet'!$B$15,Paramètres!$A$1:$I$89,3,0)*VLOOKUP('Données projet'!$B$15,Paramètres!$A$1:$I$89,5,0)</f>
        <v>291.2872733333333</v>
      </c>
      <c r="EL121" s="13">
        <f t="shared" si="99"/>
        <v>69.346820104270833</v>
      </c>
      <c r="EM121" s="20">
        <f t="shared" si="73"/>
        <v>628.10437940382712</v>
      </c>
      <c r="EN121" s="59">
        <f t="shared" si="74"/>
        <v>921.43771273716038</v>
      </c>
      <c r="EO121" s="59">
        <f ca="1">AVERAGE(OFFSET($EN$3,0,0,'Données projet'!$E$15+1,1))-AVERAGE(OFFSET($H$3,0,0,'Données projet'!$E$15+1,1))</f>
        <v>420.38735944595965</v>
      </c>
      <c r="EP121" s="59">
        <f t="shared" si="100"/>
        <v>200.0823542414671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19.274823934777288</v>
      </c>
      <c r="EW121" s="21">
        <f>EXP(-LN(2)/25)*EW120+(1-EXP(-LN(2)/25))/(LN(2)/25)*Calculateur!ER121*Calculateur!ET121*VLOOKUP('Données projet'!$B$15,Paramètres!$A$1:$I$89,3,0)*0.475*44/12</f>
        <v>23.630017298149834</v>
      </c>
      <c r="EX121" s="21">
        <f>EXP(-LN(2)/2)*EX120+(1-EXP(-LN(2)/2))/(LN(2)/2)*ER121*EU121*VLOOKUP('Données projet'!$B$15,Paramètres!$A$1:$I$89,3,0)*0.475*44/12</f>
        <v>0.73515490270548456</v>
      </c>
      <c r="EY121" s="22">
        <f t="shared" si="75"/>
        <v>43.639996135632607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8.7019999999999982</v>
      </c>
      <c r="FE121" s="12">
        <f>IF('Données projet'!$A$218&gt;35,FE120+FD121-FM120,IF(A121&lt;'Données projet'!$A$218,$FB$205^A121,IF(A121='Données projet'!$A$218,'Données projet'!$B$218,FE120+FD121-FM120)))</f>
        <v>366.02000000000027</v>
      </c>
      <c r="FF121" s="17">
        <f>FE121*VLOOKUP('Données projet'!$B$16,Paramètres!$A$1:$I$89,3,0)*VLOOKUP('Données projet'!$B$16,Paramètres!$A$1:$I$89,5,0)</f>
        <v>393.98392800000028</v>
      </c>
      <c r="FG121" s="13">
        <f t="shared" si="101"/>
        <v>90.555925304812519</v>
      </c>
      <c r="FH121" s="20">
        <f t="shared" si="76"/>
        <v>843.90691117254892</v>
      </c>
      <c r="FI121" s="59">
        <f t="shared" si="77"/>
        <v>1137.2402445058822</v>
      </c>
      <c r="FJ121" s="59">
        <f ca="1">AVERAGE(OFFSET($FI$3,0,0,'Données projet'!$E$16+1,1))-AVERAGE(OFFSET($H$3,0,0,'Données projet'!$E$16+1,1))</f>
        <v>415.8741608506952</v>
      </c>
      <c r="FK121" s="59">
        <f t="shared" si="102"/>
        <v>259.15848913719356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54.36698249012975</v>
      </c>
      <c r="FR121" s="21">
        <f>EXP(-LN(2)/25)*FR120+(1-EXP(-LN(2)/25))/(LN(2)/25)*Calculateur!FM121*Calculateur!FO121*VLOOKUP('Données projet'!$B$16,Paramètres!$A$1:$I$89,3,0)*0.475*44/12</f>
        <v>25.397614213791751</v>
      </c>
      <c r="FS121" s="21">
        <f>EXP(-LN(2)/2)*FS120+(1-EXP(-LN(2)/2))/(LN(2)/2)*FM121*FP121*VLOOKUP('Données projet'!$B$16,Paramètres!$A$1:$I$89,3,0)*0.475*44/12</f>
        <v>2.897173223653103E-5</v>
      </c>
      <c r="FT121" s="22">
        <f t="shared" si="78"/>
        <v>79.764625675653733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8.7019999999999982</v>
      </c>
      <c r="FZ121" s="12">
        <f>IF('Données projet'!$A$244&gt;35,FZ120+FY121-GH120,IF(A121&lt;'Données projet'!$A$244,$FW$205^A121,IF(A121='Données projet'!$A$244,'Données projet'!$B$244,FZ120+FY121-GH120)))</f>
        <v>366.02000000000027</v>
      </c>
      <c r="GA121" s="17">
        <f>FZ121*VLOOKUP('Données projet'!$B$17,Paramètres!$A$1:$I$89,3,0)*VLOOKUP('Données projet'!$B$17,Paramètres!$A$1:$I$89,5,0)</f>
        <v>314.04516000000024</v>
      </c>
      <c r="GB121" s="13">
        <f t="shared" si="103"/>
        <v>74.112982102841229</v>
      </c>
      <c r="GC121" s="20">
        <f t="shared" si="79"/>
        <v>676.04209749578217</v>
      </c>
      <c r="GD121" s="59">
        <f t="shared" si="80"/>
        <v>969.37543082911543</v>
      </c>
      <c r="GE121" s="59">
        <f ca="1">AVERAGE(OFFSET($GD$3,0,0,'Données projet'!$E$17+1,1))-AVERAGE(OFFSET($H$3,0,0,'Données projet'!$E$17+1,1))</f>
        <v>322.39807389980882</v>
      </c>
      <c r="GF121" s="59">
        <f t="shared" si="104"/>
        <v>202.59410055732792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53.414140195055026</v>
      </c>
      <c r="GM121" s="21">
        <f>EXP(-LN(2)/25)*GM120+(1-EXP(-LN(2)/25))/(LN(2)/25)*Calculateur!GH121*Calculateur!GJ121*VLOOKUP('Données projet'!$B$17,Paramètres!$A$1:$I$89,3,0)*0.475*44/12</f>
        <v>24.95249256258947</v>
      </c>
      <c r="GN121" s="21">
        <f>EXP(-LN(2)/2)*GN120+(1-EXP(-LN(2)/2))/(LN(2)/2)*GH121*GK121*VLOOKUP('Données projet'!$B$17,Paramètres!$A$1:$I$89,3,0)*0.475*44/12</f>
        <v>2.309340975375655E-5</v>
      </c>
      <c r="GO121" s="21">
        <f t="shared" si="81"/>
        <v>78.366655851054247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43.625399999999871</v>
      </c>
      <c r="D122" s="11">
        <f t="shared" si="86"/>
        <v>12.954654001898126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436.75831159359859</v>
      </c>
      <c r="H122" s="67">
        <f t="shared" si="56"/>
        <v>391.87692738663901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1.5961632016114892E-13</v>
      </c>
      <c r="P122" s="13">
        <f t="shared" si="87"/>
        <v>2.2708641912150958E-12</v>
      </c>
      <c r="Q122" s="20">
        <f t="shared" si="107"/>
        <v>4.2330868906469593E-12</v>
      </c>
      <c r="R122" s="59">
        <f t="shared" si="55"/>
        <v>293.33333333333752</v>
      </c>
      <c r="S122" s="59">
        <f ca="1">AVERAGE(OFFSET($R$3,0,0,'Données projet'!$E$9+1,1))-AVERAGE(OFFSET($H$3,0,0,'Données projet'!$E$9+1,1))</f>
        <v>215.77907571824977</v>
      </c>
      <c r="T122" s="59">
        <f t="shared" si="88"/>
        <v>174.69390149594869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107.64494131220083</v>
      </c>
      <c r="AA122" s="21">
        <f>EXP(-LN(2)/25)*AA121+(1-EXP(-LN(2)/25))/(LN(2)/25)*Calculateur!V122*Calculateur!X122*VLOOKUP('Données projet'!$B$9,Paramètres!$A$1:$I$89,3,0)*0.475*44/12</f>
        <v>31.741696038736201</v>
      </c>
      <c r="AB122" s="21">
        <f>EXP(-LN(2)/2)*AB121+(1-EXP(-LN(2)/2))/(LN(2)/2)*V122*Y122*VLOOKUP('Données projet'!$B$9,Paramètres!$A$1:$I$89,3,0)*0.475*44/12</f>
        <v>0.98399684433851897</v>
      </c>
      <c r="AC122" s="22">
        <f t="shared" si="57"/>
        <v>140.37063419527556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-1.0197709343628959E-13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171.701352621833</v>
      </c>
      <c r="AO122" s="59">
        <f t="shared" si="90"/>
        <v>195.58435749168586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33.059681314192282</v>
      </c>
      <c r="AV122" s="21">
        <f>EXP(-LN(2)/25)*AV121+(1-EXP(-LN(2)/25))/(LN(2)/25)*Calculateur!AQ122*Calculateur!AS122*VLOOKUP('Données projet'!$B$10,Paramètres!$A$1:$I$89,3,0)*0.475*44/12</f>
        <v>7.6963629733497596</v>
      </c>
      <c r="AW122" s="21">
        <f>EXP(-LN(2)/2)*AW121+(1-EXP(-LN(2)/2))/(LN(2)/2)*AQ122*AT122*VLOOKUP('Données projet'!$B$10,Paramètres!$A$1:$I$89,3,0)*0.475*44/12</f>
        <v>1.177976131087535E-7</v>
      </c>
      <c r="AX122" s="21">
        <f t="shared" si="60"/>
        <v>40.756044405339651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-1.1823431123048067E-13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348.29124901999882</v>
      </c>
      <c r="BJ122" s="59">
        <f t="shared" si="92"/>
        <v>284.30034973939053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100.38779191948791</v>
      </c>
      <c r="BQ122" s="21">
        <f>EXP(-LN(2)/25)*BQ121+(1-EXP(-LN(2)/25))/(LN(2)/25)*Calculateur!BL122*Calculateur!BN122*VLOOKUP('Données projet'!$B$11,Paramètres!$A$1:$I$89,3,0)*0.475*44/12</f>
        <v>26.380230714058353</v>
      </c>
      <c r="BR122" s="21">
        <f>EXP(-LN(2)/2)*BR121+(1-EXP(-LN(2)/2))/(LN(2)/2)*BL122*BO122*VLOOKUP('Données projet'!$B$11,Paramètres!$A$1:$I$89,3,0)*0.475*44/12</f>
        <v>1.1378571381974452E-4</v>
      </c>
      <c r="BS122" s="22">
        <f t="shared" si="63"/>
        <v>126.76813641926009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-2.2737367544323206E-13</v>
      </c>
      <c r="BZ122" s="13">
        <f>BY122*VLOOKUP('Données projet'!$B$12,Paramètres!$A$1:$I$89,3,0)*VLOOKUP('Données projet'!$B$12,Paramètres!$A$1:$I$89,5,0)</f>
        <v>-1.3596945791505279E-13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185.82627135915504</v>
      </c>
      <c r="CE122" s="59">
        <f t="shared" si="94"/>
        <v>155.46126452522037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79.036423589096444</v>
      </c>
      <c r="CL122" s="21">
        <f>EXP(-LN(2)/25)*CL121+(1-EXP(-LN(2)/25))/(LN(2)/25)*Calculateur!CG122*Calculateur!CI122*VLOOKUP('Données projet'!$B$12,Paramètres!$A$1:$I$89,3,0)*0.475*44/12</f>
        <v>23.543087474457415</v>
      </c>
      <c r="CM122" s="21">
        <f>EXP(-LN(2)/2)*CM121+(1-EXP(-LN(2)/2))/(LN(2)/2)*CG122*CJ122*VLOOKUP('Données projet'!$B$12,Paramètres!$A$1:$I$89,3,0)*0.475*44/12</f>
        <v>1.4965636064996997</v>
      </c>
      <c r="CN122" s="22">
        <f t="shared" si="66"/>
        <v>104.07607467005357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1.1692307692307708</v>
      </c>
      <c r="CT122" s="12">
        <f>IF('Données projet'!$A$140&gt;35,CT121+CS122-DB121,IF(A122&lt;'Données projet'!$A$140,$CQ$205^A122,IF(A122='Données projet'!$A$140,'Données projet'!$B$140,CT121+CS122-DB121)))</f>
        <v>113.29230769230765</v>
      </c>
      <c r="CU122" s="17">
        <f>CT122*VLOOKUP('Données projet'!$B$13,Paramètres!$A$1:$I$89,3,0)*VLOOKUP('Données projet'!$B$13,Paramètres!$A$1:$I$89,5,0)</f>
        <v>130.51273846153839</v>
      </c>
      <c r="CV122" s="13">
        <f t="shared" si="95"/>
        <v>34.114810979575623</v>
      </c>
      <c r="CW122" s="20">
        <f t="shared" si="67"/>
        <v>286.7263152766069</v>
      </c>
      <c r="CX122" s="59">
        <f t="shared" si="68"/>
        <v>580.05964860994027</v>
      </c>
      <c r="CY122" s="59">
        <f ca="1">AVERAGE(OFFSET($CX$3,0,0,'Données projet'!$E$13+1,1))-AVERAGE(OFFSET($H$3,0,0,'Données projet'!$E$13+1,1))</f>
        <v>150.78964413039063</v>
      </c>
      <c r="CZ122" s="59">
        <f t="shared" si="96"/>
        <v>131.90332435966184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6.5115646134573213</v>
      </c>
      <c r="DG122" s="21">
        <f>EXP(-LN(2)/25)*DG121+(1-EXP(-LN(2)/25))/(LN(2)/25)*Calculateur!DB122*Calculateur!DD122*VLOOKUP('Données projet'!$B$13,Paramètres!$A$1:$I$89,3,0)*0.475*44/12</f>
        <v>2.7112230155200465</v>
      </c>
      <c r="DH122" s="21">
        <f>EXP(-LN(2)/2)*DH121+(1-EXP(-LN(2)/2))/(LN(2)/2)*DB122*DE122*VLOOKUP('Données projet'!$B$13,Paramètres!$A$1:$I$89,3,0)*0.475*44/12</f>
        <v>6.9037146364761423E-2</v>
      </c>
      <c r="DI122" s="22">
        <f t="shared" si="69"/>
        <v>9.2918247753421301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-1.4210854715202004E-14</v>
      </c>
      <c r="DP122" s="17">
        <f>DO122*VLOOKUP('Données projet'!$B$14,Paramètres!$A$1:$I$89,3,0)*VLOOKUP('Données projet'!$B$14,Paramètres!$A$1:$I$89,5,0)</f>
        <v>-1.4853185348329136E-14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110.10595934547638</v>
      </c>
      <c r="DU122" s="59">
        <f t="shared" si="98"/>
        <v>131.10971921141493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21.895458943337331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21.895458943337331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7.0011111111111104</v>
      </c>
      <c r="EJ122" s="12">
        <f>IF('Données projet'!$A$192&gt;35,EJ121+EI122-ER121,IF(A122&lt;'Données projet'!$A$192,$EG$205^A122,IF(A122='Données projet'!$A$192,'Données projet'!$B$192,EJ121+EI122-ER121)))</f>
        <v>294.26666666666665</v>
      </c>
      <c r="EK122" s="17">
        <f>EJ122*VLOOKUP('Données projet'!$B$15,Paramètres!$A$1:$I$89,3,0)*VLOOKUP('Données projet'!$B$15,Paramètres!$A$1:$I$89,5,0)</f>
        <v>298.38640000000004</v>
      </c>
      <c r="EL122" s="13">
        <f t="shared" si="99"/>
        <v>70.838084831776925</v>
      </c>
      <c r="EM122" s="20">
        <f t="shared" si="73"/>
        <v>643.06597774867816</v>
      </c>
      <c r="EN122" s="59">
        <f t="shared" si="74"/>
        <v>936.39931108201154</v>
      </c>
      <c r="EO122" s="59">
        <f ca="1">AVERAGE(OFFSET($EN$3,0,0,'Données projet'!$E$15+1,1))-AVERAGE(OFFSET($H$3,0,0,'Données projet'!$E$15+1,1))</f>
        <v>420.38735944595965</v>
      </c>
      <c r="EP122" s="59">
        <f t="shared" si="100"/>
        <v>200.0823542414671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18.896856393898048</v>
      </c>
      <c r="EW122" s="21">
        <f>EXP(-LN(2)/25)*EW121+(1-EXP(-LN(2)/25))/(LN(2)/25)*Calculateur!ER122*Calculateur!ET122*VLOOKUP('Données projet'!$B$15,Paramètres!$A$1:$I$89,3,0)*0.475*44/12</f>
        <v>22.983853232483323</v>
      </c>
      <c r="EX122" s="21">
        <f>EXP(-LN(2)/2)*EX121+(1-EXP(-LN(2)/2))/(LN(2)/2)*ER122*EU122*VLOOKUP('Données projet'!$B$15,Paramètres!$A$1:$I$89,3,0)*0.475*44/12</f>
        <v>0.5198330169255847</v>
      </c>
      <c r="EY122" s="22">
        <f t="shared" si="75"/>
        <v>42.400542643306963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8.7019999999999982</v>
      </c>
      <c r="FE122" s="12">
        <f>IF('Données projet'!$A$218&gt;35,FE121+FD122-FM121,IF(A122&lt;'Données projet'!$A$218,$FB$205^A122,IF(A122='Données projet'!$A$218,'Données projet'!$B$218,FE121+FD122-FM121)))</f>
        <v>374.72200000000026</v>
      </c>
      <c r="FF122" s="17">
        <f>FE122*VLOOKUP('Données projet'!$B$16,Paramètres!$A$1:$I$89,3,0)*VLOOKUP('Données projet'!$B$16,Paramètres!$A$1:$I$89,5,0)</f>
        <v>403.35076080000027</v>
      </c>
      <c r="FG122" s="13">
        <f t="shared" si="101"/>
        <v>92.455650388310644</v>
      </c>
      <c r="FH122" s="20">
        <f t="shared" si="76"/>
        <v>863.52949948630805</v>
      </c>
      <c r="FI122" s="59">
        <f t="shared" si="77"/>
        <v>1156.8628328196414</v>
      </c>
      <c r="FJ122" s="59">
        <f ca="1">AVERAGE(OFFSET($FI$3,0,0,'Données projet'!$E$16+1,1))-AVERAGE(OFFSET($H$3,0,0,'Données projet'!$E$16+1,1))</f>
        <v>415.8741608506952</v>
      </c>
      <c r="FK122" s="59">
        <f t="shared" si="102"/>
        <v>259.15848913719356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53.300879124083288</v>
      </c>
      <c r="FR122" s="21">
        <f>EXP(-LN(2)/25)*FR121+(1-EXP(-LN(2)/25))/(LN(2)/25)*Calculateur!FM122*Calculateur!FO122*VLOOKUP('Données projet'!$B$16,Paramètres!$A$1:$I$89,3,0)*0.475*44/12</f>
        <v>24.703115117513132</v>
      </c>
      <c r="FS122" s="21">
        <f>EXP(-LN(2)/2)*FS121+(1-EXP(-LN(2)/2))/(LN(2)/2)*FM122*FP122*VLOOKUP('Données projet'!$B$16,Paramètres!$A$1:$I$89,3,0)*0.475*44/12</f>
        <v>2.0486108327171994E-5</v>
      </c>
      <c r="FT122" s="22">
        <f t="shared" si="78"/>
        <v>78.004014727704742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8.7019999999999982</v>
      </c>
      <c r="FZ122" s="12">
        <f>IF('Données projet'!$A$244&gt;35,FZ121+FY122-GH121,IF(A122&lt;'Données projet'!$A$244,$FW$205^A122,IF(A122='Données projet'!$A$244,'Données projet'!$B$244,FZ121+FY122-GH121)))</f>
        <v>374.72200000000026</v>
      </c>
      <c r="GA122" s="17">
        <f>FZ122*VLOOKUP('Données projet'!$B$17,Paramètres!$A$1:$I$89,3,0)*VLOOKUP('Données projet'!$B$17,Paramètres!$A$1:$I$89,5,0)</f>
        <v>321.51147600000024</v>
      </c>
      <c r="GB122" s="13">
        <f t="shared" si="103"/>
        <v>75.667759337347974</v>
      </c>
      <c r="GC122" s="20">
        <f t="shared" si="79"/>
        <v>691.75383487921488</v>
      </c>
      <c r="GD122" s="59">
        <f t="shared" si="80"/>
        <v>985.08716821254825</v>
      </c>
      <c r="GE122" s="59">
        <f ca="1">AVERAGE(OFFSET($GD$3,0,0,'Données projet'!$E$17+1,1))-AVERAGE(OFFSET($H$3,0,0,'Données projet'!$E$17+1,1))</f>
        <v>322.39807389980882</v>
      </c>
      <c r="GF122" s="59">
        <f t="shared" si="104"/>
        <v>202.59410055732792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52.366721485238564</v>
      </c>
      <c r="GM122" s="21">
        <f>EXP(-LN(2)/25)*GM121+(1-EXP(-LN(2)/25))/(LN(2)/25)*Calculateur!GH122*Calculateur!GJ122*VLOOKUP('Données projet'!$B$17,Paramètres!$A$1:$I$89,3,0)*0.475*44/12</f>
        <v>24.270165341270907</v>
      </c>
      <c r="GN122" s="21">
        <f>EXP(-LN(2)/2)*GN121+(1-EXP(-LN(2)/2))/(LN(2)/2)*GH122*GK122*VLOOKUP('Données projet'!$B$17,Paramètres!$A$1:$I$89,3,0)*0.475*44/12</f>
        <v>1.6329506637600815E-5</v>
      </c>
      <c r="GO122" s="21">
        <f t="shared" si="81"/>
        <v>76.636903156016103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43.991999999999869</v>
      </c>
      <c r="D123" s="11">
        <f t="shared" si="86"/>
        <v>13.05079813120684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440.33037153913955</v>
      </c>
      <c r="H123" s="67">
        <f t="shared" si="56"/>
        <v>392.68287341185169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1.5961632016114892E-13</v>
      </c>
      <c r="P123" s="13">
        <f t="shared" si="87"/>
        <v>2.2708641912150958E-12</v>
      </c>
      <c r="Q123" s="20">
        <f t="shared" si="107"/>
        <v>4.2330868906469593E-12</v>
      </c>
      <c r="R123" s="59">
        <f t="shared" si="55"/>
        <v>293.33333333333752</v>
      </c>
      <c r="S123" s="59">
        <f ca="1">AVERAGE(OFFSET($R$3,0,0,'Données projet'!$E$9+1,1))-AVERAGE(OFFSET($H$3,0,0,'Données projet'!$E$9+1,1))</f>
        <v>215.77907571824977</v>
      </c>
      <c r="T123" s="59">
        <f t="shared" si="88"/>
        <v>174.69390149594869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105.53408966999969</v>
      </c>
      <c r="AA123" s="21">
        <f>EXP(-LN(2)/25)*AA122+(1-EXP(-LN(2)/25))/(LN(2)/25)*Calculateur!V123*Calculateur!X123*VLOOKUP('Données projet'!$B$9,Paramètres!$A$1:$I$89,3,0)*0.475*44/12</f>
        <v>30.873717691333713</v>
      </c>
      <c r="AB123" s="21">
        <f>EXP(-LN(2)/2)*AB122+(1-EXP(-LN(2)/2))/(LN(2)/2)*V123*Y123*VLOOKUP('Données projet'!$B$9,Paramètres!$A$1:$I$89,3,0)*0.475*44/12</f>
        <v>0.69579084129793045</v>
      </c>
      <c r="AC123" s="22">
        <f t="shared" si="57"/>
        <v>137.10359820263133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-1.0197709343628959E-13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171.701352621833</v>
      </c>
      <c r="AO123" s="59">
        <f t="shared" si="90"/>
        <v>195.58435749168586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32.4114011280355</v>
      </c>
      <c r="AV123" s="21">
        <f>EXP(-LN(2)/25)*AV122+(1-EXP(-LN(2)/25))/(LN(2)/25)*Calculateur!AQ123*Calculateur!AS123*VLOOKUP('Données projet'!$B$10,Paramètres!$A$1:$I$89,3,0)*0.475*44/12</f>
        <v>7.4859055231093716</v>
      </c>
      <c r="AW123" s="21">
        <f>EXP(-LN(2)/2)*AW122+(1-EXP(-LN(2)/2))/(LN(2)/2)*AQ123*AT123*VLOOKUP('Données projet'!$B$10,Paramètres!$A$1:$I$89,3,0)*0.475*44/12</f>
        <v>8.3295491036788957E-8</v>
      </c>
      <c r="AX123" s="21">
        <f t="shared" si="60"/>
        <v>39.897306734440363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-1.1823431123048067E-13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348.29124901999882</v>
      </c>
      <c r="BJ123" s="59">
        <f t="shared" si="92"/>
        <v>284.30034973939053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98.419248550453815</v>
      </c>
      <c r="BQ123" s="21">
        <f>EXP(-LN(2)/25)*BQ122+(1-EXP(-LN(2)/25))/(LN(2)/25)*Calculateur!BL123*Calculateur!BN123*VLOOKUP('Données projet'!$B$11,Paramètres!$A$1:$I$89,3,0)*0.475*44/12</f>
        <v>25.658861917906385</v>
      </c>
      <c r="BR123" s="21">
        <f>EXP(-LN(2)/2)*BR122+(1-EXP(-LN(2)/2))/(LN(2)/2)*BL123*BO123*VLOOKUP('Données projet'!$B$11,Paramètres!$A$1:$I$89,3,0)*0.475*44/12</f>
        <v>8.0458649844093204E-5</v>
      </c>
      <c r="BS123" s="22">
        <f t="shared" si="63"/>
        <v>124.07819092701004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-2.2737367544323206E-13</v>
      </c>
      <c r="BZ123" s="13">
        <f>BY123*VLOOKUP('Données projet'!$B$12,Paramètres!$A$1:$I$89,3,0)*VLOOKUP('Données projet'!$B$12,Paramètres!$A$1:$I$89,5,0)</f>
        <v>-1.3596945791505279E-13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185.82627135915504</v>
      </c>
      <c r="CE123" s="59">
        <f t="shared" si="94"/>
        <v>155.46126452522037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77.486567529972561</v>
      </c>
      <c r="CL123" s="21">
        <f>EXP(-LN(2)/25)*CL122+(1-EXP(-LN(2)/25))/(LN(2)/25)*Calculateur!CG123*Calculateur!CI123*VLOOKUP('Données projet'!$B$12,Paramètres!$A$1:$I$89,3,0)*0.475*44/12</f>
        <v>22.899300509391214</v>
      </c>
      <c r="CM123" s="21">
        <f>EXP(-LN(2)/2)*CM122+(1-EXP(-LN(2)/2))/(LN(2)/2)*CG123*CJ123*VLOOKUP('Données projet'!$B$12,Paramètres!$A$1:$I$89,3,0)*0.475*44/12</f>
        <v>1.0582302746329335</v>
      </c>
      <c r="CN123" s="22">
        <f t="shared" si="66"/>
        <v>101.4440983139967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114.46153846153847</v>
      </c>
      <c r="CR123" s="12">
        <f>VLOOKUP(A123,'Données projet'!$A$139:$I$159,9,0)</f>
        <v>1.1692307692307708</v>
      </c>
      <c r="CS123" s="12">
        <f t="array" ref="CS123">INDEX(CR:CR,MIN(IF(ISNUMBER(CR123:CR319),ROW(CR123:CR319),"")))</f>
        <v>1.1692307692307708</v>
      </c>
      <c r="CT123" s="12">
        <f>IF('Données projet'!$A$140&gt;35,CT122+CS123-DB122,IF(A123&lt;'Données projet'!$A$140,$CQ$205^A123,IF(A123='Données projet'!$A$140,'Données projet'!$B$140,CT122+CS123-DB122)))</f>
        <v>114.46153846153841</v>
      </c>
      <c r="CU123" s="17">
        <f>CT123*VLOOKUP('Données projet'!$B$13,Paramètres!$A$1:$I$89,3,0)*VLOOKUP('Données projet'!$B$13,Paramètres!$A$1:$I$89,5,0)</f>
        <v>131.85969230769223</v>
      </c>
      <c r="CV123" s="13">
        <f t="shared" si="95"/>
        <v>34.425723740858395</v>
      </c>
      <c r="CW123" s="20">
        <f t="shared" si="67"/>
        <v>289.61376628455901</v>
      </c>
      <c r="CX123" s="59">
        <f t="shared" si="68"/>
        <v>582.94709961789226</v>
      </c>
      <c r="CY123" s="59">
        <f ca="1">AVERAGE(OFFSET($CX$3,0,0,'Données projet'!$E$13+1,1))-AVERAGE(OFFSET($H$3,0,0,'Données projet'!$E$13+1,1))</f>
        <v>150.78964413039063</v>
      </c>
      <c r="CZ123" s="59">
        <f t="shared" si="96"/>
        <v>131.90332435966184</v>
      </c>
      <c r="DA123" s="15">
        <f>IF(ISNA(VLOOKUP(A123,'Données projet'!$A$139:$I$159,3,0)),0,VLOOKUP(A123,'Données projet'!$A$139:$I$159,3,0))</f>
        <v>12</v>
      </c>
      <c r="DB123" s="15">
        <f>IF(ISNA(VLOOKUP(A123,'Données projet'!$A$139:$I$159,4,0)),0,VLOOKUP(A123,'Données projet'!$A$139:$I$159,4,0))</f>
        <v>10.153846153846153</v>
      </c>
      <c r="DC123" s="16">
        <f>IF(ISNA(VLOOKUP(A123,'Données projet'!$A$139:$I$159,5,0)),0%,VLOOKUP(A123,'Données projet'!$A$139:$I$159,5,0)*VLOOKUP('Données projet'!$B$13,Paramètres!$A$1:$I$89,7,0))</f>
        <v>0.18000000000000002</v>
      </c>
      <c r="DD123" s="16">
        <f>IF(ISNA(VLOOKUP(A123,'Données projet'!$A$139:$I$159,6,0)),0%,VLOOKUP(A123,'Données projet'!$A$139:$I$159,6,0)*VLOOKUP('Données projet'!$B$13,Paramètres!$A$1:$I$89,7,0))</f>
        <v>9.0000000000000011E-2</v>
      </c>
      <c r="DE123" s="16">
        <f>IF(ISNA(VLOOKUP(A123,'Données projet'!$A$139:$I$159,7,0)),0%,VLOOKUP(A123,'Données projet'!$A$139:$I$159,7,0))</f>
        <v>0.2</v>
      </c>
      <c r="DF123" s="21">
        <f>EXP(-LN(2)/35)*DF122+(1-EXP(-LN(2)/35))/(LN(2)/35)*DB123*DC123*VLOOKUP('Données projet'!$B$13,Paramètres!$A$1:$I$89,3,0)*0.475*44/12</f>
        <v>7.8967970331893556</v>
      </c>
      <c r="DG123" s="21">
        <f>EXP(-LN(2)/25)*DG122+(1-EXP(-LN(2)/25))/(LN(2)/25)*Calculateur!DB123*Calculateur!DD123*VLOOKUP('Données projet'!$B$13,Paramètres!$A$1:$I$89,3,0)*0.475*44/12</f>
        <v>3.3905661229465416</v>
      </c>
      <c r="DH123" s="21">
        <f>EXP(-LN(2)/2)*DH122+(1-EXP(-LN(2)/2))/(LN(2)/2)*DB123*DE123*VLOOKUP('Données projet'!$B$13,Paramètres!$A$1:$I$89,3,0)*0.475*44/12</f>
        <v>1.4835814017738287</v>
      </c>
      <c r="DI123" s="22">
        <f t="shared" si="69"/>
        <v>12.770944557909726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-1.4210854715202004E-14</v>
      </c>
      <c r="DP123" s="17">
        <f>DO123*VLOOKUP('Données projet'!$B$14,Paramètres!$A$1:$I$89,3,0)*VLOOKUP('Données projet'!$B$14,Paramètres!$A$1:$I$89,5,0)</f>
        <v>-1.4853185348329136E-14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110.10595934547638</v>
      </c>
      <c r="DU123" s="59">
        <f t="shared" si="98"/>
        <v>131.10971921141493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21.296726467099628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21.296726467099628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7.0011111111111104</v>
      </c>
      <c r="EJ123" s="12">
        <f>IF('Données projet'!$A$192&gt;35,EJ122+EI123-ER122,IF(A123&lt;'Données projet'!$A$192,$EG$205^A123,IF(A123='Données projet'!$A$192,'Données projet'!$B$192,EJ122+EI123-ER122)))</f>
        <v>301.26777777777778</v>
      </c>
      <c r="EK123" s="17">
        <f>EJ123*VLOOKUP('Données projet'!$B$15,Paramètres!$A$1:$I$89,3,0)*VLOOKUP('Données projet'!$B$15,Paramètres!$A$1:$I$89,5,0)</f>
        <v>305.48552666666666</v>
      </c>
      <c r="EL123" s="13">
        <f t="shared" si="99"/>
        <v>72.325225017462003</v>
      </c>
      <c r="EM123" s="20">
        <f t="shared" si="73"/>
        <v>658.020392516524</v>
      </c>
      <c r="EN123" s="59">
        <f t="shared" si="74"/>
        <v>951.35372584985726</v>
      </c>
      <c r="EO123" s="59">
        <f ca="1">AVERAGE(OFFSET($EN$3,0,0,'Données projet'!$E$15+1,1))-AVERAGE(OFFSET($H$3,0,0,'Données projet'!$E$15+1,1))</f>
        <v>420.38735944595965</v>
      </c>
      <c r="EP123" s="59">
        <f t="shared" si="100"/>
        <v>200.0823542414671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18.526300565958014</v>
      </c>
      <c r="EW123" s="21">
        <f>EXP(-LN(2)/25)*EW122+(1-EXP(-LN(2)/25))/(LN(2)/25)*Calculateur!ER123*Calculateur!ET123*VLOOKUP('Données projet'!$B$15,Paramètres!$A$1:$I$89,3,0)*0.475*44/12</f>
        <v>22.355358557172757</v>
      </c>
      <c r="EX123" s="21">
        <f>EXP(-LN(2)/2)*EX122+(1-EXP(-LN(2)/2))/(LN(2)/2)*ER123*EU123*VLOOKUP('Données projet'!$B$15,Paramètres!$A$1:$I$89,3,0)*0.475*44/12</f>
        <v>0.36757745135274228</v>
      </c>
      <c r="EY123" s="22">
        <f t="shared" si="75"/>
        <v>41.249236574483518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8.7019999999999982</v>
      </c>
      <c r="FE123" s="12">
        <f>IF('Données projet'!$A$218&gt;35,FE122+FD123-FM122,IF(A123&lt;'Données projet'!$A$218,$FB$205^A123,IF(A123='Données projet'!$A$218,'Données projet'!$B$218,FE122+FD123-FM122)))</f>
        <v>383.42400000000026</v>
      </c>
      <c r="FF123" s="17">
        <f>FE123*VLOOKUP('Données projet'!$B$16,Paramètres!$A$1:$I$89,3,0)*VLOOKUP('Données projet'!$B$16,Paramètres!$A$1:$I$89,5,0)</f>
        <v>412.71759360000021</v>
      </c>
      <c r="FG123" s="13">
        <f t="shared" si="101"/>
        <v>94.350246762978841</v>
      </c>
      <c r="FH123" s="20">
        <f t="shared" si="76"/>
        <v>883.14315529885516</v>
      </c>
      <c r="FI123" s="59">
        <f t="shared" si="77"/>
        <v>1176.4764886321884</v>
      </c>
      <c r="FJ123" s="59">
        <f ca="1">AVERAGE(OFFSET($FI$3,0,0,'Données projet'!$E$16+1,1))-AVERAGE(OFFSET($H$3,0,0,'Données projet'!$E$16+1,1))</f>
        <v>415.8741608506952</v>
      </c>
      <c r="FK123" s="59">
        <f t="shared" si="102"/>
        <v>259.15848913719356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52.255681394786151</v>
      </c>
      <c r="FR123" s="21">
        <f>EXP(-LN(2)/25)*FR122+(1-EXP(-LN(2)/25))/(LN(2)/25)*Calculateur!FM123*Calculateur!FO123*VLOOKUP('Données projet'!$B$16,Paramètres!$A$1:$I$89,3,0)*0.475*44/12</f>
        <v>24.027607135544372</v>
      </c>
      <c r="FS123" s="21">
        <f>EXP(-LN(2)/2)*FS122+(1-EXP(-LN(2)/2))/(LN(2)/2)*FM123*FP123*VLOOKUP('Données projet'!$B$16,Paramètres!$A$1:$I$89,3,0)*0.475*44/12</f>
        <v>1.4485866118265517E-5</v>
      </c>
      <c r="FT123" s="22">
        <f t="shared" si="78"/>
        <v>76.283303016196641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8.7019999999999982</v>
      </c>
      <c r="FZ123" s="12">
        <f>IF('Données projet'!$A$244&gt;35,FZ122+FY123-GH122,IF(A123&lt;'Données projet'!$A$244,$FW$205^A123,IF(A123='Données projet'!$A$244,'Données projet'!$B$244,FZ122+FY123-GH122)))</f>
        <v>383.42400000000026</v>
      </c>
      <c r="GA123" s="17">
        <f>FZ123*VLOOKUP('Données projet'!$B$17,Paramètres!$A$1:$I$89,3,0)*VLOOKUP('Données projet'!$B$17,Paramètres!$A$1:$I$89,5,0)</f>
        <v>328.97779200000025</v>
      </c>
      <c r="GB123" s="13">
        <f t="shared" si="103"/>
        <v>77.218339122549835</v>
      </c>
      <c r="GC123" s="20">
        <f t="shared" si="79"/>
        <v>707.45826170510793</v>
      </c>
      <c r="GD123" s="59">
        <f t="shared" si="80"/>
        <v>1000.7915950384413</v>
      </c>
      <c r="GE123" s="59">
        <f ca="1">AVERAGE(OFFSET($GD$3,0,0,'Données projet'!$E$17+1,1))-AVERAGE(OFFSET($H$3,0,0,'Données projet'!$E$17+1,1))</f>
        <v>322.39807389980882</v>
      </c>
      <c r="GF123" s="59">
        <f t="shared" si="104"/>
        <v>202.59410055732792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51.339842017459276</v>
      </c>
      <c r="GM123" s="21">
        <f>EXP(-LN(2)/25)*GM122+(1-EXP(-LN(2)/25))/(LN(2)/25)*Calculateur!GH123*Calculateur!GJ123*VLOOKUP('Données projet'!$B$17,Paramètres!$A$1:$I$89,3,0)*0.475*44/12</f>
        <v>23.606496393701327</v>
      </c>
      <c r="GN123" s="21">
        <f>EXP(-LN(2)/2)*GN122+(1-EXP(-LN(2)/2))/(LN(2)/2)*GH123*GK123*VLOOKUP('Données projet'!$B$17,Paramètres!$A$1:$I$89,3,0)*0.475*44/12</f>
        <v>1.1546704876878275E-5</v>
      </c>
      <c r="GO123" s="21">
        <f t="shared" si="81"/>
        <v>74.946349957865493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44.358599999999868</v>
      </c>
      <c r="D124" s="11">
        <f t="shared" si="86"/>
        <v>13.146849044785368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443.901711924658</v>
      </c>
      <c r="H124" s="67">
        <f t="shared" si="56"/>
        <v>393.48865708633429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1.5961632016114892E-13</v>
      </c>
      <c r="P124" s="13">
        <f t="shared" si="87"/>
        <v>2.2708641912150958E-12</v>
      </c>
      <c r="Q124" s="20">
        <f t="shared" si="107"/>
        <v>4.2330868906469593E-12</v>
      </c>
      <c r="R124" s="59">
        <f t="shared" si="55"/>
        <v>293.33333333333752</v>
      </c>
      <c r="S124" s="59">
        <f ca="1">AVERAGE(OFFSET($R$3,0,0,'Données projet'!$E$9+1,1))-AVERAGE(OFFSET($H$3,0,0,'Données projet'!$E$9+1,1))</f>
        <v>215.77907571824977</v>
      </c>
      <c r="T124" s="59">
        <f t="shared" si="88"/>
        <v>174.69390149594869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103.46463054100974</v>
      </c>
      <c r="AA124" s="21">
        <f>EXP(-LN(2)/25)*AA123+(1-EXP(-LN(2)/25))/(LN(2)/25)*Calculateur!V124*Calculateur!X124*VLOOKUP('Données projet'!$B$9,Paramètres!$A$1:$I$89,3,0)*0.475*44/12</f>
        <v>30.029474257485941</v>
      </c>
      <c r="AB124" s="21">
        <f>EXP(-LN(2)/2)*AB123+(1-EXP(-LN(2)/2))/(LN(2)/2)*V124*Y124*VLOOKUP('Données projet'!$B$9,Paramètres!$A$1:$I$89,3,0)*0.475*44/12</f>
        <v>0.49199842216925954</v>
      </c>
      <c r="AC124" s="22">
        <f t="shared" si="57"/>
        <v>133.98610322066492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-1.0197709343628959E-13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171.701352621833</v>
      </c>
      <c r="AO124" s="59">
        <f t="shared" si="90"/>
        <v>195.58435749168586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31.775833320917386</v>
      </c>
      <c r="AV124" s="21">
        <f>EXP(-LN(2)/25)*AV123+(1-EXP(-LN(2)/25))/(LN(2)/25)*Calculateur!AQ124*Calculateur!AS124*VLOOKUP('Données projet'!$B$10,Paramètres!$A$1:$I$89,3,0)*0.475*44/12</f>
        <v>7.2812030429132832</v>
      </c>
      <c r="AW124" s="21">
        <f>EXP(-LN(2)/2)*AW123+(1-EXP(-LN(2)/2))/(LN(2)/2)*AQ124*AT124*VLOOKUP('Données projet'!$B$10,Paramètres!$A$1:$I$89,3,0)*0.475*44/12</f>
        <v>5.8898806554376765E-8</v>
      </c>
      <c r="AX124" s="21">
        <f t="shared" si="60"/>
        <v>39.057036422729475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-1.1823431123048067E-13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348.29124901999882</v>
      </c>
      <c r="BJ124" s="59">
        <f t="shared" si="92"/>
        <v>284.30034973939053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96.489307116193586</v>
      </c>
      <c r="BQ124" s="21">
        <f>EXP(-LN(2)/25)*BQ123+(1-EXP(-LN(2)/25))/(LN(2)/25)*Calculateur!BL124*Calculateur!BN124*VLOOKUP('Données projet'!$B$11,Paramètres!$A$1:$I$89,3,0)*0.475*44/12</f>
        <v>24.95721898942033</v>
      </c>
      <c r="BR124" s="21">
        <f>EXP(-LN(2)/2)*BR123+(1-EXP(-LN(2)/2))/(LN(2)/2)*BL124*BO124*VLOOKUP('Données projet'!$B$11,Paramètres!$A$1:$I$89,3,0)*0.475*44/12</f>
        <v>5.689285690987226E-5</v>
      </c>
      <c r="BS124" s="22">
        <f t="shared" si="63"/>
        <v>121.44658299847082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-2.2737367544323206E-13</v>
      </c>
      <c r="BZ124" s="13">
        <f>BY124*VLOOKUP('Données projet'!$B$12,Paramètres!$A$1:$I$89,3,0)*VLOOKUP('Données projet'!$B$12,Paramètres!$A$1:$I$89,5,0)</f>
        <v>-1.3596945791505279E-13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185.82627135915504</v>
      </c>
      <c r="CE124" s="59">
        <f t="shared" si="94"/>
        <v>155.46126452522037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75.967103202849245</v>
      </c>
      <c r="CL124" s="21">
        <f>EXP(-LN(2)/25)*CL123+(1-EXP(-LN(2)/25))/(LN(2)/25)*Calculateur!CG124*Calculateur!CI124*VLOOKUP('Données projet'!$B$12,Paramètres!$A$1:$I$89,3,0)*0.475*44/12</f>
        <v>22.273117932740035</v>
      </c>
      <c r="CM124" s="21">
        <f>EXP(-LN(2)/2)*CM123+(1-EXP(-LN(2)/2))/(LN(2)/2)*CG124*CJ124*VLOOKUP('Données projet'!$B$12,Paramètres!$A$1:$I$89,3,0)*0.475*44/12</f>
        <v>0.74828180324984983</v>
      </c>
      <c r="CN124" s="22">
        <f t="shared" si="66"/>
        <v>98.988502938839133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1.0692307692307679</v>
      </c>
      <c r="CT124" s="12">
        <f>IF('Données projet'!$A$140&gt;35,CT123+CS124-DB123,IF(A124&lt;'Données projet'!$A$140,$CQ$205^A124,IF(A124='Données projet'!$A$140,'Données projet'!$B$140,CT123+CS124-DB123)))</f>
        <v>105.37692307692302</v>
      </c>
      <c r="CU124" s="17">
        <f>CT124*VLOOKUP('Données projet'!$B$13,Paramètres!$A$1:$I$89,3,0)*VLOOKUP('Données projet'!$B$13,Paramètres!$A$1:$I$89,5,0)</f>
        <v>121.39421538461531</v>
      </c>
      <c r="CV124" s="13">
        <f t="shared" si="95"/>
        <v>31.999958198401973</v>
      </c>
      <c r="CW124" s="20">
        <f t="shared" si="67"/>
        <v>267.16151899042177</v>
      </c>
      <c r="CX124" s="59">
        <f t="shared" si="68"/>
        <v>560.49485232375514</v>
      </c>
      <c r="CY124" s="59">
        <f ca="1">AVERAGE(OFFSET($CX$3,0,0,'Données projet'!$E$13+1,1))-AVERAGE(OFFSET($H$3,0,0,'Données projet'!$E$13+1,1))</f>
        <v>150.78964413039063</v>
      </c>
      <c r="CZ124" s="59">
        <f t="shared" si="96"/>
        <v>131.90332435966184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7.7419456599391054</v>
      </c>
      <c r="DG124" s="21">
        <f>EXP(-LN(2)/25)*DG123+(1-EXP(-LN(2)/25))/(LN(2)/25)*Calculateur!DB124*Calculateur!DD124*VLOOKUP('Données projet'!$B$13,Paramètres!$A$1:$I$89,3,0)*0.475*44/12</f>
        <v>3.2978509140124452</v>
      </c>
      <c r="DH124" s="21">
        <f>EXP(-LN(2)/2)*DH123+(1-EXP(-LN(2)/2))/(LN(2)/2)*DB124*DE124*VLOOKUP('Données projet'!$B$13,Paramètres!$A$1:$I$89,3,0)*0.475*44/12</f>
        <v>1.0490504696365182</v>
      </c>
      <c r="DI124" s="22">
        <f t="shared" si="69"/>
        <v>12.088847043588068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-1.4210854715202004E-14</v>
      </c>
      <c r="DP124" s="17">
        <f>DO124*VLOOKUP('Données projet'!$B$14,Paramètres!$A$1:$I$89,3,0)*VLOOKUP('Données projet'!$B$14,Paramètres!$A$1:$I$89,5,0)</f>
        <v>-1.4853185348329136E-14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110.10595934547638</v>
      </c>
      <c r="DU124" s="59">
        <f t="shared" si="98"/>
        <v>131.10971921141493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20.714366361910617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20.714366361910617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7.0011111111111104</v>
      </c>
      <c r="EJ124" s="12">
        <f>IF('Données projet'!$A$192&gt;35,EJ123+EI124-ER123,IF(A124&lt;'Données projet'!$A$192,$EG$205^A124,IF(A124='Données projet'!$A$192,'Données projet'!$B$192,EJ123+EI124-ER123)))</f>
        <v>308.26888888888891</v>
      </c>
      <c r="EK124" s="17">
        <f>EJ124*VLOOKUP('Données projet'!$B$15,Paramètres!$A$1:$I$89,3,0)*VLOOKUP('Données projet'!$B$15,Paramètres!$A$1:$I$89,5,0)</f>
        <v>312.58465333333339</v>
      </c>
      <c r="EL124" s="13">
        <f t="shared" si="99"/>
        <v>73.808347542593367</v>
      </c>
      <c r="EM124" s="20">
        <f t="shared" si="73"/>
        <v>672.96780985890575</v>
      </c>
      <c r="EN124" s="59">
        <f t="shared" si="74"/>
        <v>966.30114319223912</v>
      </c>
      <c r="EO124" s="59">
        <f ca="1">AVERAGE(OFFSET($EN$3,0,0,'Données projet'!$E$15+1,1))-AVERAGE(OFFSET($H$3,0,0,'Données projet'!$E$15+1,1))</f>
        <v>420.38735944595965</v>
      </c>
      <c r="EP124" s="59">
        <f t="shared" si="100"/>
        <v>200.0823542414671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18.163011111787146</v>
      </c>
      <c r="EW124" s="21">
        <f>EXP(-LN(2)/25)*EW123+(1-EXP(-LN(2)/25))/(LN(2)/25)*Calculateur!ER124*Calculateur!ET124*VLOOKUP('Données projet'!$B$15,Paramètres!$A$1:$I$89,3,0)*0.475*44/12</f>
        <v>21.744050101809655</v>
      </c>
      <c r="EX124" s="21">
        <f>EXP(-LN(2)/2)*EX123+(1-EXP(-LN(2)/2))/(LN(2)/2)*ER124*EU124*VLOOKUP('Données projet'!$B$15,Paramètres!$A$1:$I$89,3,0)*0.475*44/12</f>
        <v>0.25991650846279235</v>
      </c>
      <c r="EY124" s="22">
        <f t="shared" si="75"/>
        <v>40.166977722059599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8.7019999999999982</v>
      </c>
      <c r="FE124" s="12">
        <f>IF('Données projet'!$A$218&gt;35,FE123+FD124-FM123,IF(A124&lt;'Données projet'!$A$218,$FB$205^A124,IF(A124='Données projet'!$A$218,'Données projet'!$B$218,FE123+FD124-FM123)))</f>
        <v>392.12600000000026</v>
      </c>
      <c r="FF124" s="17">
        <f>FE124*VLOOKUP('Données projet'!$B$16,Paramètres!$A$1:$I$89,3,0)*VLOOKUP('Données projet'!$B$16,Paramètres!$A$1:$I$89,5,0)</f>
        <v>422.08442640000027</v>
      </c>
      <c r="FG124" s="13">
        <f t="shared" si="101"/>
        <v>96.239844227259752</v>
      </c>
      <c r="FH124" s="20">
        <f t="shared" si="76"/>
        <v>902.74810467581119</v>
      </c>
      <c r="FI124" s="59">
        <f t="shared" si="77"/>
        <v>1196.0814380091444</v>
      </c>
      <c r="FJ124" s="59">
        <f ca="1">AVERAGE(OFFSET($FI$3,0,0,'Données projet'!$E$16+1,1))-AVERAGE(OFFSET($H$3,0,0,'Données projet'!$E$16+1,1))</f>
        <v>415.8741608506952</v>
      </c>
      <c r="FK124" s="59">
        <f t="shared" si="102"/>
        <v>259.15848913719356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51.230979355452867</v>
      </c>
      <c r="FR124" s="21">
        <f>EXP(-LN(2)/25)*FR123+(1-EXP(-LN(2)/25))/(LN(2)/25)*Calculateur!FM124*Calculateur!FO124*VLOOKUP('Données projet'!$B$16,Paramètres!$A$1:$I$89,3,0)*0.475*44/12</f>
        <v>23.370570954865968</v>
      </c>
      <c r="FS124" s="21">
        <f>EXP(-LN(2)/2)*FS123+(1-EXP(-LN(2)/2))/(LN(2)/2)*FM124*FP124*VLOOKUP('Données projet'!$B$16,Paramètres!$A$1:$I$89,3,0)*0.475*44/12</f>
        <v>1.0243054163585999E-5</v>
      </c>
      <c r="FT124" s="22">
        <f t="shared" si="78"/>
        <v>74.601560553372991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8.7019999999999982</v>
      </c>
      <c r="FZ124" s="12">
        <f>IF('Données projet'!$A$244&gt;35,FZ123+FY124-GH123,IF(A124&lt;'Données projet'!$A$244,$FW$205^A124,IF(A124='Données projet'!$A$244,'Données projet'!$B$244,FZ123+FY124-GH123)))</f>
        <v>392.12600000000026</v>
      </c>
      <c r="GA124" s="17">
        <f>FZ124*VLOOKUP('Données projet'!$B$17,Paramètres!$A$1:$I$89,3,0)*VLOOKUP('Données projet'!$B$17,Paramètres!$A$1:$I$89,5,0)</f>
        <v>336.44410800000026</v>
      </c>
      <c r="GB124" s="13">
        <f t="shared" si="103"/>
        <v>78.764827688377366</v>
      </c>
      <c r="GC124" s="20">
        <f t="shared" si="79"/>
        <v>723.15556299059097</v>
      </c>
      <c r="GD124" s="59">
        <f t="shared" si="80"/>
        <v>1016.4888963239243</v>
      </c>
      <c r="GE124" s="59">
        <f ca="1">AVERAGE(OFFSET($GD$3,0,0,'Données projet'!$E$17+1,1))-AVERAGE(OFFSET($H$3,0,0,'Données projet'!$E$17+1,1))</f>
        <v>322.39807389980882</v>
      </c>
      <c r="GF124" s="59">
        <f t="shared" si="104"/>
        <v>202.59410055732792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50.333099029708507</v>
      </c>
      <c r="GM124" s="21">
        <f>EXP(-LN(2)/25)*GM123+(1-EXP(-LN(2)/25))/(LN(2)/25)*Calculateur!GH124*Calculateur!GJ124*VLOOKUP('Données projet'!$B$17,Paramètres!$A$1:$I$89,3,0)*0.475*44/12</f>
        <v>22.960975508403873</v>
      </c>
      <c r="GN124" s="21">
        <f>EXP(-LN(2)/2)*GN123+(1-EXP(-LN(2)/2))/(LN(2)/2)*GH124*GK124*VLOOKUP('Données projet'!$B$17,Paramètres!$A$1:$I$89,3,0)*0.475*44/12</f>
        <v>8.1647533188004076E-6</v>
      </c>
      <c r="GO124" s="21">
        <f t="shared" si="81"/>
        <v>73.294082702865708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44.725199999999866</v>
      </c>
      <c r="D125" s="11">
        <f t="shared" si="86"/>
        <v>13.242807602289735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447.4723393860952</v>
      </c>
      <c r="H125" s="67">
        <f t="shared" si="56"/>
        <v>394.29427990732103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1.5961632016114892E-13</v>
      </c>
      <c r="P125" s="13">
        <f t="shared" si="87"/>
        <v>2.2708641912150958E-12</v>
      </c>
      <c r="Q125" s="20">
        <f t="shared" si="107"/>
        <v>4.2330868906469593E-12</v>
      </c>
      <c r="R125" s="59">
        <f t="shared" si="55"/>
        <v>293.33333333333752</v>
      </c>
      <c r="S125" s="59">
        <f ca="1">AVERAGE(OFFSET($R$3,0,0,'Données projet'!$E$9+1,1))-AVERAGE(OFFSET($H$3,0,0,'Données projet'!$E$9+1,1))</f>
        <v>215.77907571824977</v>
      </c>
      <c r="T125" s="59">
        <f t="shared" si="88"/>
        <v>174.69390149594869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101.43575224329385</v>
      </c>
      <c r="AA125" s="21">
        <f>EXP(-LN(2)/25)*AA124+(1-EXP(-LN(2)/25))/(LN(2)/25)*Calculateur!V125*Calculateur!X125*VLOOKUP('Données projet'!$B$9,Paramètres!$A$1:$I$89,3,0)*0.475*44/12</f>
        <v>29.208316704733569</v>
      </c>
      <c r="AB125" s="21">
        <f>EXP(-LN(2)/2)*AB124+(1-EXP(-LN(2)/2))/(LN(2)/2)*V125*Y125*VLOOKUP('Données projet'!$B$9,Paramètres!$A$1:$I$89,3,0)*0.475*44/12</f>
        <v>0.34789542064896528</v>
      </c>
      <c r="AC125" s="22">
        <f t="shared" si="57"/>
        <v>130.99196436867638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-1.0197709343628959E-13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171.701352621833</v>
      </c>
      <c r="AO125" s="59">
        <f t="shared" si="90"/>
        <v>195.58435749168586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31.152728610838771</v>
      </c>
      <c r="AV125" s="21">
        <f>EXP(-LN(2)/25)*AV124+(1-EXP(-LN(2)/25))/(LN(2)/25)*Calculateur!AQ125*Calculateur!AS125*VLOOKUP('Données projet'!$B$10,Paramètres!$A$1:$I$89,3,0)*0.475*44/12</f>
        <v>7.0820981628029926</v>
      </c>
      <c r="AW125" s="21">
        <f>EXP(-LN(2)/2)*AW124+(1-EXP(-LN(2)/2))/(LN(2)/2)*AQ125*AT125*VLOOKUP('Données projet'!$B$10,Paramètres!$A$1:$I$89,3,0)*0.475*44/12</f>
        <v>4.1647745518394485E-8</v>
      </c>
      <c r="AX125" s="21">
        <f t="shared" si="60"/>
        <v>38.234826815289509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-1.1823431123048067E-13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348.29124901999882</v>
      </c>
      <c r="BJ125" s="59">
        <f t="shared" si="92"/>
        <v>284.30034973939053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94.597210656311148</v>
      </c>
      <c r="BQ125" s="21">
        <f>EXP(-LN(2)/25)*BQ124+(1-EXP(-LN(2)/25))/(LN(2)/25)*Calculateur!BL125*Calculateur!BN125*VLOOKUP('Données projet'!$B$11,Paramètres!$A$1:$I$89,3,0)*0.475*44/12</f>
        <v>24.274762523711523</v>
      </c>
      <c r="BR125" s="21">
        <f>EXP(-LN(2)/2)*BR124+(1-EXP(-LN(2)/2))/(LN(2)/2)*BL125*BO125*VLOOKUP('Données projet'!$B$11,Paramètres!$A$1:$I$89,3,0)*0.475*44/12</f>
        <v>4.0229324922046602E-5</v>
      </c>
      <c r="BS125" s="22">
        <f t="shared" si="63"/>
        <v>118.8720134093476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-2.2737367544323206E-13</v>
      </c>
      <c r="BZ125" s="13">
        <f>BY125*VLOOKUP('Données projet'!$B$12,Paramètres!$A$1:$I$89,3,0)*VLOOKUP('Données projet'!$B$12,Paramètres!$A$1:$I$89,5,0)</f>
        <v>-1.3596945791505279E-13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185.82627135915504</v>
      </c>
      <c r="CE125" s="59">
        <f t="shared" si="94"/>
        <v>155.46126452522037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74.477434644399082</v>
      </c>
      <c r="CL125" s="21">
        <f>EXP(-LN(2)/25)*CL124+(1-EXP(-LN(2)/25))/(LN(2)/25)*Calculateur!CG125*Calculateur!CI125*VLOOKUP('Données projet'!$B$12,Paramètres!$A$1:$I$89,3,0)*0.475*44/12</f>
        <v>21.664058351576895</v>
      </c>
      <c r="CM125" s="21">
        <f>EXP(-LN(2)/2)*CM124+(1-EXP(-LN(2)/2))/(LN(2)/2)*CG125*CJ125*VLOOKUP('Données projet'!$B$12,Paramètres!$A$1:$I$89,3,0)*0.475*44/12</f>
        <v>0.52911513731646675</v>
      </c>
      <c r="CN125" s="22">
        <f t="shared" si="66"/>
        <v>96.670608133292447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1.0692307692307679</v>
      </c>
      <c r="CT125" s="12">
        <f>IF('Données projet'!$A$140&gt;35,CT124+CS125-DB124,IF(A125&lt;'Données projet'!$A$140,$CQ$205^A125,IF(A125='Données projet'!$A$140,'Données projet'!$B$140,CT124+CS125-DB124)))</f>
        <v>106.44615384615379</v>
      </c>
      <c r="CU125" s="17">
        <f>CT125*VLOOKUP('Données projet'!$B$13,Paramètres!$A$1:$I$89,3,0)*VLOOKUP('Données projet'!$B$13,Paramètres!$A$1:$I$89,5,0)</f>
        <v>122.62596923076916</v>
      </c>
      <c r="CV125" s="13">
        <f t="shared" si="95"/>
        <v>32.286689742066379</v>
      </c>
      <c r="CW125" s="20">
        <f t="shared" si="67"/>
        <v>269.8062143776886</v>
      </c>
      <c r="CX125" s="59">
        <f t="shared" si="68"/>
        <v>563.13954771102192</v>
      </c>
      <c r="CY125" s="59">
        <f ca="1">AVERAGE(OFFSET($CX$3,0,0,'Données projet'!$E$13+1,1))-AVERAGE(OFFSET($H$3,0,0,'Données projet'!$E$13+1,1))</f>
        <v>150.78964413039063</v>
      </c>
      <c r="CZ125" s="59">
        <f t="shared" si="96"/>
        <v>131.90332435966184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7.5901308276682817</v>
      </c>
      <c r="DG125" s="21">
        <f>EXP(-LN(2)/25)*DG124+(1-EXP(-LN(2)/25))/(LN(2)/25)*Calculateur!DB125*Calculateur!DD125*VLOOKUP('Données projet'!$B$13,Paramètres!$A$1:$I$89,3,0)*0.475*44/12</f>
        <v>3.2076710073423329</v>
      </c>
      <c r="DH125" s="21">
        <f>EXP(-LN(2)/2)*DH124+(1-EXP(-LN(2)/2))/(LN(2)/2)*DB125*DE125*VLOOKUP('Données projet'!$B$13,Paramètres!$A$1:$I$89,3,0)*0.475*44/12</f>
        <v>0.74179070088691446</v>
      </c>
      <c r="DI125" s="22">
        <f t="shared" si="69"/>
        <v>11.53959253589753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-1.4210854715202004E-14</v>
      </c>
      <c r="DP125" s="17">
        <f>DO125*VLOOKUP('Données projet'!$B$14,Paramètres!$A$1:$I$89,3,0)*VLOOKUP('Données projet'!$B$14,Paramètres!$A$1:$I$89,5,0)</f>
        <v>-1.4853185348329136E-14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110.10595934547638</v>
      </c>
      <c r="DU125" s="59">
        <f t="shared" si="98"/>
        <v>131.10971921141493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20.147930924422987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20.147930924422987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>
        <f>VLOOKUP(A125,'Données projet'!$A$191:$I$211,2,0)</f>
        <v>315.27</v>
      </c>
      <c r="EH125" s="12">
        <f>VLOOKUP(A125,'Données projet'!$A$191:$I$211,9,0)</f>
        <v>7.0011111111111104</v>
      </c>
      <c r="EI125" s="12">
        <f t="array" ref="EI125">INDEX(EH:EH,MIN(IF(ISNUMBER(EH125:EH321),ROW(EH125:EH321),"")))</f>
        <v>7.0011111111111104</v>
      </c>
      <c r="EJ125" s="12">
        <f>IF('Données projet'!$A$192&gt;35,EJ124+EI125-ER124,IF(A125&lt;'Données projet'!$A$192,$EG$205^A125,IF(A125='Données projet'!$A$192,'Données projet'!$B$192,EJ124+EI125-ER124)))</f>
        <v>315.27000000000004</v>
      </c>
      <c r="EK125" s="17">
        <f>EJ125*VLOOKUP('Données projet'!$B$15,Paramètres!$A$1:$I$89,3,0)*VLOOKUP('Données projet'!$B$15,Paramètres!$A$1:$I$89,5,0)</f>
        <v>319.68378000000007</v>
      </c>
      <c r="EL125" s="13">
        <f t="shared" si="99"/>
        <v>75.287554156575837</v>
      </c>
      <c r="EM125" s="20">
        <f t="shared" si="73"/>
        <v>687.90840698936972</v>
      </c>
      <c r="EN125" s="59">
        <f t="shared" si="74"/>
        <v>981.24174032270298</v>
      </c>
      <c r="EO125" s="59">
        <f ca="1">AVERAGE(OFFSET($EN$3,0,0,'Données projet'!$E$15+1,1))-AVERAGE(OFFSET($H$3,0,0,'Données projet'!$E$15+1,1))</f>
        <v>420.38735944595965</v>
      </c>
      <c r="EP125" s="59">
        <f t="shared" si="100"/>
        <v>200.0823542414671</v>
      </c>
      <c r="EQ125" s="15">
        <f>IF(ISNA(VLOOKUP(A125,'Données projet'!$A$191:$I$211,3,0)),0,VLOOKUP(A125,'Données projet'!$A$191:$I$211,3,0))</f>
        <v>8</v>
      </c>
      <c r="ER125" s="15">
        <f>IF(ISNA(VLOOKUP(A125,'Données projet'!$A$191:$I$211,4,0)),0,VLOOKUP(A125,'Données projet'!$A$191:$I$211,4,0))</f>
        <v>45.829999999999984</v>
      </c>
      <c r="ES125" s="16">
        <f>IF(ISNA(VLOOKUP(A125,'Données projet'!$A$191:$I$211,5,0)),0%,VLOOKUP(A125,'Données projet'!$A$191:$I$211,5,0)*VLOOKUP('Données projet'!$B$15,Paramètres!$A$1:$I$89,7,0))</f>
        <v>0.15049999999999999</v>
      </c>
      <c r="ET125" s="16">
        <f>IF(ISNA(VLOOKUP(A125,'Données projet'!$A$191:$I$211,6,0)),0%,VLOOKUP(A125,'Données projet'!$A$191:$I$211,6,0)*VLOOKUP('Données projet'!$B$15,Paramètres!$A$1:$I$89,7,0))</f>
        <v>8.6000000000000007E-2</v>
      </c>
      <c r="EU125" s="16">
        <f>IF(ISNA(VLOOKUP(A125,'Données projet'!$A$191:$I$211,7,0)),0%,VLOOKUP(A125,'Données projet'!$A$191:$I$211,7,0))</f>
        <v>0.1</v>
      </c>
      <c r="EV125" s="21">
        <f>EXP(-LN(2)/35)*EV124+(1-EXP(-LN(2)/35))/(LN(2)/35)*ER125*ES125*VLOOKUP('Données projet'!$B$15,Paramètres!$A$1:$I$89,3,0)*0.475*44/12</f>
        <v>25.538481951763991</v>
      </c>
      <c r="EW125" s="21">
        <f>EXP(-LN(2)/25)*EW124+(1-EXP(-LN(2)/25))/(LN(2)/25)*Calculateur!ER125*Calculateur!ET125*VLOOKUP('Données projet'!$B$15,Paramètres!$A$1:$I$89,3,0)*0.475*44/12</f>
        <v>25.550140200309961</v>
      </c>
      <c r="EX125" s="21">
        <f>EXP(-LN(2)/2)*EX124+(1-EXP(-LN(2)/2))/(LN(2)/2)*ER125*EU125*VLOOKUP('Données projet'!$B$15,Paramètres!$A$1:$I$89,3,0)*0.475*44/12</f>
        <v>4.568511149207775</v>
      </c>
      <c r="EY125" s="22">
        <f t="shared" si="75"/>
        <v>55.657133301281725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8.7019999999999982</v>
      </c>
      <c r="FE125" s="12">
        <f>IF('Données projet'!$A$218&gt;35,FE124+FD125-FM124,IF(A125&lt;'Données projet'!$A$218,$FB$205^A125,IF(A125='Données projet'!$A$218,'Données projet'!$B$218,FE124+FD125-FM124)))</f>
        <v>400.82800000000026</v>
      </c>
      <c r="FF125" s="17">
        <f>FE125*VLOOKUP('Données projet'!$B$16,Paramètres!$A$1:$I$89,3,0)*VLOOKUP('Données projet'!$B$16,Paramètres!$A$1:$I$89,5,0)</f>
        <v>431.45125920000032</v>
      </c>
      <c r="FG125" s="13">
        <f t="shared" si="101"/>
        <v>98.124566489739522</v>
      </c>
      <c r="FH125" s="20">
        <f t="shared" si="76"/>
        <v>922.34456307629682</v>
      </c>
      <c r="FI125" s="59">
        <f t="shared" si="77"/>
        <v>1215.6778964096302</v>
      </c>
      <c r="FJ125" s="59">
        <f ca="1">AVERAGE(OFFSET($FI$3,0,0,'Données projet'!$E$16+1,1))-AVERAGE(OFFSET($H$3,0,0,'Données projet'!$E$16+1,1))</f>
        <v>415.8741608506952</v>
      </c>
      <c r="FK125" s="59">
        <f t="shared" si="102"/>
        <v>259.15848913719356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50.22637109810438</v>
      </c>
      <c r="FR125" s="21">
        <f>EXP(-LN(2)/25)*FR124+(1-EXP(-LN(2)/25))/(LN(2)/25)*Calculateur!FM125*Calculateur!FO125*VLOOKUP('Données projet'!$B$16,Paramètres!$A$1:$I$89,3,0)*0.475*44/12</f>
        <v>22.731501463100248</v>
      </c>
      <c r="FS125" s="21">
        <f>EXP(-LN(2)/2)*FS124+(1-EXP(-LN(2)/2))/(LN(2)/2)*FM125*FP125*VLOOKUP('Données projet'!$B$16,Paramètres!$A$1:$I$89,3,0)*0.475*44/12</f>
        <v>7.24293305913276E-6</v>
      </c>
      <c r="FT125" s="22">
        <f t="shared" si="78"/>
        <v>72.95787980413769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8.7019999999999982</v>
      </c>
      <c r="FZ125" s="12">
        <f>IF('Données projet'!$A$244&gt;35,FZ124+FY125-GH124,IF(A125&lt;'Données projet'!$A$244,$FW$205^A125,IF(A125='Données projet'!$A$244,'Données projet'!$B$244,FZ124+FY125-GH124)))</f>
        <v>400.82800000000026</v>
      </c>
      <c r="GA125" s="17">
        <f>FZ125*VLOOKUP('Données projet'!$B$17,Paramètres!$A$1:$I$89,3,0)*VLOOKUP('Données projet'!$B$17,Paramètres!$A$1:$I$89,5,0)</f>
        <v>343.91042400000026</v>
      </c>
      <c r="GB125" s="13">
        <f t="shared" si="103"/>
        <v>80.307326280687235</v>
      </c>
      <c r="GC125" s="20">
        <f t="shared" si="79"/>
        <v>738.84591507219739</v>
      </c>
      <c r="GD125" s="59">
        <f t="shared" si="80"/>
        <v>1032.1792484055306</v>
      </c>
      <c r="GE125" s="59">
        <f ca="1">AVERAGE(OFFSET($GD$3,0,0,'Données projet'!$E$17+1,1))-AVERAGE(OFFSET($H$3,0,0,'Données projet'!$E$17+1,1))</f>
        <v>322.39807389980882</v>
      </c>
      <c r="GF125" s="59">
        <f t="shared" si="104"/>
        <v>202.59410055732792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49.346097657894944</v>
      </c>
      <c r="GM125" s="21">
        <f>EXP(-LN(2)/25)*GM124+(1-EXP(-LN(2)/25))/(LN(2)/25)*Calculateur!GH125*Calculateur!GJ125*VLOOKUP('Données projet'!$B$17,Paramètres!$A$1:$I$89,3,0)*0.475*44/12</f>
        <v>22.333106425661345</v>
      </c>
      <c r="GN125" s="21">
        <f>EXP(-LN(2)/2)*GN124+(1-EXP(-LN(2)/2))/(LN(2)/2)*GH125*GK125*VLOOKUP('Données projet'!$B$17,Paramètres!$A$1:$I$89,3,0)*0.475*44/12</f>
        <v>5.7733524384391376E-6</v>
      </c>
      <c r="GO125" s="21">
        <f t="shared" si="81"/>
        <v>71.679209856908727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45.091799999999864</v>
      </c>
      <c r="D126" s="11">
        <f t="shared" si="86"/>
        <v>13.338674648469674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451.0422604443263</v>
      </c>
      <c r="H126" s="67">
        <f t="shared" si="56"/>
        <v>395.09974334608444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1.5961632016114892E-13</v>
      </c>
      <c r="P126" s="13">
        <f t="shared" si="87"/>
        <v>2.2708641912150958E-12</v>
      </c>
      <c r="Q126" s="20">
        <f t="shared" si="107"/>
        <v>4.2330868906469593E-12</v>
      </c>
      <c r="R126" s="59">
        <f t="shared" si="55"/>
        <v>293.33333333333752</v>
      </c>
      <c r="S126" s="59">
        <f ca="1">AVERAGE(OFFSET($R$3,0,0,'Données projet'!$E$9+1,1))-AVERAGE(OFFSET($H$3,0,0,'Données projet'!$E$9+1,1))</f>
        <v>215.77907571824977</v>
      </c>
      <c r="T126" s="59">
        <f t="shared" si="88"/>
        <v>174.69390149594869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99.446659011502604</v>
      </c>
      <c r="AA126" s="21">
        <f>EXP(-LN(2)/25)*AA125+(1-EXP(-LN(2)/25))/(LN(2)/25)*Calculateur!V126*Calculateur!X126*VLOOKUP('Données projet'!$B$9,Paramètres!$A$1:$I$89,3,0)*0.475*44/12</f>
        <v>28.409613748444009</v>
      </c>
      <c r="AB126" s="21">
        <f>EXP(-LN(2)/2)*AB125+(1-EXP(-LN(2)/2))/(LN(2)/2)*V126*Y126*VLOOKUP('Données projet'!$B$9,Paramètres!$A$1:$I$89,3,0)*0.475*44/12</f>
        <v>0.24599921108462983</v>
      </c>
      <c r="AC126" s="22">
        <f t="shared" si="57"/>
        <v>128.10227197103126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-1.0197709343628959E-13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171.701352621833</v>
      </c>
      <c r="AO126" s="59">
        <f t="shared" si="90"/>
        <v>195.58435749168586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30.541842604068453</v>
      </c>
      <c r="AV126" s="21">
        <f>EXP(-LN(2)/25)*AV125+(1-EXP(-LN(2)/25))/(LN(2)/25)*Calculateur!AQ126*Calculateur!AS126*VLOOKUP('Données projet'!$B$10,Paramètres!$A$1:$I$89,3,0)*0.475*44/12</f>
        <v>6.8884378161097892</v>
      </c>
      <c r="AW126" s="21">
        <f>EXP(-LN(2)/2)*AW125+(1-EXP(-LN(2)/2))/(LN(2)/2)*AQ126*AT126*VLOOKUP('Données projet'!$B$10,Paramètres!$A$1:$I$89,3,0)*0.475*44/12</f>
        <v>2.9449403277188386E-8</v>
      </c>
      <c r="AX126" s="21">
        <f t="shared" si="60"/>
        <v>37.430280449627645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-1.1823431123048067E-13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348.29124901999882</v>
      </c>
      <c r="BJ126" s="59">
        <f t="shared" si="92"/>
        <v>284.30034973939053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92.742217053942127</v>
      </c>
      <c r="BQ126" s="21">
        <f>EXP(-LN(2)/25)*BQ125+(1-EXP(-LN(2)/25))/(LN(2)/25)*Calculateur!BL126*Calculateur!BN126*VLOOKUP('Données projet'!$B$11,Paramètres!$A$1:$I$89,3,0)*0.475*44/12</f>
        <v>23.61096786594635</v>
      </c>
      <c r="BR126" s="21">
        <f>EXP(-LN(2)/2)*BR125+(1-EXP(-LN(2)/2))/(LN(2)/2)*BL126*BO126*VLOOKUP('Données projet'!$B$11,Paramètres!$A$1:$I$89,3,0)*0.475*44/12</f>
        <v>2.844642845493613E-5</v>
      </c>
      <c r="BS126" s="22">
        <f t="shared" si="63"/>
        <v>116.35321336631694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-2.2737367544323206E-13</v>
      </c>
      <c r="BZ126" s="13">
        <f>BY126*VLOOKUP('Données projet'!$B$12,Paramètres!$A$1:$I$89,3,0)*VLOOKUP('Données projet'!$B$12,Paramètres!$A$1:$I$89,5,0)</f>
        <v>-1.3596945791505279E-13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185.82627135915504</v>
      </c>
      <c r="CE126" s="59">
        <f t="shared" si="94"/>
        <v>155.46126452522037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73.016977577772025</v>
      </c>
      <c r="CL126" s="21">
        <f>EXP(-LN(2)/25)*CL125+(1-EXP(-LN(2)/25))/(LN(2)/25)*Calculateur!CG126*Calculateur!CI126*VLOOKUP('Données projet'!$B$12,Paramètres!$A$1:$I$89,3,0)*0.475*44/12</f>
        <v>21.071653536689709</v>
      </c>
      <c r="CM126" s="21">
        <f>EXP(-LN(2)/2)*CM125+(1-EXP(-LN(2)/2))/(LN(2)/2)*CG126*CJ126*VLOOKUP('Données projet'!$B$12,Paramètres!$A$1:$I$89,3,0)*0.475*44/12</f>
        <v>0.37414090162492492</v>
      </c>
      <c r="CN126" s="22">
        <f t="shared" si="66"/>
        <v>94.46277201608666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1.0692307692307679</v>
      </c>
      <c r="CT126" s="12">
        <f>IF('Données projet'!$A$140&gt;35,CT125+CS126-DB125,IF(A126&lt;'Données projet'!$A$140,$CQ$205^A126,IF(A126='Données projet'!$A$140,'Données projet'!$B$140,CT125+CS126-DB125)))</f>
        <v>107.51538461538456</v>
      </c>
      <c r="CU126" s="17">
        <f>CT126*VLOOKUP('Données projet'!$B$13,Paramètres!$A$1:$I$89,3,0)*VLOOKUP('Données projet'!$B$13,Paramètres!$A$1:$I$89,5,0)</f>
        <v>123.85772307692301</v>
      </c>
      <c r="CV126" s="13">
        <f t="shared" si="95"/>
        <v>32.573086224805046</v>
      </c>
      <c r="CW126" s="20">
        <f t="shared" si="67"/>
        <v>272.45032620050972</v>
      </c>
      <c r="CX126" s="59">
        <f t="shared" si="68"/>
        <v>565.78365953384309</v>
      </c>
      <c r="CY126" s="59">
        <f ca="1">AVERAGE(OFFSET($CX$3,0,0,'Données projet'!$E$13+1,1))-AVERAGE(OFFSET($H$3,0,0,'Données projet'!$E$13+1,1))</f>
        <v>150.78964413039063</v>
      </c>
      <c r="CZ126" s="59">
        <f t="shared" si="96"/>
        <v>131.90332435966184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7.4412929916603838</v>
      </c>
      <c r="DG126" s="21">
        <f>EXP(-LN(2)/25)*DG125+(1-EXP(-LN(2)/25))/(LN(2)/25)*Calculateur!DB126*Calculateur!DD126*VLOOKUP('Données projet'!$B$13,Paramètres!$A$1:$I$89,3,0)*0.475*44/12</f>
        <v>3.1199570749624699</v>
      </c>
      <c r="DH126" s="21">
        <f>EXP(-LN(2)/2)*DH125+(1-EXP(-LN(2)/2))/(LN(2)/2)*DB126*DE126*VLOOKUP('Données projet'!$B$13,Paramètres!$A$1:$I$89,3,0)*0.475*44/12</f>
        <v>0.52452523481825919</v>
      </c>
      <c r="DI126" s="22">
        <f t="shared" si="69"/>
        <v>11.085775301441114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-1.4210854715202004E-14</v>
      </c>
      <c r="DP126" s="17">
        <f>DO126*VLOOKUP('Données projet'!$B$14,Paramètres!$A$1:$I$89,3,0)*VLOOKUP('Données projet'!$B$14,Paramètres!$A$1:$I$89,5,0)</f>
        <v>-1.4853185348329136E-14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110.10595934547638</v>
      </c>
      <c r="DU126" s="59">
        <f t="shared" si="98"/>
        <v>131.10971921141493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19.596984693761001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19.596984693761001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7.1129999999999995</v>
      </c>
      <c r="EJ126" s="12">
        <f>IF('Données projet'!$A$192&gt;35,EJ125+EI126-ER125,IF(A126&lt;'Données projet'!$A$192,$EG$205^A126,IF(A126='Données projet'!$A$192,'Données projet'!$B$192,EJ125+EI126-ER125)))</f>
        <v>276.55300000000005</v>
      </c>
      <c r="EK126" s="17">
        <f>EJ126*VLOOKUP('Données projet'!$B$15,Paramètres!$A$1:$I$89,3,0)*VLOOKUP('Données projet'!$B$15,Paramètres!$A$1:$I$89,5,0)</f>
        <v>280.42474200000009</v>
      </c>
      <c r="EL126" s="13">
        <f t="shared" si="99"/>
        <v>67.056761155527383</v>
      </c>
      <c r="EM126" s="20">
        <f t="shared" si="73"/>
        <v>605.19695132921026</v>
      </c>
      <c r="EN126" s="59">
        <f t="shared" si="74"/>
        <v>898.53028466254364</v>
      </c>
      <c r="EO126" s="59">
        <f ca="1">AVERAGE(OFFSET($EN$3,0,0,'Données projet'!$E$15+1,1))-AVERAGE(OFFSET($H$3,0,0,'Données projet'!$E$15+1,1))</f>
        <v>420.38735944595965</v>
      </c>
      <c r="EP126" s="59">
        <f t="shared" si="100"/>
        <v>200.0823542414671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25.037687897625794</v>
      </c>
      <c r="EW126" s="21">
        <f>EXP(-LN(2)/25)*EW125+(1-EXP(-LN(2)/25))/(LN(2)/25)*Calculateur!ER126*Calculateur!ET126*VLOOKUP('Données projet'!$B$15,Paramètres!$A$1:$I$89,3,0)*0.475*44/12</f>
        <v>24.851470272909008</v>
      </c>
      <c r="EX126" s="21">
        <f>EXP(-LN(2)/2)*EX125+(1-EXP(-LN(2)/2))/(LN(2)/2)*ER126*EU126*VLOOKUP('Données projet'!$B$15,Paramètres!$A$1:$I$89,3,0)*0.475*44/12</f>
        <v>3.2304252135311651</v>
      </c>
      <c r="EY126" s="22">
        <f t="shared" si="75"/>
        <v>53.119583384065962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>
        <f>VLOOKUP(A126,'Données projet'!$A$217:$I$237,2,0)</f>
        <v>409.53</v>
      </c>
      <c r="FC126" s="12">
        <f>VLOOKUP(A126,'Données projet'!$A$217:$I$237,9,0)</f>
        <v>8.7019999999999982</v>
      </c>
      <c r="FD126" s="12">
        <f t="array" ref="FD126">INDEX(FC:FC,MIN(IF(ISNUMBER(FC126:FC322),ROW(FC126:FC322),"")))</f>
        <v>8.7019999999999982</v>
      </c>
      <c r="FE126" s="12">
        <f>IF('Données projet'!$A$218&gt;35,FE125+FD126-FM125,IF(A126&lt;'Données projet'!$A$218,$FB$205^A126,IF(A126='Données projet'!$A$218,'Données projet'!$B$218,FE125+FD126-FM125)))</f>
        <v>409.53000000000026</v>
      </c>
      <c r="FF126" s="17">
        <f>FE126*VLOOKUP('Données projet'!$B$16,Paramètres!$A$1:$I$89,3,0)*VLOOKUP('Données projet'!$B$16,Paramètres!$A$1:$I$89,5,0)</f>
        <v>440.81809200000026</v>
      </c>
      <c r="FG126" s="13">
        <f t="shared" si="101"/>
        <v>100.00453158078092</v>
      </c>
      <c r="FH126" s="20">
        <f t="shared" si="76"/>
        <v>941.93273606986043</v>
      </c>
      <c r="FI126" s="59">
        <f t="shared" si="77"/>
        <v>1235.2660694031938</v>
      </c>
      <c r="FJ126" s="59">
        <f ca="1">AVERAGE(OFFSET($FI$3,0,0,'Données projet'!$E$16+1,1))-AVERAGE(OFFSET($H$3,0,0,'Données projet'!$E$16+1,1))</f>
        <v>415.8741608506952</v>
      </c>
      <c r="FK126" s="59">
        <f t="shared" si="102"/>
        <v>259.15848913719356</v>
      </c>
      <c r="FL126" s="15">
        <f>IF(ISNA(VLOOKUP(A126,'Données projet'!$A$217:$I$237,3,0)),0,VLOOKUP(A126,'Données projet'!$A$217:$I$237,3,0))</f>
        <v>11</v>
      </c>
      <c r="FM126" s="15">
        <f>IF(ISNA(VLOOKUP(A126,'Données projet'!$A$217:$I$237,4,0)),0,VLOOKUP(A126,'Données projet'!$A$217:$I$237,4,0))</f>
        <v>203.78999999999996</v>
      </c>
      <c r="FN126" s="16">
        <f>IF(ISNA(VLOOKUP(A126,'Données projet'!$A$217:$I$237,5,0)),0%,VLOOKUP(A126,'Données projet'!$A$217:$I$237,5,0)*VLOOKUP('Données projet'!$B$16,Paramètres!$A$1:$I$89,7,0))</f>
        <v>0.19350000000000001</v>
      </c>
      <c r="FO126" s="16">
        <f>IF(ISNA(VLOOKUP(A126,'Données projet'!$A$217:$I$237,6,0)),0%,VLOOKUP(A126,'Données projet'!$A$217:$I$237,6,0)*VLOOKUP('Données projet'!$B$16,Paramètres!$A$1:$I$89,7,0))</f>
        <v>2.1500000000000002E-2</v>
      </c>
      <c r="FP126" s="16">
        <f>IF(ISNA(VLOOKUP(A126,'Données projet'!$A$217:$I$237,7,0)),0%,VLOOKUP(A126,'Données projet'!$A$217:$I$237,7,0))</f>
        <v>0.05</v>
      </c>
      <c r="FQ126" s="21">
        <f>EXP(-LN(2)/35)*FQ125+(1-EXP(-LN(2)/35))/(LN(2)/35)*FM126*FN126*VLOOKUP('Données projet'!$B$16,Paramètres!$A$1:$I$89,3,0)*0.475*44/12</f>
        <v>96.164340225466105</v>
      </c>
      <c r="FR126" s="21">
        <f>EXP(-LN(2)/25)*FR125+(1-EXP(-LN(2)/25))/(LN(2)/25)*Calculateur!FM126*Calculateur!FO126*VLOOKUP('Données projet'!$B$16,Paramètres!$A$1:$I$89,3,0)*0.475*44/12</f>
        <v>27.303032291448353</v>
      </c>
      <c r="FS126" s="21">
        <f>EXP(-LN(2)/2)*FS125+(1-EXP(-LN(2)/2))/(LN(2)/2)*FM126*FP126*VLOOKUP('Données projet'!$B$16,Paramètres!$A$1:$I$89,3,0)*0.475*44/12</f>
        <v>10.348587374621472</v>
      </c>
      <c r="FT126" s="22">
        <f t="shared" si="78"/>
        <v>133.81595989153593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>
        <f>VLOOKUP(A126,'Données projet'!$A$243:$I$263,2,0)</f>
        <v>409.53</v>
      </c>
      <c r="FX126" s="12">
        <f>VLOOKUP(A126,'Données projet'!$A$243:$I$263,9,0)</f>
        <v>8.7019999999999982</v>
      </c>
      <c r="FY126" s="12">
        <f t="array" ref="FY126">INDEX(FX:FX,MIN(IF(ISNUMBER(FX126:FX322),ROW(FX126:FX322),"")))</f>
        <v>8.7019999999999982</v>
      </c>
      <c r="FZ126" s="12">
        <f>IF('Données projet'!$A$244&gt;35,FZ125+FY126-GH125,IF(A126&lt;'Données projet'!$A$244,$FW$205^A126,IF(A126='Données projet'!$A$244,'Données projet'!$B$244,FZ125+FY126-GH125)))</f>
        <v>409.53000000000026</v>
      </c>
      <c r="GA126" s="17">
        <f>FZ126*VLOOKUP('Données projet'!$B$17,Paramètres!$A$1:$I$89,3,0)*VLOOKUP('Données projet'!$B$17,Paramètres!$A$1:$I$89,5,0)</f>
        <v>351.37674000000027</v>
      </c>
      <c r="GB126" s="13">
        <f t="shared" si="103"/>
        <v>81.845931498151813</v>
      </c>
      <c r="GC126" s="20">
        <f t="shared" si="79"/>
        <v>754.52948619261485</v>
      </c>
      <c r="GD126" s="59">
        <f t="shared" si="80"/>
        <v>1047.8628195259482</v>
      </c>
      <c r="GE126" s="59">
        <f ca="1">AVERAGE(OFFSET($GD$3,0,0,'Données projet'!$E$17+1,1))-AVERAGE(OFFSET($H$3,0,0,'Données projet'!$E$17+1,1))</f>
        <v>322.39807389980882</v>
      </c>
      <c r="GF126" s="59">
        <f t="shared" si="104"/>
        <v>202.59410055732792</v>
      </c>
      <c r="GG126" s="15">
        <f>IF(ISNA(VLOOKUP(A126,'Données projet'!$A$243:$I$263,3,0)),0,VLOOKUP(A126,'Données projet'!$A$243:$I$263,3,0))</f>
        <v>11</v>
      </c>
      <c r="GH126" s="15">
        <f>IF(ISNA(VLOOKUP(A126,'Données projet'!$A$243:$I$263,4,0)),0,VLOOKUP(A126,'Données projet'!$A$243:$I$263,4,0))</f>
        <v>203.78999999999996</v>
      </c>
      <c r="GI126" s="16">
        <f>IF(ISNA(VLOOKUP(A126,'Données projet'!$A$243:$I$263,5,0)),0%,VLOOKUP(A126,'Données projet'!$A$243:$I$263,5,0)*VLOOKUP('Données projet'!$B$17,Paramètres!$A$1:$I$89,7,0))</f>
        <v>0.23850000000000002</v>
      </c>
      <c r="GJ126" s="16">
        <f>IF(ISNA(VLOOKUP(A126,'Données projet'!$A$243:$I$263,6,0)),0%,VLOOKUP(A126,'Données projet'!$A$243:$I$263,6,0)*VLOOKUP('Données projet'!$B$17,Paramètres!$A$1:$I$89,7,0))</f>
        <v>2.6500000000000003E-2</v>
      </c>
      <c r="GK126" s="16">
        <f>IF(ISNA(VLOOKUP(A126,'Données projet'!$A$243:$I$263,7,0)),0%,VLOOKUP(A126,'Données projet'!$A$243:$I$263,7,0))</f>
        <v>0.05</v>
      </c>
      <c r="GL126" s="21">
        <f>EXP(-LN(2)/35)*GL125+(1-EXP(-LN(2)/35))/(LN(2)/35)*GH126*GI126*VLOOKUP('Données projet'!$B$17,Paramètres!$A$1:$I$89,3,0)*0.475*44/12</f>
        <v>94.478952395427612</v>
      </c>
      <c r="GM126" s="21">
        <f>EXP(-LN(2)/25)*GM125+(1-EXP(-LN(2)/25))/(LN(2)/25)*Calculateur!GH126*Calculateur!GJ126*VLOOKUP('Données projet'!$B$17,Paramètres!$A$1:$I$89,3,0)*0.475*44/12</f>
        <v>26.824516053108169</v>
      </c>
      <c r="GN126" s="21">
        <f>EXP(-LN(2)/2)*GN125+(1-EXP(-LN(2)/2))/(LN(2)/2)*GH126*GK126*VLOOKUP('Données projet'!$B$17,Paramètres!$A$1:$I$89,3,0)*0.475*44/12</f>
        <v>8.2488739942634925</v>
      </c>
      <c r="GO126" s="21">
        <f t="shared" si="81"/>
        <v>129.55234244279927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45.458399999999862</v>
      </c>
      <c r="D127" s="11">
        <f t="shared" si="86"/>
        <v>13.434451013546104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454.61148150807412</v>
      </c>
      <c r="H127" s="67">
        <f t="shared" si="56"/>
        <v>395.90504884859251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1.5961632016114892E-13</v>
      </c>
      <c r="P127" s="13">
        <f t="shared" si="87"/>
        <v>2.2708641912150958E-12</v>
      </c>
      <c r="Q127" s="20">
        <f t="shared" si="107"/>
        <v>4.2330868906469593E-12</v>
      </c>
      <c r="R127" s="59">
        <f t="shared" si="55"/>
        <v>293.33333333333752</v>
      </c>
      <c r="S127" s="59">
        <f ca="1">AVERAGE(OFFSET($R$3,0,0,'Données projet'!$E$9+1,1))-AVERAGE(OFFSET($H$3,0,0,'Données projet'!$E$9+1,1))</f>
        <v>215.77907571824977</v>
      </c>
      <c r="T127" s="59">
        <f t="shared" si="88"/>
        <v>174.69390149594869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97.496570684759703</v>
      </c>
      <c r="AA127" s="21">
        <f>EXP(-LN(2)/25)*AA126+(1-EXP(-LN(2)/25))/(LN(2)/25)*Calculateur!V127*Calculateur!X127*VLOOKUP('Données projet'!$B$9,Paramètres!$A$1:$I$89,3,0)*0.475*44/12</f>
        <v>27.632751366496151</v>
      </c>
      <c r="AB127" s="21">
        <f>EXP(-LN(2)/2)*AB126+(1-EXP(-LN(2)/2))/(LN(2)/2)*V127*Y127*VLOOKUP('Données projet'!$B$9,Paramètres!$A$1:$I$89,3,0)*0.475*44/12</f>
        <v>0.17394771032448267</v>
      </c>
      <c r="AC127" s="22">
        <f t="shared" si="57"/>
        <v>125.30326976158034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-1.0197709343628959E-13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171.701352621833</v>
      </c>
      <c r="AO127" s="59">
        <f t="shared" si="90"/>
        <v>195.58435749168586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29.942935699287229</v>
      </c>
      <c r="AV127" s="21">
        <f>EXP(-LN(2)/25)*AV126+(1-EXP(-LN(2)/25))/(LN(2)/25)*Calculateur!AQ127*Calculateur!AS127*VLOOKUP('Données projet'!$B$10,Paramètres!$A$1:$I$89,3,0)*0.475*44/12</f>
        <v>6.7000731217810658</v>
      </c>
      <c r="AW127" s="21">
        <f>EXP(-LN(2)/2)*AW126+(1-EXP(-LN(2)/2))/(LN(2)/2)*AQ127*AT127*VLOOKUP('Données projet'!$B$10,Paramètres!$A$1:$I$89,3,0)*0.475*44/12</f>
        <v>2.0823872759197246E-8</v>
      </c>
      <c r="AX127" s="21">
        <f t="shared" si="60"/>
        <v>36.643008841892168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-1.1823431123048067E-13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348.29124901999882</v>
      </c>
      <c r="BJ127" s="59">
        <f t="shared" si="92"/>
        <v>284.30034973939053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90.923598744681186</v>
      </c>
      <c r="BQ127" s="21">
        <f>EXP(-LN(2)/25)*BQ126+(1-EXP(-LN(2)/25))/(LN(2)/25)*Calculateur!BL127*Calculateur!BN127*VLOOKUP('Données projet'!$B$11,Paramètres!$A$1:$I$89,3,0)*0.475*44/12</f>
        <v>22.965324708005209</v>
      </c>
      <c r="BR127" s="21">
        <f>EXP(-LN(2)/2)*BR126+(1-EXP(-LN(2)/2))/(LN(2)/2)*BL127*BO127*VLOOKUP('Données projet'!$B$11,Paramètres!$A$1:$I$89,3,0)*0.475*44/12</f>
        <v>2.0114662461023301E-5</v>
      </c>
      <c r="BS127" s="22">
        <f t="shared" si="63"/>
        <v>113.88894356734886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-2.2737367544323206E-13</v>
      </c>
      <c r="BZ127" s="13">
        <f>BY127*VLOOKUP('Données projet'!$B$12,Paramètres!$A$1:$I$89,3,0)*VLOOKUP('Données projet'!$B$12,Paramètres!$A$1:$I$89,5,0)</f>
        <v>-1.3596945791505279E-13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185.82627135915504</v>
      </c>
      <c r="CE127" s="59">
        <f t="shared" si="94"/>
        <v>155.46126452522037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71.585159183430676</v>
      </c>
      <c r="CL127" s="21">
        <f>EXP(-LN(2)/25)*CL126+(1-EXP(-LN(2)/25))/(LN(2)/25)*Calculateur!CG127*Calculateur!CI127*VLOOKUP('Données projet'!$B$12,Paramètres!$A$1:$I$89,3,0)*0.475*44/12</f>
        <v>20.495448062618831</v>
      </c>
      <c r="CM127" s="21">
        <f>EXP(-LN(2)/2)*CM126+(1-EXP(-LN(2)/2))/(LN(2)/2)*CG127*CJ127*VLOOKUP('Données projet'!$B$12,Paramètres!$A$1:$I$89,3,0)*0.475*44/12</f>
        <v>0.26455756865823338</v>
      </c>
      <c r="CN127" s="22">
        <f t="shared" si="66"/>
        <v>92.345164814707744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1.0692307692307679</v>
      </c>
      <c r="CT127" s="12">
        <f>IF('Données projet'!$A$140&gt;35,CT126+CS127-DB126,IF(A127&lt;'Données projet'!$A$140,$CQ$205^A127,IF(A127='Données projet'!$A$140,'Données projet'!$B$140,CT126+CS127-DB126)))</f>
        <v>108.58461538461533</v>
      </c>
      <c r="CU127" s="17">
        <f>CT127*VLOOKUP('Données projet'!$B$13,Paramètres!$A$1:$I$89,3,0)*VLOOKUP('Données projet'!$B$13,Paramètres!$A$1:$I$89,5,0)</f>
        <v>125.08947692307684</v>
      </c>
      <c r="CV127" s="13">
        <f t="shared" si="95"/>
        <v>32.859151364601757</v>
      </c>
      <c r="CW127" s="20">
        <f t="shared" si="67"/>
        <v>275.09386093437359</v>
      </c>
      <c r="CX127" s="59">
        <f t="shared" si="68"/>
        <v>568.42719426770691</v>
      </c>
      <c r="CY127" s="59">
        <f ca="1">AVERAGE(OFFSET($CX$3,0,0,'Données projet'!$E$13+1,1))-AVERAGE(OFFSET($H$3,0,0,'Données projet'!$E$13+1,1))</f>
        <v>150.78964413039063</v>
      </c>
      <c r="CZ127" s="59">
        <f t="shared" si="96"/>
        <v>131.90332435966184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7.2953737748344851</v>
      </c>
      <c r="DG127" s="21">
        <f>EXP(-LN(2)/25)*DG126+(1-EXP(-LN(2)/25))/(LN(2)/25)*Calculateur!DB127*Calculateur!DD127*VLOOKUP('Données projet'!$B$13,Paramètres!$A$1:$I$89,3,0)*0.475*44/12</f>
        <v>3.0346416846762092</v>
      </c>
      <c r="DH127" s="21">
        <f>EXP(-LN(2)/2)*DH126+(1-EXP(-LN(2)/2))/(LN(2)/2)*DB127*DE127*VLOOKUP('Données projet'!$B$13,Paramètres!$A$1:$I$89,3,0)*0.475*44/12</f>
        <v>0.37089535044345728</v>
      </c>
      <c r="DI127" s="22">
        <f t="shared" si="69"/>
        <v>10.70091080995415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-1.4210854715202004E-14</v>
      </c>
      <c r="DP127" s="17">
        <f>DO127*VLOOKUP('Données projet'!$B$14,Paramètres!$A$1:$I$89,3,0)*VLOOKUP('Données projet'!$B$14,Paramètres!$A$1:$I$89,5,0)</f>
        <v>-1.4853185348329136E-14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110.10595934547638</v>
      </c>
      <c r="DU127" s="59">
        <f t="shared" si="98"/>
        <v>131.10971921141493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19.061104116749473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19.061104116749473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7.1129999999999995</v>
      </c>
      <c r="EJ127" s="12">
        <f>IF('Données projet'!$A$192&gt;35,EJ126+EI127-ER126,IF(A127&lt;'Données projet'!$A$192,$EG$205^A127,IF(A127='Données projet'!$A$192,'Données projet'!$B$192,EJ126+EI127-ER126)))</f>
        <v>283.66600000000005</v>
      </c>
      <c r="EK127" s="17">
        <f>EJ127*VLOOKUP('Données projet'!$B$15,Paramètres!$A$1:$I$89,3,0)*VLOOKUP('Données projet'!$B$15,Paramètres!$A$1:$I$89,5,0)</f>
        <v>287.63732400000009</v>
      </c>
      <c r="EL127" s="13">
        <f t="shared" si="99"/>
        <v>68.578458468860646</v>
      </c>
      <c r="EM127" s="20">
        <f t="shared" si="73"/>
        <v>620.40915446659915</v>
      </c>
      <c r="EN127" s="59">
        <f t="shared" si="74"/>
        <v>913.74248779993241</v>
      </c>
      <c r="EO127" s="59">
        <f ca="1">AVERAGE(OFFSET($EN$3,0,0,'Données projet'!$E$15+1,1))-AVERAGE(OFFSET($H$3,0,0,'Données projet'!$E$15+1,1))</f>
        <v>420.38735944595965</v>
      </c>
      <c r="EP127" s="59">
        <f t="shared" si="100"/>
        <v>200.0823542414671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24.546714109435037</v>
      </c>
      <c r="EW127" s="21">
        <f>EXP(-LN(2)/25)*EW126+(1-EXP(-LN(2)/25))/(LN(2)/25)*Calculateur!ER127*Calculateur!ET127*VLOOKUP('Données projet'!$B$15,Paramètres!$A$1:$I$89,3,0)*0.475*44/12</f>
        <v>24.171905511414288</v>
      </c>
      <c r="EX127" s="21">
        <f>EXP(-LN(2)/2)*EX126+(1-EXP(-LN(2)/2))/(LN(2)/2)*ER127*EU127*VLOOKUP('Données projet'!$B$15,Paramètres!$A$1:$I$89,3,0)*0.475*44/12</f>
        <v>2.284255574603888</v>
      </c>
      <c r="EY127" s="22">
        <f t="shared" si="75"/>
        <v>51.002875195453214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4.8499999999999943</v>
      </c>
      <c r="FE127" s="12">
        <f>IF('Données projet'!$A$218&gt;35,FE126+FD127-FM126,IF(A127&lt;'Données projet'!$A$218,$FB$205^A127,IF(A127='Données projet'!$A$218,'Données projet'!$B$218,FE126+FD127-FM126)))</f>
        <v>210.59000000000026</v>
      </c>
      <c r="FF127" s="17">
        <f>FE127*VLOOKUP('Données projet'!$B$16,Paramètres!$A$1:$I$89,3,0)*VLOOKUP('Données projet'!$B$16,Paramètres!$A$1:$I$89,5,0)</f>
        <v>226.67907600000026</v>
      </c>
      <c r="FG127" s="13">
        <f t="shared" si="101"/>
        <v>55.564013437483126</v>
      </c>
      <c r="FH127" s="20">
        <f t="shared" si="76"/>
        <v>491.57338077028345</v>
      </c>
      <c r="FI127" s="59">
        <f t="shared" si="77"/>
        <v>784.90671410361676</v>
      </c>
      <c r="FJ127" s="59">
        <f ca="1">AVERAGE(OFFSET($FI$3,0,0,'Données projet'!$E$16+1,1))-AVERAGE(OFFSET($H$3,0,0,'Données projet'!$E$16+1,1))</f>
        <v>415.8741608506952</v>
      </c>
      <c r="FK127" s="59">
        <f t="shared" si="102"/>
        <v>259.15848913719356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94.278616168100612</v>
      </c>
      <c r="FR127" s="21">
        <f>EXP(-LN(2)/25)*FR126+(1-EXP(-LN(2)/25))/(LN(2)/25)*Calculateur!FM127*Calculateur!FO127*VLOOKUP('Données projet'!$B$16,Paramètres!$A$1:$I$89,3,0)*0.475*44/12</f>
        <v>26.55642943763463</v>
      </c>
      <c r="FS127" s="21">
        <f>EXP(-LN(2)/2)*FS126+(1-EXP(-LN(2)/2))/(LN(2)/2)*FM127*FP127*VLOOKUP('Données projet'!$B$16,Paramètres!$A$1:$I$89,3,0)*0.475*44/12</f>
        <v>7.317556308296334</v>
      </c>
      <c r="FT127" s="22">
        <f t="shared" si="78"/>
        <v>128.15260191403158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4.8499999999999943</v>
      </c>
      <c r="FZ127" s="12">
        <f>IF('Données projet'!$A$244&gt;35,FZ126+FY127-GH126,IF(A127&lt;'Données projet'!$A$244,$FW$205^A127,IF(A127='Données projet'!$A$244,'Données projet'!$B$244,FZ126+FY127-GH126)))</f>
        <v>210.59000000000026</v>
      </c>
      <c r="GA127" s="17">
        <f>FZ127*VLOOKUP('Données projet'!$B$17,Paramètres!$A$1:$I$89,3,0)*VLOOKUP('Données projet'!$B$17,Paramètres!$A$1:$I$89,5,0)</f>
        <v>180.68622000000025</v>
      </c>
      <c r="GB127" s="13">
        <f t="shared" si="103"/>
        <v>45.474823647297747</v>
      </c>
      <c r="GC127" s="20">
        <f t="shared" si="79"/>
        <v>393.89715101904397</v>
      </c>
      <c r="GD127" s="59">
        <f t="shared" si="80"/>
        <v>687.23048435237729</v>
      </c>
      <c r="GE127" s="59">
        <f ca="1">AVERAGE(OFFSET($GD$3,0,0,'Données projet'!$E$17+1,1))-AVERAGE(OFFSET($H$3,0,0,'Données projet'!$E$17+1,1))</f>
        <v>322.39807389980882</v>
      </c>
      <c r="GF127" s="59">
        <f t="shared" si="104"/>
        <v>202.59410055732792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92.626277765424092</v>
      </c>
      <c r="GM127" s="21">
        <f>EXP(-LN(2)/25)*GM126+(1-EXP(-LN(2)/25))/(LN(2)/25)*Calculateur!GH127*Calculateur!GJ127*VLOOKUP('Données projet'!$B$17,Paramètres!$A$1:$I$89,3,0)*0.475*44/12</f>
        <v>26.090998250995934</v>
      </c>
      <c r="GN127" s="21">
        <f>EXP(-LN(2)/2)*GN126+(1-EXP(-LN(2)/2))/(LN(2)/2)*GH127*GK127*VLOOKUP('Données projet'!$B$17,Paramètres!$A$1:$I$89,3,0)*0.475*44/12</f>
        <v>5.8328347384970778</v>
      </c>
      <c r="GO127" s="21">
        <f t="shared" si="81"/>
        <v>124.55011075491711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45.824999999999861</v>
      </c>
      <c r="D128" s="11">
        <f t="shared" si="86"/>
        <v>13.530137513576181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458.1800088767273</v>
      </c>
      <c r="H128" s="67">
        <f t="shared" si="56"/>
        <v>396.71019783614491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1.5961632016114892E-13</v>
      </c>
      <c r="P128" s="13">
        <f t="shared" si="87"/>
        <v>2.2708641912150958E-12</v>
      </c>
      <c r="Q128" s="20">
        <f t="shared" si="107"/>
        <v>4.2330868906469593E-12</v>
      </c>
      <c r="R128" s="59">
        <f t="shared" si="55"/>
        <v>293.33333333333752</v>
      </c>
      <c r="S128" s="59">
        <f ca="1">AVERAGE(OFFSET($R$3,0,0,'Données projet'!$E$9+1,1))-AVERAGE(OFFSET($H$3,0,0,'Données projet'!$E$9+1,1))</f>
        <v>215.77907571824977</v>
      </c>
      <c r="T128" s="59">
        <f t="shared" si="88"/>
        <v>174.69390149594869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95.5847224006678</v>
      </c>
      <c r="AA128" s="21">
        <f>EXP(-LN(2)/25)*AA127+(1-EXP(-LN(2)/25))/(LN(2)/25)*Calculateur!V128*Calculateur!X128*VLOOKUP('Données projet'!$B$9,Paramètres!$A$1:$I$89,3,0)*0.475*44/12</f>
        <v>26.877132327236076</v>
      </c>
      <c r="AB128" s="21">
        <f>EXP(-LN(2)/2)*AB127+(1-EXP(-LN(2)/2))/(LN(2)/2)*V128*Y128*VLOOKUP('Données projet'!$B$9,Paramètres!$A$1:$I$89,3,0)*0.475*44/12</f>
        <v>0.12299960554231493</v>
      </c>
      <c r="AC128" s="22">
        <f t="shared" si="57"/>
        <v>122.58485433344619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-1.0197709343628959E-13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171.701352621833</v>
      </c>
      <c r="AO128" s="59">
        <f t="shared" si="90"/>
        <v>195.58435749168586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29.355772993611623</v>
      </c>
      <c r="AV128" s="21">
        <f>EXP(-LN(2)/25)*AV127+(1-EXP(-LN(2)/25))/(LN(2)/25)*Calculateur!AQ128*Calculateur!AS128*VLOOKUP('Données projet'!$B$10,Paramètres!$A$1:$I$89,3,0)*0.475*44/12</f>
        <v>6.5168592699244305</v>
      </c>
      <c r="AW128" s="21">
        <f>EXP(-LN(2)/2)*AW127+(1-EXP(-LN(2)/2))/(LN(2)/2)*AQ128*AT128*VLOOKUP('Données projet'!$B$10,Paramètres!$A$1:$I$89,3,0)*0.475*44/12</f>
        <v>1.4724701638594196E-8</v>
      </c>
      <c r="AX128" s="21">
        <f t="shared" si="60"/>
        <v>35.87263227826076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-1.1823431123048067E-13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348.29124901999882</v>
      </c>
      <c r="BJ128" s="59">
        <f t="shared" si="92"/>
        <v>284.30034973939053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89.140642431217202</v>
      </c>
      <c r="BQ128" s="21">
        <f>EXP(-LN(2)/25)*BQ127+(1-EXP(-LN(2)/25))/(LN(2)/25)*Calculateur!BL128*Calculateur!BN128*VLOOKUP('Données projet'!$B$11,Paramètres!$A$1:$I$89,3,0)*0.475*44/12</f>
        <v>22.337336696170869</v>
      </c>
      <c r="BR128" s="21">
        <f>EXP(-LN(2)/2)*BR127+(1-EXP(-LN(2)/2))/(LN(2)/2)*BL128*BO128*VLOOKUP('Données projet'!$B$11,Paramètres!$A$1:$I$89,3,0)*0.475*44/12</f>
        <v>1.4223214227468065E-5</v>
      </c>
      <c r="BS128" s="22">
        <f t="shared" si="63"/>
        <v>111.47799335060229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-2.2737367544323206E-13</v>
      </c>
      <c r="BZ128" s="13">
        <f>BY128*VLOOKUP('Données projet'!$B$12,Paramètres!$A$1:$I$89,3,0)*VLOOKUP('Données projet'!$B$12,Paramètres!$A$1:$I$89,5,0)</f>
        <v>-1.3596945791505279E-13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185.82627135915504</v>
      </c>
      <c r="CE128" s="59">
        <f t="shared" si="94"/>
        <v>155.46126452522037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70.181417874479379</v>
      </c>
      <c r="CL128" s="21">
        <f>EXP(-LN(2)/25)*CL127+(1-EXP(-LN(2)/25))/(LN(2)/25)*Calculateur!CG128*Calculateur!CI128*VLOOKUP('Données projet'!$B$12,Paramètres!$A$1:$I$89,3,0)*0.475*44/12</f>
        <v>19.934998957537747</v>
      </c>
      <c r="CM128" s="21">
        <f>EXP(-LN(2)/2)*CM127+(1-EXP(-LN(2)/2))/(LN(2)/2)*CG128*CJ128*VLOOKUP('Données projet'!$B$12,Paramètres!$A$1:$I$89,3,0)*0.475*44/12</f>
        <v>0.18707045081246246</v>
      </c>
      <c r="CN128" s="22">
        <f t="shared" si="66"/>
        <v>90.303487282829579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1.0692307692307679</v>
      </c>
      <c r="CT128" s="12">
        <f>IF('Données projet'!$A$140&gt;35,CT127+CS128-DB127,IF(A128&lt;'Données projet'!$A$140,$CQ$205^A128,IF(A128='Données projet'!$A$140,'Données projet'!$B$140,CT127+CS128-DB127)))</f>
        <v>109.6538461538461</v>
      </c>
      <c r="CU128" s="17">
        <f>CT128*VLOOKUP('Données projet'!$B$13,Paramètres!$A$1:$I$89,3,0)*VLOOKUP('Données projet'!$B$13,Paramètres!$A$1:$I$89,5,0)</f>
        <v>126.32123076923071</v>
      </c>
      <c r="CV128" s="13">
        <f t="shared" si="95"/>
        <v>33.14488880199756</v>
      </c>
      <c r="CW128" s="20">
        <f t="shared" si="67"/>
        <v>277.73682491988922</v>
      </c>
      <c r="CX128" s="59">
        <f t="shared" si="68"/>
        <v>571.07015825322253</v>
      </c>
      <c r="CY128" s="59">
        <f ca="1">AVERAGE(OFFSET($CX$3,0,0,'Données projet'!$E$13+1,1))-AVERAGE(OFFSET($H$3,0,0,'Données projet'!$E$13+1,1))</f>
        <v>150.78964413039063</v>
      </c>
      <c r="CZ128" s="59">
        <f t="shared" si="96"/>
        <v>131.90332435966184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7.152315944848608</v>
      </c>
      <c r="DG128" s="21">
        <f>EXP(-LN(2)/25)*DG127+(1-EXP(-LN(2)/25))/(LN(2)/25)*Calculateur!DB128*Calculateur!DD128*VLOOKUP('Données projet'!$B$13,Paramètres!$A$1:$I$89,3,0)*0.475*44/12</f>
        <v>2.9516592482238679</v>
      </c>
      <c r="DH128" s="21">
        <f>EXP(-LN(2)/2)*DH127+(1-EXP(-LN(2)/2))/(LN(2)/2)*DB128*DE128*VLOOKUP('Données projet'!$B$13,Paramètres!$A$1:$I$89,3,0)*0.475*44/12</f>
        <v>0.26226261740912965</v>
      </c>
      <c r="DI128" s="22">
        <f t="shared" si="69"/>
        <v>10.366237810481605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-1.4210854715202004E-14</v>
      </c>
      <c r="DP128" s="17">
        <f>DO128*VLOOKUP('Données projet'!$B$14,Paramètres!$A$1:$I$89,3,0)*VLOOKUP('Données projet'!$B$14,Paramètres!$A$1:$I$89,5,0)</f>
        <v>-1.4853185348329136E-14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110.10595934547638</v>
      </c>
      <c r="DU128" s="59">
        <f t="shared" si="98"/>
        <v>131.10971921141493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18.539877222297058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18.539877222297058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7.1129999999999995</v>
      </c>
      <c r="EJ128" s="12">
        <f>IF('Données projet'!$A$192&gt;35,EJ127+EI128-ER127,IF(A128&lt;'Données projet'!$A$192,$EG$205^A128,IF(A128='Données projet'!$A$192,'Données projet'!$B$192,EJ127+EI128-ER127)))</f>
        <v>290.77900000000005</v>
      </c>
      <c r="EK128" s="17">
        <f>EJ128*VLOOKUP('Données projet'!$B$15,Paramètres!$A$1:$I$89,3,0)*VLOOKUP('Données projet'!$B$15,Paramètres!$A$1:$I$89,5,0)</f>
        <v>294.84990600000009</v>
      </c>
      <c r="EL128" s="13">
        <f t="shared" si="99"/>
        <v>70.095720295999868</v>
      </c>
      <c r="EM128" s="20">
        <f t="shared" si="73"/>
        <v>635.61363246553321</v>
      </c>
      <c r="EN128" s="59">
        <f t="shared" si="74"/>
        <v>928.94696579886659</v>
      </c>
      <c r="EO128" s="59">
        <f ca="1">AVERAGE(OFFSET($EN$3,0,0,'Données projet'!$E$15+1,1))-AVERAGE(OFFSET($H$3,0,0,'Données projet'!$E$15+1,1))</f>
        <v>420.38735944595965</v>
      </c>
      <c r="EP128" s="59">
        <f t="shared" si="100"/>
        <v>200.0823542414671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24.065368017766257</v>
      </c>
      <c r="EW128" s="21">
        <f>EXP(-LN(2)/25)*EW127+(1-EXP(-LN(2)/25))/(LN(2)/25)*Calculateur!ER128*Calculateur!ET128*VLOOKUP('Données projet'!$B$15,Paramètres!$A$1:$I$89,3,0)*0.475*44/12</f>
        <v>23.510923484059397</v>
      </c>
      <c r="EX128" s="21">
        <f>EXP(-LN(2)/2)*EX127+(1-EXP(-LN(2)/2))/(LN(2)/2)*ER128*EU128*VLOOKUP('Données projet'!$B$15,Paramètres!$A$1:$I$89,3,0)*0.475*44/12</f>
        <v>1.615212606765583</v>
      </c>
      <c r="EY128" s="22">
        <f t="shared" si="75"/>
        <v>49.191504108591232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>
        <f>VLOOKUP(A128,'Données projet'!$A$217:$I$237,2,0)</f>
        <v>215.44</v>
      </c>
      <c r="FC128" s="12">
        <f>VLOOKUP(A128,'Données projet'!$A$217:$I$237,9,0)</f>
        <v>4.8499999999999943</v>
      </c>
      <c r="FD128" s="12">
        <f t="array" ref="FD128">INDEX(FC:FC,MIN(IF(ISNUMBER(FC128:FC324),ROW(FC128:FC324),"")))</f>
        <v>4.8499999999999943</v>
      </c>
      <c r="FE128" s="12">
        <f>IF('Données projet'!$A$218&gt;35,FE127+FD128-FM127,IF(A128&lt;'Données projet'!$A$218,$FB$205^A128,IF(A128='Données projet'!$A$218,'Données projet'!$B$218,FE127+FD128-FM127)))</f>
        <v>215.44000000000025</v>
      </c>
      <c r="FF128" s="17">
        <f>FE128*VLOOKUP('Données projet'!$B$16,Paramètres!$A$1:$I$89,3,0)*VLOOKUP('Données projet'!$B$16,Paramètres!$A$1:$I$89,5,0)</f>
        <v>231.89961600000024</v>
      </c>
      <c r="FG128" s="13">
        <f t="shared" si="101"/>
        <v>56.693226090154134</v>
      </c>
      <c r="FH128" s="20">
        <f t="shared" si="76"/>
        <v>502.63253330701883</v>
      </c>
      <c r="FI128" s="59">
        <f t="shared" si="77"/>
        <v>795.96586664035215</v>
      </c>
      <c r="FJ128" s="59">
        <f ca="1">AVERAGE(OFFSET($FI$3,0,0,'Données projet'!$E$16+1,1))-AVERAGE(OFFSET($H$3,0,0,'Données projet'!$E$16+1,1))</f>
        <v>415.8741608506952</v>
      </c>
      <c r="FK128" s="59">
        <f t="shared" si="102"/>
        <v>259.15848913719356</v>
      </c>
      <c r="FL128" s="15">
        <f>IF(ISNA(VLOOKUP(A128,'Données projet'!$A$217:$I$237,3,0)),0,VLOOKUP(A128,'Données projet'!$A$217:$I$237,3,0))</f>
        <v>12</v>
      </c>
      <c r="FM128" s="15">
        <f>IF(ISNA(VLOOKUP(A128,'Données projet'!$A$217:$I$237,4,0)),0,VLOOKUP(A128,'Données projet'!$A$217:$I$237,4,0))</f>
        <v>70.609999999999985</v>
      </c>
      <c r="FN128" s="16">
        <f>IF(ISNA(VLOOKUP(A128,'Données projet'!$A$217:$I$237,5,0)),0%,VLOOKUP(A128,'Données projet'!$A$217:$I$237,5,0)*VLOOKUP('Données projet'!$B$16,Paramètres!$A$1:$I$89,7,0))</f>
        <v>0.19350000000000001</v>
      </c>
      <c r="FO128" s="16">
        <f>IF(ISNA(VLOOKUP(A128,'Données projet'!$A$217:$I$237,6,0)),0%,VLOOKUP(A128,'Données projet'!$A$217:$I$237,6,0)*VLOOKUP('Données projet'!$B$16,Paramètres!$A$1:$I$89,7,0))</f>
        <v>2.1500000000000002E-2</v>
      </c>
      <c r="FP128" s="16">
        <f>IF(ISNA(VLOOKUP(A128,'Données projet'!$A$217:$I$237,7,0)),0%,VLOOKUP(A128,'Données projet'!$A$217:$I$237,7,0))</f>
        <v>0.05</v>
      </c>
      <c r="FQ128" s="21">
        <f>EXP(-LN(2)/35)*FQ127+(1-EXP(-LN(2)/35))/(LN(2)/35)*FM128*FN128*VLOOKUP('Données projet'!$B$16,Paramètres!$A$1:$I$89,3,0)*0.475*44/12</f>
        <v>108.68790224555241</v>
      </c>
      <c r="FR128" s="21">
        <f>EXP(-LN(2)/25)*FR127+(1-EXP(-LN(2)/25))/(LN(2)/25)*Calculateur!FM128*Calculateur!FO128*VLOOKUP('Données projet'!$B$16,Paramètres!$A$1:$I$89,3,0)*0.475*44/12</f>
        <v>27.629577830178413</v>
      </c>
      <c r="FS128" s="21">
        <f>EXP(-LN(2)/2)*FS127+(1-EXP(-LN(2)/2))/(LN(2)/2)*FM128*FP128*VLOOKUP('Données projet'!$B$16,Paramètres!$A$1:$I$89,3,0)*0.475*44/12</f>
        <v>8.7599131627069529</v>
      </c>
      <c r="FT128" s="22">
        <f t="shared" si="78"/>
        <v>145.07739323843779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>
        <f>VLOOKUP(A128,'Données projet'!$A$243:$I$263,2,0)</f>
        <v>215.44</v>
      </c>
      <c r="FX128" s="12">
        <f>VLOOKUP(A128,'Données projet'!$A$243:$I$263,9,0)</f>
        <v>4.8499999999999943</v>
      </c>
      <c r="FY128" s="12">
        <f t="array" ref="FY128">INDEX(FX:FX,MIN(IF(ISNUMBER(FX128:FX324),ROW(FX128:FX324),"")))</f>
        <v>4.8499999999999943</v>
      </c>
      <c r="FZ128" s="12">
        <f>IF('Données projet'!$A$244&gt;35,FZ127+FY128-GH127,IF(A128&lt;'Données projet'!$A$244,$FW$205^A128,IF(A128='Données projet'!$A$244,'Données projet'!$B$244,FZ127+FY128-GH127)))</f>
        <v>215.44000000000025</v>
      </c>
      <c r="GA128" s="17">
        <f>FZ128*VLOOKUP('Données projet'!$B$17,Paramètres!$A$1:$I$89,3,0)*VLOOKUP('Données projet'!$B$17,Paramètres!$A$1:$I$89,5,0)</f>
        <v>184.84752000000023</v>
      </c>
      <c r="GB128" s="13">
        <f t="shared" si="103"/>
        <v>46.398996381837307</v>
      </c>
      <c r="GC128" s="20">
        <f t="shared" si="79"/>
        <v>402.7543493650337</v>
      </c>
      <c r="GD128" s="59">
        <f t="shared" si="80"/>
        <v>696.08768269836696</v>
      </c>
      <c r="GE128" s="59">
        <f ca="1">AVERAGE(OFFSET($GD$3,0,0,'Données projet'!$E$17+1,1))-AVERAGE(OFFSET($H$3,0,0,'Données projet'!$E$17+1,1))</f>
        <v>322.39807389980882</v>
      </c>
      <c r="GF128" s="59">
        <f t="shared" si="104"/>
        <v>202.59410055732792</v>
      </c>
      <c r="GG128" s="15">
        <f>IF(ISNA(VLOOKUP(A128,'Données projet'!$A$243:$I$263,3,0)),0,VLOOKUP(A128,'Données projet'!$A$243:$I$263,3,0))</f>
        <v>12</v>
      </c>
      <c r="GH128" s="15">
        <f>IF(ISNA(VLOOKUP(A128,'Données projet'!$A$243:$I$263,4,0)),0,VLOOKUP(A128,'Données projet'!$A$243:$I$263,4,0))</f>
        <v>70.609999999999985</v>
      </c>
      <c r="GI128" s="16">
        <f>IF(ISNA(VLOOKUP(A128,'Données projet'!$A$243:$I$263,5,0)),0%,VLOOKUP(A128,'Données projet'!$A$243:$I$263,5,0)*VLOOKUP('Données projet'!$B$17,Paramètres!$A$1:$I$89,7,0))</f>
        <v>0.23850000000000002</v>
      </c>
      <c r="GJ128" s="16">
        <f>IF(ISNA(VLOOKUP(A128,'Données projet'!$A$243:$I$263,6,0)),0%,VLOOKUP(A128,'Données projet'!$A$243:$I$263,6,0)*VLOOKUP('Données projet'!$B$17,Paramètres!$A$1:$I$89,7,0))</f>
        <v>2.6500000000000003E-2</v>
      </c>
      <c r="GK128" s="16">
        <f>IF(ISNA(VLOOKUP(A128,'Données projet'!$A$243:$I$263,7,0)),0%,VLOOKUP(A128,'Données projet'!$A$243:$I$263,7,0))</f>
        <v>0.05</v>
      </c>
      <c r="GL128" s="21">
        <f>EXP(-LN(2)/35)*GL127+(1-EXP(-LN(2)/35))/(LN(2)/35)*GH128*GI128*VLOOKUP('Données projet'!$B$17,Paramètres!$A$1:$I$89,3,0)*0.475*44/12</f>
        <v>106.78302495644937</v>
      </c>
      <c r="GM128" s="21">
        <f>EXP(-LN(2)/25)*GM127+(1-EXP(-LN(2)/25))/(LN(2)/25)*Calculateur!GH128*Calculateur!GJ128*VLOOKUP('Données projet'!$B$17,Paramètres!$A$1:$I$89,3,0)*0.475*44/12</f>
        <v>27.145338515325268</v>
      </c>
      <c r="GN128" s="21">
        <f>EXP(-LN(2)/2)*GN127+(1-EXP(-LN(2)/2))/(LN(2)/2)*GH128*GK128*VLOOKUP('Données projet'!$B$17,Paramètres!$A$1:$I$89,3,0)*0.475*44/12</f>
        <v>6.9825394775200351</v>
      </c>
      <c r="GO128" s="21">
        <f t="shared" si="81"/>
        <v>140.91090294929467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46.191599999999859</v>
      </c>
      <c r="D129" s="11">
        <f t="shared" si="86"/>
        <v>13.625734950806189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461.74784874306425</v>
      </c>
      <c r="H129" s="67">
        <f t="shared" si="56"/>
        <v>397.51519170598721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1.5961632016114892E-13</v>
      </c>
      <c r="P129" s="13">
        <f t="shared" si="87"/>
        <v>2.2708641912150958E-12</v>
      </c>
      <c r="Q129" s="20">
        <f t="shared" si="107"/>
        <v>4.2330868906469593E-12</v>
      </c>
      <c r="R129" s="59">
        <f t="shared" si="55"/>
        <v>293.33333333333752</v>
      </c>
      <c r="S129" s="59">
        <f ca="1">AVERAGE(OFFSET($R$3,0,0,'Données projet'!$E$9+1,1))-AVERAGE(OFFSET($H$3,0,0,'Données projet'!$E$9+1,1))</f>
        <v>215.77907571824977</v>
      </c>
      <c r="T129" s="59">
        <f t="shared" si="88"/>
        <v>174.69390149594869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93.710364295314633</v>
      </c>
      <c r="AA129" s="21">
        <f>EXP(-LN(2)/25)*AA128+(1-EXP(-LN(2)/25))/(LN(2)/25)*Calculateur!V129*Calculateur!X129*VLOOKUP('Données projet'!$B$9,Paramètres!$A$1:$I$89,3,0)*0.475*44/12</f>
        <v>26.142175730340846</v>
      </c>
      <c r="AB129" s="21">
        <f>EXP(-LN(2)/2)*AB128+(1-EXP(-LN(2)/2))/(LN(2)/2)*V129*Y129*VLOOKUP('Données projet'!$B$9,Paramètres!$A$1:$I$89,3,0)*0.475*44/12</f>
        <v>8.6973855162241348E-2</v>
      </c>
      <c r="AC129" s="22">
        <f t="shared" si="57"/>
        <v>119.93951388081773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-1.0197709343628959E-13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171.701352621833</v>
      </c>
      <c r="AO129" s="59">
        <f t="shared" si="90"/>
        <v>195.58435749168586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28.780124190460427</v>
      </c>
      <c r="AV129" s="21">
        <f>EXP(-LN(2)/25)*AV128+(1-EXP(-LN(2)/25))/(LN(2)/25)*Calculateur!AQ129*Calculateur!AS129*VLOOKUP('Données projet'!$B$10,Paramètres!$A$1:$I$89,3,0)*0.475*44/12</f>
        <v>6.3386554104816124</v>
      </c>
      <c r="AW129" s="21">
        <f>EXP(-LN(2)/2)*AW128+(1-EXP(-LN(2)/2))/(LN(2)/2)*AQ129*AT129*VLOOKUP('Données projet'!$B$10,Paramètres!$A$1:$I$89,3,0)*0.475*44/12</f>
        <v>1.0411936379598625E-8</v>
      </c>
      <c r="AX129" s="21">
        <f t="shared" si="60"/>
        <v>35.118779611353979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-1.1823431123048067E-13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348.29124901999882</v>
      </c>
      <c r="BJ129" s="59">
        <f t="shared" si="92"/>
        <v>284.30034973939053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87.392648803564285</v>
      </c>
      <c r="BQ129" s="21">
        <f>EXP(-LN(2)/25)*BQ128+(1-EXP(-LN(2)/25))/(LN(2)/25)*Calculateur!BL129*Calculateur!BN129*VLOOKUP('Données projet'!$B$11,Paramètres!$A$1:$I$89,3,0)*0.475*44/12</f>
        <v>21.726521049544594</v>
      </c>
      <c r="BR129" s="21">
        <f>EXP(-LN(2)/2)*BR128+(1-EXP(-LN(2)/2))/(LN(2)/2)*BL129*BO129*VLOOKUP('Données projet'!$B$11,Paramètres!$A$1:$I$89,3,0)*0.475*44/12</f>
        <v>1.0057331230511651E-5</v>
      </c>
      <c r="BS129" s="22">
        <f t="shared" si="63"/>
        <v>109.1191799104401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-2.2737367544323206E-13</v>
      </c>
      <c r="BZ129" s="13">
        <f>BY129*VLOOKUP('Données projet'!$B$12,Paramètres!$A$1:$I$89,3,0)*VLOOKUP('Données projet'!$B$12,Paramètres!$A$1:$I$89,5,0)</f>
        <v>-1.3596945791505279E-13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185.82627135915504</v>
      </c>
      <c r="CE129" s="59">
        <f t="shared" si="94"/>
        <v>155.46126452522037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68.805203076398953</v>
      </c>
      <c r="CL129" s="21">
        <f>EXP(-LN(2)/25)*CL128+(1-EXP(-LN(2)/25))/(LN(2)/25)*Calculateur!CG129*Calculateur!CI129*VLOOKUP('Données projet'!$B$12,Paramètres!$A$1:$I$89,3,0)*0.475*44/12</f>
        <v>19.389875362707844</v>
      </c>
      <c r="CM129" s="21">
        <f>EXP(-LN(2)/2)*CM128+(1-EXP(-LN(2)/2))/(LN(2)/2)*CG129*CJ129*VLOOKUP('Données projet'!$B$12,Paramètres!$A$1:$I$89,3,0)*0.475*44/12</f>
        <v>0.13227878432911669</v>
      </c>
      <c r="CN129" s="22">
        <f t="shared" si="66"/>
        <v>88.327357223435911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1.0692307692307679</v>
      </c>
      <c r="CT129" s="12">
        <f>IF('Données projet'!$A$140&gt;35,CT128+CS129-DB128,IF(A129&lt;'Données projet'!$A$140,$CQ$205^A129,IF(A129='Données projet'!$A$140,'Données projet'!$B$140,CT128+CS129-DB128)))</f>
        <v>110.72307692307687</v>
      </c>
      <c r="CU129" s="17">
        <f>CT129*VLOOKUP('Données projet'!$B$13,Paramètres!$A$1:$I$89,3,0)*VLOOKUP('Données projet'!$B$13,Paramètres!$A$1:$I$89,5,0)</f>
        <v>127.55298461538455</v>
      </c>
      <c r="CV129" s="13">
        <f t="shared" si="95"/>
        <v>33.43030210244298</v>
      </c>
      <c r="CW129" s="20">
        <f t="shared" si="67"/>
        <v>280.37922436688291</v>
      </c>
      <c r="CX129" s="59">
        <f t="shared" si="68"/>
        <v>573.71255770021617</v>
      </c>
      <c r="CY129" s="59">
        <f ca="1">AVERAGE(OFFSET($CX$3,0,0,'Données projet'!$E$13+1,1))-AVERAGE(OFFSET($H$3,0,0,'Données projet'!$E$13+1,1))</f>
        <v>150.78964413039063</v>
      </c>
      <c r="CZ129" s="59">
        <f t="shared" si="96"/>
        <v>131.90332435966184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7.0120633916520942</v>
      </c>
      <c r="DG129" s="21">
        <f>EXP(-LN(2)/25)*DG128+(1-EXP(-LN(2)/25))/(LN(2)/25)*Calculateur!DB129*Calculateur!DD129*VLOOKUP('Données projet'!$B$13,Paramètres!$A$1:$I$89,3,0)*0.475*44/12</f>
        <v>2.8709459708601726</v>
      </c>
      <c r="DH129" s="21">
        <f>EXP(-LN(2)/2)*DH128+(1-EXP(-LN(2)/2))/(LN(2)/2)*DB129*DE129*VLOOKUP('Données projet'!$B$13,Paramètres!$A$1:$I$89,3,0)*0.475*44/12</f>
        <v>0.18544767522172867</v>
      </c>
      <c r="DI129" s="22">
        <f t="shared" si="69"/>
        <v>10.068457037733996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-1.4210854715202004E-14</v>
      </c>
      <c r="DP129" s="17">
        <f>DO129*VLOOKUP('Données projet'!$B$14,Paramètres!$A$1:$I$89,3,0)*VLOOKUP('Données projet'!$B$14,Paramètres!$A$1:$I$89,5,0)</f>
        <v>-1.4853185348329136E-14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110.10595934547638</v>
      </c>
      <c r="DU129" s="59">
        <f t="shared" si="98"/>
        <v>131.10971921141493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18.032903304683575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18.032903304683575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7.1129999999999995</v>
      </c>
      <c r="EJ129" s="12">
        <f>IF('Données projet'!$A$192&gt;35,EJ128+EI129-ER128,IF(A129&lt;'Données projet'!$A$192,$EG$205^A129,IF(A129='Données projet'!$A$192,'Données projet'!$B$192,EJ128+EI129-ER128)))</f>
        <v>297.89200000000005</v>
      </c>
      <c r="EK129" s="17">
        <f>EJ129*VLOOKUP('Données projet'!$B$15,Paramètres!$A$1:$I$89,3,0)*VLOOKUP('Données projet'!$B$15,Paramètres!$A$1:$I$89,5,0)</f>
        <v>302.06248800000009</v>
      </c>
      <c r="EL129" s="13">
        <f t="shared" si="99"/>
        <v>71.608667618813385</v>
      </c>
      <c r="EM129" s="20">
        <f t="shared" si="73"/>
        <v>650.81059603610004</v>
      </c>
      <c r="EN129" s="59">
        <f t="shared" si="74"/>
        <v>944.14392936943341</v>
      </c>
      <c r="EO129" s="59">
        <f ca="1">AVERAGE(OFFSET($EN$3,0,0,'Données projet'!$E$15+1,1))-AVERAGE(OFFSET($H$3,0,0,'Données projet'!$E$15+1,1))</f>
        <v>420.38735944595965</v>
      </c>
      <c r="EP129" s="59">
        <f t="shared" si="100"/>
        <v>200.0823542414671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23.593460829362979</v>
      </c>
      <c r="EW129" s="21">
        <f>EXP(-LN(2)/25)*EW128+(1-EXP(-LN(2)/25))/(LN(2)/25)*Calculateur!ER129*Calculateur!ET129*VLOOKUP('Données projet'!$B$15,Paramètres!$A$1:$I$89,3,0)*0.475*44/12</f>
        <v>22.868016045002062</v>
      </c>
      <c r="EX129" s="21">
        <f>EXP(-LN(2)/2)*EX128+(1-EXP(-LN(2)/2))/(LN(2)/2)*ER129*EU129*VLOOKUP('Données projet'!$B$15,Paramètres!$A$1:$I$89,3,0)*0.475*44/12</f>
        <v>1.1421277873019442</v>
      </c>
      <c r="EY129" s="22">
        <f t="shared" si="75"/>
        <v>47.603604661666985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3.3249999999999886</v>
      </c>
      <c r="FE129" s="12">
        <f>IF('Données projet'!$A$218&gt;35,FE128+FD129-FM128,IF(A129&lt;'Données projet'!$A$218,$FB$205^A129,IF(A129='Données projet'!$A$218,'Données projet'!$B$218,FE128+FD129-FM128)))</f>
        <v>148.15500000000026</v>
      </c>
      <c r="FF129" s="17">
        <f>FE129*VLOOKUP('Données projet'!$B$16,Paramètres!$A$1:$I$89,3,0)*VLOOKUP('Données projet'!$B$16,Paramètres!$A$1:$I$89,5,0)</f>
        <v>159.47404200000028</v>
      </c>
      <c r="FG129" s="13">
        <f t="shared" si="101"/>
        <v>40.723861387649414</v>
      </c>
      <c r="FH129" s="20">
        <f t="shared" si="76"/>
        <v>348.67801506682321</v>
      </c>
      <c r="FI129" s="59">
        <f t="shared" si="77"/>
        <v>642.01134840015652</v>
      </c>
      <c r="FJ129" s="59">
        <f ca="1">AVERAGE(OFFSET($FI$3,0,0,'Données projet'!$E$16+1,1))-AVERAGE(OFFSET($H$3,0,0,'Données projet'!$E$16+1,1))</f>
        <v>415.8741608506952</v>
      </c>
      <c r="FK129" s="59">
        <f t="shared" si="102"/>
        <v>259.15848913719356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106.5565987755916</v>
      </c>
      <c r="FR129" s="21">
        <f>EXP(-LN(2)/25)*FR128+(1-EXP(-LN(2)/25))/(LN(2)/25)*Calculateur!FM129*Calculateur!FO129*VLOOKUP('Données projet'!$B$16,Paramètres!$A$1:$I$89,3,0)*0.475*44/12</f>
        <v>26.874045571435833</v>
      </c>
      <c r="FS129" s="21">
        <f>EXP(-LN(2)/2)*FS128+(1-EXP(-LN(2)/2))/(LN(2)/2)*FM129*FP129*VLOOKUP('Données projet'!$B$16,Paramètres!$A$1:$I$89,3,0)*0.475*44/12</f>
        <v>6.1941939999553828</v>
      </c>
      <c r="FT129" s="22">
        <f t="shared" si="78"/>
        <v>139.62483834698281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3.3249999999999886</v>
      </c>
      <c r="FZ129" s="12">
        <f>IF('Données projet'!$A$244&gt;35,FZ128+FY129-GH128,IF(A129&lt;'Données projet'!$A$244,$FW$205^A129,IF(A129='Données projet'!$A$244,'Données projet'!$B$244,FZ128+FY129-GH128)))</f>
        <v>148.15500000000026</v>
      </c>
      <c r="GA129" s="17">
        <f>FZ129*VLOOKUP('Données projet'!$B$17,Paramètres!$A$1:$I$89,3,0)*VLOOKUP('Données projet'!$B$17,Paramètres!$A$1:$I$89,5,0)</f>
        <v>127.11699000000024</v>
      </c>
      <c r="GB129" s="13">
        <f t="shared" si="103"/>
        <v>33.32931334997965</v>
      </c>
      <c r="GC129" s="20">
        <f t="shared" si="79"/>
        <v>279.44397833454826</v>
      </c>
      <c r="GD129" s="59">
        <f t="shared" si="80"/>
        <v>572.77731166788158</v>
      </c>
      <c r="GE129" s="59">
        <f ca="1">AVERAGE(OFFSET($GD$3,0,0,'Données projet'!$E$17+1,1))-AVERAGE(OFFSET($H$3,0,0,'Données projet'!$E$17+1,1))</f>
        <v>322.39807389980882</v>
      </c>
      <c r="GF129" s="59">
        <f t="shared" si="104"/>
        <v>202.59410055732792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104.68907496826745</v>
      </c>
      <c r="GM129" s="21">
        <f>EXP(-LN(2)/25)*GM128+(1-EXP(-LN(2)/25))/(LN(2)/25)*Calculateur!GH129*Calculateur!GJ129*VLOOKUP('Données projet'!$B$17,Paramètres!$A$1:$I$89,3,0)*0.475*44/12</f>
        <v>26.403047806112387</v>
      </c>
      <c r="GN129" s="21">
        <f>EXP(-LN(2)/2)*GN128+(1-EXP(-LN(2)/2))/(LN(2)/2)*GH129*GK129*VLOOKUP('Données projet'!$B$17,Paramètres!$A$1:$I$89,3,0)*0.475*44/12</f>
        <v>4.9374010144571896</v>
      </c>
      <c r="GO129" s="21">
        <f t="shared" si="81"/>
        <v>136.02952378883703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46.558199999999857</v>
      </c>
      <c r="D130" s="11">
        <f t="shared" si="86"/>
        <v>13.721244114013054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465.31500719588917</v>
      </c>
      <c r="H130" s="67">
        <f t="shared" si="56"/>
        <v>398.32003183190579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1.5961632016114892E-13</v>
      </c>
      <c r="P130" s="13">
        <f t="shared" si="87"/>
        <v>2.2708641912150958E-12</v>
      </c>
      <c r="Q130" s="20">
        <f t="shared" si="107"/>
        <v>4.2330868906469593E-12</v>
      </c>
      <c r="R130" s="59">
        <f t="shared" si="55"/>
        <v>293.33333333333752</v>
      </c>
      <c r="S130" s="59">
        <f ca="1">AVERAGE(OFFSET($R$3,0,0,'Données projet'!$E$9+1,1))-AVERAGE(OFFSET($H$3,0,0,'Données projet'!$E$9+1,1))</f>
        <v>215.77907571824977</v>
      </c>
      <c r="T130" s="59">
        <f t="shared" si="88"/>
        <v>174.69390149594869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91.872761209161879</v>
      </c>
      <c r="AA130" s="21">
        <f>EXP(-LN(2)/25)*AA129+(1-EXP(-LN(2)/25))/(LN(2)/25)*Calculateur!V130*Calculateur!X130*VLOOKUP('Données projet'!$B$9,Paramètres!$A$1:$I$89,3,0)*0.475*44/12</f>
        <v>25.427316560237401</v>
      </c>
      <c r="AB130" s="21">
        <f>EXP(-LN(2)/2)*AB129+(1-EXP(-LN(2)/2))/(LN(2)/2)*V130*Y130*VLOOKUP('Données projet'!$B$9,Paramètres!$A$1:$I$89,3,0)*0.475*44/12</f>
        <v>6.1499802771157477E-2</v>
      </c>
      <c r="AC130" s="22">
        <f t="shared" si="57"/>
        <v>117.36157757217043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-1.0197709343628959E-13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171.701352621833</v>
      </c>
      <c r="AO130" s="59">
        <f t="shared" si="90"/>
        <v>195.58435749168586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28.215763509227926</v>
      </c>
      <c r="AV130" s="21">
        <f>EXP(-LN(2)/25)*AV129+(1-EXP(-LN(2)/25))/(LN(2)/25)*Calculateur!AQ130*Calculateur!AS130*VLOOKUP('Données projet'!$B$10,Paramètres!$A$1:$I$89,3,0)*0.475*44/12</f>
        <v>6.1653245449465919</v>
      </c>
      <c r="AW130" s="21">
        <f>EXP(-LN(2)/2)*AW129+(1-EXP(-LN(2)/2))/(LN(2)/2)*AQ130*AT130*VLOOKUP('Données projet'!$B$10,Paramètres!$A$1:$I$89,3,0)*0.475*44/12</f>
        <v>7.362350819297099E-9</v>
      </c>
      <c r="AX130" s="21">
        <f t="shared" si="60"/>
        <v>34.381088061536872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-1.1823431123048067E-13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348.29124901999882</v>
      </c>
      <c r="BJ130" s="59">
        <f t="shared" si="92"/>
        <v>284.30034973939053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85.678932264778808</v>
      </c>
      <c r="BQ130" s="21">
        <f>EXP(-LN(2)/25)*BQ129+(1-EXP(-LN(2)/25))/(LN(2)/25)*Calculateur!BL130*Calculateur!BN130*VLOOKUP('Données projet'!$B$11,Paramètres!$A$1:$I$89,3,0)*0.475*44/12</f>
        <v>21.132408188896711</v>
      </c>
      <c r="BR130" s="21">
        <f>EXP(-LN(2)/2)*BR129+(1-EXP(-LN(2)/2))/(LN(2)/2)*BL130*BO130*VLOOKUP('Données projet'!$B$11,Paramètres!$A$1:$I$89,3,0)*0.475*44/12</f>
        <v>7.1116071137340325E-6</v>
      </c>
      <c r="BS130" s="22">
        <f t="shared" si="63"/>
        <v>106.81134756528263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-2.2737367544323206E-13</v>
      </c>
      <c r="BZ130" s="13">
        <f>BY130*VLOOKUP('Données projet'!$B$12,Paramètres!$A$1:$I$89,3,0)*VLOOKUP('Données projet'!$B$12,Paramètres!$A$1:$I$89,5,0)</f>
        <v>-1.3596945791505279E-13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185.82627135915504</v>
      </c>
      <c r="CE130" s="59">
        <f t="shared" si="94"/>
        <v>155.46126452522037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67.455975011100747</v>
      </c>
      <c r="CL130" s="21">
        <f>EXP(-LN(2)/25)*CL129+(1-EXP(-LN(2)/25))/(LN(2)/25)*Calculateur!CG130*Calculateur!CI130*VLOOKUP('Données projet'!$B$12,Paramètres!$A$1:$I$89,3,0)*0.475*44/12</f>
        <v>18.85965820124537</v>
      </c>
      <c r="CM130" s="21">
        <f>EXP(-LN(2)/2)*CM129+(1-EXP(-LN(2)/2))/(LN(2)/2)*CG130*CJ130*VLOOKUP('Données projet'!$B$12,Paramètres!$A$1:$I$89,3,0)*0.475*44/12</f>
        <v>9.3535225406231229E-2</v>
      </c>
      <c r="CN130" s="22">
        <f t="shared" si="66"/>
        <v>86.409168437752342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1.0692307692307679</v>
      </c>
      <c r="CT130" s="12">
        <f>IF('Données projet'!$A$140&gt;35,CT129+CS130-DB129,IF(A130&lt;'Données projet'!$A$140,$CQ$205^A130,IF(A130='Données projet'!$A$140,'Données projet'!$B$140,CT129+CS130-DB129)))</f>
        <v>111.79230769230765</v>
      </c>
      <c r="CU130" s="17">
        <f>CT130*VLOOKUP('Données projet'!$B$13,Paramètres!$A$1:$I$89,3,0)*VLOOKUP('Données projet'!$B$13,Paramètres!$A$1:$I$89,5,0)</f>
        <v>128.78473846153841</v>
      </c>
      <c r="CV130" s="13">
        <f t="shared" si="95"/>
        <v>33.715394758556613</v>
      </c>
      <c r="CW130" s="20">
        <f t="shared" si="67"/>
        <v>283.02106535833212</v>
      </c>
      <c r="CX130" s="59">
        <f t="shared" si="68"/>
        <v>576.35439869166544</v>
      </c>
      <c r="CY130" s="59">
        <f ca="1">AVERAGE(OFFSET($CX$3,0,0,'Données projet'!$E$13+1,1))-AVERAGE(OFFSET($H$3,0,0,'Données projet'!$E$13+1,1))</f>
        <v>150.78964413039063</v>
      </c>
      <c r="CZ130" s="59">
        <f t="shared" si="96"/>
        <v>131.90332435966184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6.8745611054781532</v>
      </c>
      <c r="DG130" s="21">
        <f>EXP(-LN(2)/25)*DG129+(1-EXP(-LN(2)/25))/(LN(2)/25)*Calculateur!DB130*Calculateur!DD130*VLOOKUP('Données projet'!$B$13,Paramètres!$A$1:$I$89,3,0)*0.475*44/12</f>
        <v>2.7924398023105144</v>
      </c>
      <c r="DH130" s="21">
        <f>EXP(-LN(2)/2)*DH129+(1-EXP(-LN(2)/2))/(LN(2)/2)*DB130*DE130*VLOOKUP('Données projet'!$B$13,Paramètres!$A$1:$I$89,3,0)*0.475*44/12</f>
        <v>0.13113130870456483</v>
      </c>
      <c r="DI130" s="22">
        <f t="shared" si="69"/>
        <v>9.7981322164932312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-1.4210854715202004E-14</v>
      </c>
      <c r="DP130" s="17">
        <f>DO130*VLOOKUP('Données projet'!$B$14,Paramètres!$A$1:$I$89,3,0)*VLOOKUP('Données projet'!$B$14,Paramètres!$A$1:$I$89,5,0)</f>
        <v>-1.4853185348329136E-14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110.10595934547638</v>
      </c>
      <c r="DU130" s="59">
        <f t="shared" si="98"/>
        <v>131.10971921141493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17.539792615507832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17.539792615507832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7.1129999999999995</v>
      </c>
      <c r="EJ130" s="12">
        <f>IF('Données projet'!$A$192&gt;35,EJ129+EI130-ER129,IF(A130&lt;'Données projet'!$A$192,$EG$205^A130,IF(A130='Données projet'!$A$192,'Données projet'!$B$192,EJ129+EI130-ER129)))</f>
        <v>305.00500000000005</v>
      </c>
      <c r="EK130" s="17">
        <f>EJ130*VLOOKUP('Données projet'!$B$15,Paramètres!$A$1:$I$89,3,0)*VLOOKUP('Données projet'!$B$15,Paramètres!$A$1:$I$89,5,0)</f>
        <v>309.27507000000008</v>
      </c>
      <c r="EL130" s="13">
        <f t="shared" si="99"/>
        <v>73.117415312099666</v>
      </c>
      <c r="EM130" s="20">
        <f t="shared" si="73"/>
        <v>666.00024525190713</v>
      </c>
      <c r="EN130" s="59">
        <f t="shared" si="74"/>
        <v>959.3335785852405</v>
      </c>
      <c r="EO130" s="59">
        <f ca="1">AVERAGE(OFFSET($EN$3,0,0,'Données projet'!$E$15+1,1))-AVERAGE(OFFSET($H$3,0,0,'Données projet'!$E$15+1,1))</f>
        <v>420.38735944595965</v>
      </c>
      <c r="EP130" s="59">
        <f t="shared" si="100"/>
        <v>200.0823542414671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23.130807453089325</v>
      </c>
      <c r="EW130" s="21">
        <f>EXP(-LN(2)/25)*EW129+(1-EXP(-LN(2)/25))/(LN(2)/25)*Calculateur!ER130*Calculateur!ET130*VLOOKUP('Données projet'!$B$15,Paramètres!$A$1:$I$89,3,0)*0.475*44/12</f>
        <v>22.242688943674782</v>
      </c>
      <c r="EX130" s="21">
        <f>EXP(-LN(2)/2)*EX129+(1-EXP(-LN(2)/2))/(LN(2)/2)*ER130*EU130*VLOOKUP('Données projet'!$B$15,Paramètres!$A$1:$I$89,3,0)*0.475*44/12</f>
        <v>0.8076063033827916</v>
      </c>
      <c r="EY130" s="22">
        <f t="shared" si="75"/>
        <v>46.181102700146901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>
        <f>VLOOKUP(A130,'Données projet'!$A$217:$I$237,2,0)</f>
        <v>151.47999999999999</v>
      </c>
      <c r="FC130" s="12">
        <f>VLOOKUP(A130,'Données projet'!$A$217:$I$237,9,0)</f>
        <v>3.3249999999999886</v>
      </c>
      <c r="FD130" s="12">
        <f t="array" ref="FD130">INDEX(FC:FC,MIN(IF(ISNUMBER(FC130:FC326),ROW(FC130:FC326),"")))</f>
        <v>3.3249999999999886</v>
      </c>
      <c r="FE130" s="12">
        <f>IF('Données projet'!$A$218&gt;35,FE129+FD130-FM129,IF(A130&lt;'Données projet'!$A$218,$FB$205^A130,IF(A130='Données projet'!$A$218,'Données projet'!$B$218,FE129+FD130-FM129)))</f>
        <v>151.48000000000025</v>
      </c>
      <c r="FF130" s="17">
        <f>FE130*VLOOKUP('Données projet'!$B$16,Paramètres!$A$1:$I$89,3,0)*VLOOKUP('Données projet'!$B$16,Paramètres!$A$1:$I$89,5,0)</f>
        <v>163.05307200000027</v>
      </c>
      <c r="FG130" s="13">
        <f t="shared" si="101"/>
        <v>41.530384934528691</v>
      </c>
      <c r="FH130" s="20">
        <f t="shared" si="76"/>
        <v>356.31618749430459</v>
      </c>
      <c r="FI130" s="59">
        <f t="shared" si="77"/>
        <v>649.64952082763784</v>
      </c>
      <c r="FJ130" s="59">
        <f ca="1">AVERAGE(OFFSET($FI$3,0,0,'Données projet'!$E$16+1,1))-AVERAGE(OFFSET($H$3,0,0,'Données projet'!$E$16+1,1))</f>
        <v>415.8741608506952</v>
      </c>
      <c r="FK130" s="59">
        <f t="shared" si="102"/>
        <v>259.15848913719356</v>
      </c>
      <c r="FL130" s="15">
        <f>IF(ISNA(VLOOKUP(A130,'Données projet'!$A$217:$I$237,3,0)),0,VLOOKUP(A130,'Données projet'!$A$217:$I$237,3,0))</f>
        <v>13</v>
      </c>
      <c r="FM130" s="15">
        <f>IF(ISNA(VLOOKUP(A130,'Données projet'!$A$217:$I$237,4,0)),0,VLOOKUP(A130,'Données projet'!$A$217:$I$237,4,0))</f>
        <v>46.039999999999992</v>
      </c>
      <c r="FN130" s="16">
        <f>IF(ISNA(VLOOKUP(A130,'Données projet'!$A$217:$I$237,5,0)),0%,VLOOKUP(A130,'Données projet'!$A$217:$I$237,5,0)*VLOOKUP('Données projet'!$B$16,Paramètres!$A$1:$I$89,7,0))</f>
        <v>0.19350000000000001</v>
      </c>
      <c r="FO130" s="16">
        <f>IF(ISNA(VLOOKUP(A130,'Données projet'!$A$217:$I$237,6,0)),0%,VLOOKUP(A130,'Données projet'!$A$217:$I$237,6,0)*VLOOKUP('Données projet'!$B$16,Paramètres!$A$1:$I$89,7,0))</f>
        <v>2.1500000000000002E-2</v>
      </c>
      <c r="FP130" s="16">
        <f>IF(ISNA(VLOOKUP(A130,'Données projet'!$A$217:$I$237,7,0)),0%,VLOOKUP(A130,'Données projet'!$A$217:$I$237,7,0))</f>
        <v>0.05</v>
      </c>
      <c r="FQ130" s="21">
        <f>EXP(-LN(2)/35)*FQ129+(1-EXP(-LN(2)/35))/(LN(2)/35)*FM130*FN130*VLOOKUP('Données projet'!$B$16,Paramètres!$A$1:$I$89,3,0)*0.475*44/12</f>
        <v>115.06785085730691</v>
      </c>
      <c r="FR130" s="21">
        <f>EXP(-LN(2)/25)*FR129+(1-EXP(-LN(2)/25))/(LN(2)/25)*Calculateur!FM130*Calculateur!FO130*VLOOKUP('Données projet'!$B$16,Paramètres!$A$1:$I$89,3,0)*0.475*44/12</f>
        <v>27.312398132199505</v>
      </c>
      <c r="FS130" s="21">
        <f>EXP(-LN(2)/2)*FS129+(1-EXP(-LN(2)/2))/(LN(2)/2)*FM130*FP130*VLOOKUP('Données projet'!$B$16,Paramètres!$A$1:$I$89,3,0)*0.475*44/12</f>
        <v>6.7178962591220905</v>
      </c>
      <c r="FT130" s="22">
        <f t="shared" si="78"/>
        <v>149.0981452486285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>
        <f>VLOOKUP(A130,'Données projet'!$A$243:$I$263,2,0)</f>
        <v>151.47999999999999</v>
      </c>
      <c r="FX130" s="12">
        <f>VLOOKUP(A130,'Données projet'!$A$243:$I$263,9,0)</f>
        <v>3.3249999999999886</v>
      </c>
      <c r="FY130" s="12">
        <f t="array" ref="FY130">INDEX(FX:FX,MIN(IF(ISNUMBER(FX130:FX326),ROW(FX130:FX326),"")))</f>
        <v>3.3249999999999886</v>
      </c>
      <c r="FZ130" s="12">
        <f>IF('Données projet'!$A$244&gt;35,FZ129+FY130-GH129,IF(A130&lt;'Données projet'!$A$244,$FW$205^A130,IF(A130='Données projet'!$A$244,'Données projet'!$B$244,FZ129+FY130-GH129)))</f>
        <v>151.48000000000025</v>
      </c>
      <c r="GA130" s="17">
        <f>FZ130*VLOOKUP('Données projet'!$B$17,Paramètres!$A$1:$I$89,3,0)*VLOOKUP('Données projet'!$B$17,Paramètres!$A$1:$I$89,5,0)</f>
        <v>129.9698400000002</v>
      </c>
      <c r="GB130" s="13">
        <f t="shared" si="103"/>
        <v>33.989390147761625</v>
      </c>
      <c r="GC130" s="20">
        <f t="shared" si="79"/>
        <v>285.56232584068522</v>
      </c>
      <c r="GD130" s="59">
        <f t="shared" si="80"/>
        <v>578.89565917401853</v>
      </c>
      <c r="GE130" s="59">
        <f ca="1">AVERAGE(OFFSET($GD$3,0,0,'Données projet'!$E$17+1,1))-AVERAGE(OFFSET($H$3,0,0,'Données projet'!$E$17+1,1))</f>
        <v>322.39807389980882</v>
      </c>
      <c r="GF130" s="59">
        <f t="shared" si="104"/>
        <v>202.59410055732792</v>
      </c>
      <c r="GG130" s="15">
        <f>IF(ISNA(VLOOKUP(A130,'Données projet'!$A$243:$I$263,3,0)),0,VLOOKUP(A130,'Données projet'!$A$243:$I$263,3,0))</f>
        <v>13</v>
      </c>
      <c r="GH130" s="15">
        <f>IF(ISNA(VLOOKUP(A130,'Données projet'!$A$243:$I$263,4,0)),0,VLOOKUP(A130,'Données projet'!$A$243:$I$263,4,0))</f>
        <v>46.039999999999992</v>
      </c>
      <c r="GI130" s="16">
        <f>IF(ISNA(VLOOKUP(A130,'Données projet'!$A$243:$I$263,5,0)),0%,VLOOKUP(A130,'Données projet'!$A$243:$I$263,5,0)*VLOOKUP('Données projet'!$B$17,Paramètres!$A$1:$I$89,7,0))</f>
        <v>0.23850000000000002</v>
      </c>
      <c r="GJ130" s="16">
        <f>IF(ISNA(VLOOKUP(A130,'Données projet'!$A$243:$I$263,6,0)),0%,VLOOKUP(A130,'Données projet'!$A$243:$I$263,6,0)*VLOOKUP('Données projet'!$B$17,Paramètres!$A$1:$I$89,7,0))</f>
        <v>2.6500000000000003E-2</v>
      </c>
      <c r="GK130" s="16">
        <f>IF(ISNA(VLOOKUP(A130,'Données projet'!$A$243:$I$263,7,0)),0%,VLOOKUP(A130,'Données projet'!$A$243:$I$263,7,0))</f>
        <v>0.05</v>
      </c>
      <c r="GL130" s="21">
        <f>EXP(-LN(2)/35)*GL129+(1-EXP(-LN(2)/35))/(LN(2)/35)*GH130*GI130*VLOOKUP('Données projet'!$B$17,Paramètres!$A$1:$I$89,3,0)*0.475*44/12</f>
        <v>113.05115781902583</v>
      </c>
      <c r="GM130" s="21">
        <f>EXP(-LN(2)/25)*GM129+(1-EXP(-LN(2)/25))/(LN(2)/25)*Calculateur!GH130*Calculateur!GJ130*VLOOKUP('Données projet'!$B$17,Paramètres!$A$1:$I$89,3,0)*0.475*44/12</f>
        <v>26.833717747004229</v>
      </c>
      <c r="GN130" s="21">
        <f>EXP(-LN(2)/2)*GN129+(1-EXP(-LN(2)/2))/(LN(2)/2)*GH130*GK130*VLOOKUP('Données projet'!$B$17,Paramètres!$A$1:$I$89,3,0)*0.475*44/12</f>
        <v>5.3548448442277543</v>
      </c>
      <c r="GO130" s="21">
        <f t="shared" si="81"/>
        <v>145.23972041025783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46.924799999999856</v>
      </c>
      <c r="D131" s="11">
        <f t="shared" si="86"/>
        <v>13.816665778834674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468.88149022258239</v>
      </c>
      <c r="H131" s="67">
        <f t="shared" si="56"/>
        <v>399.12471956480346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1.5961632016114892E-13</v>
      </c>
      <c r="P131" s="13">
        <f t="shared" si="87"/>
        <v>2.2708641912150958E-12</v>
      </c>
      <c r="Q131" s="20">
        <f t="shared" ref="Q131:Q153" si="108">(O131+P131)*0.475*44/12</f>
        <v>4.2330868906469593E-12</v>
      </c>
      <c r="R131" s="59">
        <f t="shared" ref="R131:R194" si="109">Q131+(I131+J131)*44/12</f>
        <v>293.33333333333752</v>
      </c>
      <c r="S131" s="59">
        <f ca="1">AVERAGE(OFFSET($R$3,0,0,'Données projet'!$E$9+1,1))-AVERAGE(OFFSET($H$3,0,0,'Données projet'!$E$9+1,1))</f>
        <v>215.77907571824977</v>
      </c>
      <c r="T131" s="59">
        <f t="shared" si="88"/>
        <v>174.69390149594869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90.071192398701371</v>
      </c>
      <c r="AA131" s="21">
        <f>EXP(-LN(2)/25)*AA130+(1-EXP(-LN(2)/25))/(LN(2)/25)*Calculateur!V131*Calculateur!X131*VLOOKUP('Données projet'!$B$9,Paramètres!$A$1:$I$89,3,0)*0.475*44/12</f>
        <v>24.732005251733245</v>
      </c>
      <c r="AB131" s="21">
        <f>EXP(-LN(2)/2)*AB130+(1-EXP(-LN(2)/2))/(LN(2)/2)*V131*Y131*VLOOKUP('Données projet'!$B$9,Paramètres!$A$1:$I$89,3,0)*0.475*44/12</f>
        <v>4.3486927581120681E-2</v>
      </c>
      <c r="AC131" s="22">
        <f t="shared" si="57"/>
        <v>114.84668457801573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-1.0197709343628959E-13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171.701352621833</v>
      </c>
      <c r="AO131" s="59">
        <f t="shared" si="90"/>
        <v>195.58435749168586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27.662469596728368</v>
      </c>
      <c r="AV131" s="21">
        <f>EXP(-LN(2)/25)*AV130+(1-EXP(-LN(2)/25))/(LN(2)/25)*Calculateur!AQ131*Calculateur!AS131*VLOOKUP('Données projet'!$B$10,Paramètres!$A$1:$I$89,3,0)*0.475*44/12</f>
        <v>5.9967334210447003</v>
      </c>
      <c r="AW131" s="21">
        <f>EXP(-LN(2)/2)*AW130+(1-EXP(-LN(2)/2))/(LN(2)/2)*AQ131*AT131*VLOOKUP('Données projet'!$B$10,Paramètres!$A$1:$I$89,3,0)*0.475*44/12</f>
        <v>5.2059681897993131E-9</v>
      </c>
      <c r="AX131" s="21">
        <f t="shared" si="60"/>
        <v>33.659203022979035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-1.1823431123048067E-13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348.29124901999882</v>
      </c>
      <c r="BJ131" s="59">
        <f t="shared" si="92"/>
        <v>284.30034973939053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83.998820662055024</v>
      </c>
      <c r="BQ131" s="21">
        <f>EXP(-LN(2)/25)*BQ130+(1-EXP(-LN(2)/25))/(LN(2)/25)*Calculateur!BL131*Calculateur!BN131*VLOOKUP('Données projet'!$B$11,Paramètres!$A$1:$I$89,3,0)*0.475*44/12</f>
        <v>20.554541375666282</v>
      </c>
      <c r="BR131" s="21">
        <f>EXP(-LN(2)/2)*BR130+(1-EXP(-LN(2)/2))/(LN(2)/2)*BL131*BO131*VLOOKUP('Données projet'!$B$11,Paramètres!$A$1:$I$89,3,0)*0.475*44/12</f>
        <v>5.0286656152558253E-6</v>
      </c>
      <c r="BS131" s="22">
        <f t="shared" si="63"/>
        <v>104.55336706638693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-2.2737367544323206E-13</v>
      </c>
      <c r="BZ131" s="13">
        <f>BY131*VLOOKUP('Données projet'!$B$12,Paramètres!$A$1:$I$89,3,0)*VLOOKUP('Données projet'!$B$12,Paramètres!$A$1:$I$89,5,0)</f>
        <v>-1.3596945791505279E-13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185.82627135915504</v>
      </c>
      <c r="CE131" s="59">
        <f t="shared" si="94"/>
        <v>155.46126452522037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66.133204485215174</v>
      </c>
      <c r="CL131" s="21">
        <f>EXP(-LN(2)/25)*CL130+(1-EXP(-LN(2)/25))/(LN(2)/25)*Calculateur!CG131*Calculateur!CI131*VLOOKUP('Données projet'!$B$12,Paramètres!$A$1:$I$89,3,0)*0.475*44/12</f>
        <v>18.343939855945994</v>
      </c>
      <c r="CM131" s="21">
        <f>EXP(-LN(2)/2)*CM130+(1-EXP(-LN(2)/2))/(LN(2)/2)*CG131*CJ131*VLOOKUP('Données projet'!$B$12,Paramètres!$A$1:$I$89,3,0)*0.475*44/12</f>
        <v>6.6139392164558344E-2</v>
      </c>
      <c r="CN131" s="22">
        <f t="shared" si="66"/>
        <v>84.543283733325723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1.0692307692307679</v>
      </c>
      <c r="CT131" s="12">
        <f>IF('Données projet'!$A$140&gt;35,CT130+CS131-DB130,IF(A131&lt;'Données projet'!$A$140,$CQ$205^A131,IF(A131='Données projet'!$A$140,'Données projet'!$B$140,CT130+CS131-DB130)))</f>
        <v>112.86153846153842</v>
      </c>
      <c r="CU131" s="17">
        <f>CT131*VLOOKUP('Données projet'!$B$13,Paramètres!$A$1:$I$89,3,0)*VLOOKUP('Données projet'!$B$13,Paramètres!$A$1:$I$89,5,0)</f>
        <v>130.01649230769223</v>
      </c>
      <c r="CV131" s="13">
        <f t="shared" si="95"/>
        <v>34.00017019229508</v>
      </c>
      <c r="CW131" s="20">
        <f t="shared" si="67"/>
        <v>285.66235385414456</v>
      </c>
      <c r="CX131" s="59">
        <f t="shared" si="68"/>
        <v>578.99568718747787</v>
      </c>
      <c r="CY131" s="59">
        <f ca="1">AVERAGE(OFFSET($CX$3,0,0,'Données projet'!$E$13+1,1))-AVERAGE(OFFSET($H$3,0,0,'Données projet'!$E$13+1,1))</f>
        <v>150.78964413039063</v>
      </c>
      <c r="CZ131" s="59">
        <f t="shared" si="96"/>
        <v>131.90332435966184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6.7397551552679698</v>
      </c>
      <c r="DG131" s="21">
        <f>EXP(-LN(2)/25)*DG130+(1-EXP(-LN(2)/25))/(LN(2)/25)*Calculateur!DB131*Calculateur!DD131*VLOOKUP('Données projet'!$B$13,Paramètres!$A$1:$I$89,3,0)*0.475*44/12</f>
        <v>2.7160803890683063</v>
      </c>
      <c r="DH131" s="21">
        <f>EXP(-LN(2)/2)*DH130+(1-EXP(-LN(2)/2))/(LN(2)/2)*DB131*DE131*VLOOKUP('Données projet'!$B$13,Paramètres!$A$1:$I$89,3,0)*0.475*44/12</f>
        <v>9.2723837610864335E-2</v>
      </c>
      <c r="DI131" s="22">
        <f t="shared" si="69"/>
        <v>9.5485593819471397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-1.4210854715202004E-14</v>
      </c>
      <c r="DP131" s="17">
        <f>DO131*VLOOKUP('Données projet'!$B$14,Paramètres!$A$1:$I$89,3,0)*VLOOKUP('Données projet'!$B$14,Paramètres!$A$1:$I$89,5,0)</f>
        <v>-1.4853185348329136E-14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110.10595934547638</v>
      </c>
      <c r="DU131" s="59">
        <f t="shared" si="98"/>
        <v>131.10971921141493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17.060166064059164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17.060166064059164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7.1129999999999995</v>
      </c>
      <c r="EJ131" s="12">
        <f>IF('Données projet'!$A$192&gt;35,EJ130+EI131-ER130,IF(A131&lt;'Données projet'!$A$192,$EG$205^A131,IF(A131='Données projet'!$A$192,'Données projet'!$B$192,EJ130+EI131-ER130)))</f>
        <v>312.11800000000005</v>
      </c>
      <c r="EK131" s="17">
        <f>EJ131*VLOOKUP('Données projet'!$B$15,Paramètres!$A$1:$I$89,3,0)*VLOOKUP('Données projet'!$B$15,Paramètres!$A$1:$I$89,5,0)</f>
        <v>316.48765200000008</v>
      </c>
      <c r="EL131" s="13">
        <f t="shared" si="99"/>
        <v>74.622072586992616</v>
      </c>
      <c r="EM131" s="20">
        <f t="shared" si="73"/>
        <v>681.18277032234562</v>
      </c>
      <c r="EN131" s="59">
        <f t="shared" si="74"/>
        <v>974.51610365567899</v>
      </c>
      <c r="EO131" s="59">
        <f ca="1">AVERAGE(OFFSET($EN$3,0,0,'Données projet'!$E$15+1,1))-AVERAGE(OFFSET($H$3,0,0,'Données projet'!$E$15+1,1))</f>
        <v>420.38735944595965</v>
      </c>
      <c r="EP131" s="59">
        <f t="shared" si="100"/>
        <v>200.0823542414671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22.6772264273337</v>
      </c>
      <c r="EW131" s="21">
        <f>EXP(-LN(2)/25)*EW130+(1-EXP(-LN(2)/25))/(LN(2)/25)*Calculateur!ER131*Calculateur!ET131*VLOOKUP('Données projet'!$B$15,Paramètres!$A$1:$I$89,3,0)*0.475*44/12</f>
        <v>21.63446144481782</v>
      </c>
      <c r="EX131" s="21">
        <f>EXP(-LN(2)/2)*EX130+(1-EXP(-LN(2)/2))/(LN(2)/2)*ER131*EU131*VLOOKUP('Données projet'!$B$15,Paramètres!$A$1:$I$89,3,0)*0.475*44/12</f>
        <v>0.57106389365097221</v>
      </c>
      <c r="EY131" s="22">
        <f t="shared" si="75"/>
        <v>44.882751765802496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2.4366666666666674</v>
      </c>
      <c r="FE131" s="12">
        <f>IF('Données projet'!$A$218&gt;35,FE130+FD131-FM130,IF(A131&lt;'Données projet'!$A$218,$FB$205^A131,IF(A131='Données projet'!$A$218,'Données projet'!$B$218,FE130+FD131-FM130)))</f>
        <v>107.87666666666692</v>
      </c>
      <c r="FF131" s="17">
        <f>FE131*VLOOKUP('Données projet'!$B$16,Paramètres!$A$1:$I$89,3,0)*VLOOKUP('Données projet'!$B$16,Paramètres!$A$1:$I$89,5,0)</f>
        <v>116.11844400000027</v>
      </c>
      <c r="FG131" s="13">
        <f t="shared" si="101"/>
        <v>30.767964932307216</v>
      </c>
      <c r="FH131" s="20">
        <f t="shared" si="76"/>
        <v>255.82716222376891</v>
      </c>
      <c r="FI131" s="59">
        <f t="shared" si="77"/>
        <v>549.16049555710219</v>
      </c>
      <c r="FJ131" s="59">
        <f ca="1">AVERAGE(OFFSET($FI$3,0,0,'Données projet'!$E$16+1,1))-AVERAGE(OFFSET($H$3,0,0,'Données projet'!$E$16+1,1))</f>
        <v>415.8741608506952</v>
      </c>
      <c r="FK131" s="59">
        <f t="shared" si="102"/>
        <v>259.15848913719356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112.811440486454</v>
      </c>
      <c r="FR131" s="21">
        <f>EXP(-LN(2)/25)*FR130+(1-EXP(-LN(2)/25))/(LN(2)/25)*Calculateur!FM131*Calculateur!FO131*VLOOKUP('Données projet'!$B$16,Paramètres!$A$1:$I$89,3,0)*0.475*44/12</f>
        <v>26.565539168977914</v>
      </c>
      <c r="FS131" s="21">
        <f>EXP(-LN(2)/2)*FS130+(1-EXP(-LN(2)/2))/(LN(2)/2)*FM131*FP131*VLOOKUP('Données projet'!$B$16,Paramètres!$A$1:$I$89,3,0)*0.475*44/12</f>
        <v>4.7502700001329705</v>
      </c>
      <c r="FT131" s="22">
        <f t="shared" si="78"/>
        <v>144.12724965556487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2.4366666666666674</v>
      </c>
      <c r="FZ131" s="12">
        <f>IF('Données projet'!$A$244&gt;35,FZ130+FY131-GH130,IF(A131&lt;'Données projet'!$A$244,$FW$205^A131,IF(A131='Données projet'!$A$244,'Données projet'!$B$244,FZ130+FY131-GH130)))</f>
        <v>107.87666666666692</v>
      </c>
      <c r="GA131" s="17">
        <f>FZ131*VLOOKUP('Données projet'!$B$17,Paramètres!$A$1:$I$89,3,0)*VLOOKUP('Données projet'!$B$17,Paramètres!$A$1:$I$89,5,0)</f>
        <v>92.55818000000022</v>
      </c>
      <c r="GB131" s="13">
        <f t="shared" si="103"/>
        <v>25.18118639606838</v>
      </c>
      <c r="GC131" s="20">
        <f t="shared" si="79"/>
        <v>205.06272980648615</v>
      </c>
      <c r="GD131" s="59">
        <f t="shared" si="80"/>
        <v>498.39606313981949</v>
      </c>
      <c r="GE131" s="59">
        <f ca="1">AVERAGE(OFFSET($GD$3,0,0,'Données projet'!$E$17+1,1))-AVERAGE(OFFSET($H$3,0,0,'Données projet'!$E$17+1,1))</f>
        <v>322.39807389980882</v>
      </c>
      <c r="GF131" s="59">
        <f t="shared" si="104"/>
        <v>202.59410055732792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110.83429356859233</v>
      </c>
      <c r="GM131" s="21">
        <f>EXP(-LN(2)/25)*GM130+(1-EXP(-LN(2)/25))/(LN(2)/25)*Calculateur!GH131*Calculateur!GJ131*VLOOKUP('Données projet'!$B$17,Paramètres!$A$1:$I$89,3,0)*0.475*44/12</f>
        <v>26.099948324088512</v>
      </c>
      <c r="GN131" s="21">
        <f>EXP(-LN(2)/2)*GN130+(1-EXP(-LN(2)/2))/(LN(2)/2)*GH131*GK131*VLOOKUP('Données projet'!$B$17,Paramètres!$A$1:$I$89,3,0)*0.475*44/12</f>
        <v>3.7864471015552672</v>
      </c>
      <c r="GO131" s="21">
        <f t="shared" si="81"/>
        <v>140.7206889942361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47.291399999999854</v>
      </c>
      <c r="D132" s="11">
        <f t="shared" si="86"/>
        <v>13.912000708089723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472.44730371156874</v>
      </c>
      <c r="H132" s="67">
        <f t="shared" ref="H132:H195" si="110">(B132+E132+F132)*44/12+(C132+D132)*0.475*44/12</f>
        <v>399.92925623325596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1.5961632016114892E-13</v>
      </c>
      <c r="P132" s="13">
        <f t="shared" si="87"/>
        <v>2.2708641912150958E-12</v>
      </c>
      <c r="Q132" s="20">
        <f t="shared" si="108"/>
        <v>4.2330868906469593E-12</v>
      </c>
      <c r="R132" s="59">
        <f t="shared" si="109"/>
        <v>293.33333333333752</v>
      </c>
      <c r="S132" s="59">
        <f ca="1">AVERAGE(OFFSET($R$3,0,0,'Données projet'!$E$9+1,1))-AVERAGE(OFFSET($H$3,0,0,'Données projet'!$E$9+1,1))</f>
        <v>215.77907571824977</v>
      </c>
      <c r="T132" s="59">
        <f t="shared" si="88"/>
        <v>174.69390149594869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88.304951253765523</v>
      </c>
      <c r="AA132" s="21">
        <f>EXP(-LN(2)/25)*AA131+(1-EXP(-LN(2)/25))/(LN(2)/25)*Calculateur!V132*Calculateur!X132*VLOOKUP('Données projet'!$B$9,Paramètres!$A$1:$I$89,3,0)*0.475*44/12</f>
        <v>24.055707267524969</v>
      </c>
      <c r="AB132" s="21">
        <f>EXP(-LN(2)/2)*AB131+(1-EXP(-LN(2)/2))/(LN(2)/2)*V132*Y132*VLOOKUP('Données projet'!$B$9,Paramètres!$A$1:$I$89,3,0)*0.475*44/12</f>
        <v>3.0749901385578742E-2</v>
      </c>
      <c r="AC132" s="22">
        <f t="shared" ref="AC132:AC153" si="111">SUM(Z132:AB132)</f>
        <v>112.39140842267607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-1.0197709343628959E-13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171.701352621833</v>
      </c>
      <c r="AO132" s="59">
        <f t="shared" si="90"/>
        <v>195.58435749168586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27.120025440376963</v>
      </c>
      <c r="AV132" s="21">
        <f>EXP(-LN(2)/25)*AV131+(1-EXP(-LN(2)/25))/(LN(2)/25)*Calculateur!AQ132*Calculateur!AS132*VLOOKUP('Données projet'!$B$10,Paramètres!$A$1:$I$89,3,0)*0.475*44/12</f>
        <v>5.8327524302917277</v>
      </c>
      <c r="AW132" s="21">
        <f>EXP(-LN(2)/2)*AW131+(1-EXP(-LN(2)/2))/(LN(2)/2)*AQ132*AT132*VLOOKUP('Données projet'!$B$10,Paramètres!$A$1:$I$89,3,0)*0.475*44/12</f>
        <v>3.6811754096485499E-9</v>
      </c>
      <c r="AX132" s="21">
        <f t="shared" ref="AX132:AX153" si="114">SUM(AU132:AW132)</f>
        <v>32.952777874349863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-1.1823431123048067E-13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348.29124901999882</v>
      </c>
      <c r="BJ132" s="59">
        <f t="shared" si="92"/>
        <v>284.30034973939053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82.35165502309377</v>
      </c>
      <c r="BQ132" s="21">
        <f>EXP(-LN(2)/25)*BQ131+(1-EXP(-LN(2)/25))/(LN(2)/25)*Calculateur!BL132*Calculateur!BN132*VLOOKUP('Données projet'!$B$11,Paramètres!$A$1:$I$89,3,0)*0.475*44/12</f>
        <v>19.992476360832335</v>
      </c>
      <c r="BR132" s="21">
        <f>EXP(-LN(2)/2)*BR131+(1-EXP(-LN(2)/2))/(LN(2)/2)*BL132*BO132*VLOOKUP('Données projet'!$B$11,Paramètres!$A$1:$I$89,3,0)*0.475*44/12</f>
        <v>3.5558035568670162E-6</v>
      </c>
      <c r="BS132" s="22">
        <f t="shared" ref="BS132:BS153" si="117">SUM(BP132:BR132)</f>
        <v>102.34413493972967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-2.2737367544323206E-13</v>
      </c>
      <c r="BZ132" s="13">
        <f>BY132*VLOOKUP('Données projet'!$B$12,Paramètres!$A$1:$I$89,3,0)*VLOOKUP('Données projet'!$B$12,Paramètres!$A$1:$I$89,5,0)</f>
        <v>-1.3596945791505279E-13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185.82627135915504</v>
      </c>
      <c r="CE132" s="59">
        <f t="shared" si="94"/>
        <v>155.46126452522037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64.836372682531859</v>
      </c>
      <c r="CL132" s="21">
        <f>EXP(-LN(2)/25)*CL131+(1-EXP(-LN(2)/25))/(LN(2)/25)*Calculateur!CG132*Calculateur!CI132*VLOOKUP('Données projet'!$B$12,Paramètres!$A$1:$I$89,3,0)*0.475*44/12</f>
        <v>17.842323855919279</v>
      </c>
      <c r="CM132" s="21">
        <f>EXP(-LN(2)/2)*CM131+(1-EXP(-LN(2)/2))/(LN(2)/2)*CG132*CJ132*VLOOKUP('Données projet'!$B$12,Paramètres!$A$1:$I$89,3,0)*0.475*44/12</f>
        <v>4.6767612703115614E-2</v>
      </c>
      <c r="CN132" s="22">
        <f t="shared" ref="CN132:CN153" si="120">SUM(CK132:CM132)</f>
        <v>82.725464151154256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1.0692307692307679</v>
      </c>
      <c r="CT132" s="12">
        <f>IF('Données projet'!$A$140&gt;35,CT131+CS132-DB131,IF(A132&lt;'Données projet'!$A$140,$CQ$205^A132,IF(A132='Données projet'!$A$140,'Données projet'!$B$140,CT131+CS132-DB131)))</f>
        <v>113.93076923076919</v>
      </c>
      <c r="CU132" s="17">
        <f>CT132*VLOOKUP('Données projet'!$B$13,Paramètres!$A$1:$I$89,3,0)*VLOOKUP('Données projet'!$B$13,Paramètres!$A$1:$I$89,5,0)</f>
        <v>131.24824615384608</v>
      </c>
      <c r="CV132" s="13">
        <f t="shared" si="95"/>
        <v>34.284631757038106</v>
      </c>
      <c r="CW132" s="20">
        <f t="shared" ref="CW132:CW153" si="121">(CU132+CV132)*0.475*44/12</f>
        <v>288.30309569478993</v>
      </c>
      <c r="CX132" s="59">
        <f t="shared" ref="CX132:CX195" si="122">CW132+(CO132+CP132)*44/12</f>
        <v>581.6364290281233</v>
      </c>
      <c r="CY132" s="59">
        <f ca="1">AVERAGE(OFFSET($CX$3,0,0,'Données projet'!$E$13+1,1))-AVERAGE(OFFSET($H$3,0,0,'Données projet'!$E$13+1,1))</f>
        <v>150.78964413039063</v>
      </c>
      <c r="CZ132" s="59">
        <f t="shared" si="96"/>
        <v>131.90332435966184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6.6075926675178973</v>
      </c>
      <c r="DG132" s="21">
        <f>EXP(-LN(2)/25)*DG131+(1-EXP(-LN(2)/25))/(LN(2)/25)*Calculateur!DB132*Calculateur!DD132*VLOOKUP('Données projet'!$B$13,Paramètres!$A$1:$I$89,3,0)*0.475*44/12</f>
        <v>2.6418090279967736</v>
      </c>
      <c r="DH132" s="21">
        <f>EXP(-LN(2)/2)*DH131+(1-EXP(-LN(2)/2))/(LN(2)/2)*DB132*DE132*VLOOKUP('Données projet'!$B$13,Paramètres!$A$1:$I$89,3,0)*0.475*44/12</f>
        <v>6.5565654352282413E-2</v>
      </c>
      <c r="DI132" s="22">
        <f t="shared" ref="DI132:DI153" si="123">SUM(DF132:DH132)</f>
        <v>9.3149673498669525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-1.4210854715202004E-14</v>
      </c>
      <c r="DP132" s="17">
        <f>DO132*VLOOKUP('Données projet'!$B$14,Paramètres!$A$1:$I$89,3,0)*VLOOKUP('Données projet'!$B$14,Paramètres!$A$1:$I$89,5,0)</f>
        <v>-1.4853185348329136E-14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110.10595934547638</v>
      </c>
      <c r="DU132" s="59">
        <f t="shared" si="98"/>
        <v>131.10971921141493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16.593654925882323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16.593654925882323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7.1129999999999995</v>
      </c>
      <c r="EJ132" s="12">
        <f>IF('Données projet'!$A$192&gt;35,EJ131+EI132-ER131,IF(A132&lt;'Données projet'!$A$192,$EG$205^A132,IF(A132='Données projet'!$A$192,'Données projet'!$B$192,EJ131+EI132-ER131)))</f>
        <v>319.23100000000005</v>
      </c>
      <c r="EK132" s="17">
        <f>EJ132*VLOOKUP('Données projet'!$B$15,Paramètres!$A$1:$I$89,3,0)*VLOOKUP('Données projet'!$B$15,Paramètres!$A$1:$I$89,5,0)</f>
        <v>323.70023400000008</v>
      </c>
      <c r="EL132" s="13">
        <f t="shared" si="99"/>
        <v>76.122743392807436</v>
      </c>
      <c r="EM132" s="20">
        <f t="shared" ref="EM132:EM153" si="127">(EK132+EL132)*0.475*44/12</f>
        <v>696.35835229247311</v>
      </c>
      <c r="EN132" s="59">
        <f t="shared" ref="EN132:EN195" si="128">EM132+(EE132+EF132)*44/12</f>
        <v>989.69168562580649</v>
      </c>
      <c r="EO132" s="59">
        <f ca="1">AVERAGE(OFFSET($EN$3,0,0,'Données projet'!$E$15+1,1))-AVERAGE(OFFSET($H$3,0,0,'Données projet'!$E$15+1,1))</f>
        <v>420.38735944595965</v>
      </c>
      <c r="EP132" s="59">
        <f t="shared" si="100"/>
        <v>200.0823542414671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22.232539848836037</v>
      </c>
      <c r="EW132" s="21">
        <f>EXP(-LN(2)/25)*EW131+(1-EXP(-LN(2)/25))/(LN(2)/25)*Calculateur!ER132*Calculateur!ET132*VLOOKUP('Données projet'!$B$15,Paramètres!$A$1:$I$89,3,0)*0.475*44/12</f>
        <v>21.042865958902397</v>
      </c>
      <c r="EX132" s="21">
        <f>EXP(-LN(2)/2)*EX131+(1-EXP(-LN(2)/2))/(LN(2)/2)*ER132*EU132*VLOOKUP('Données projet'!$B$15,Paramètres!$A$1:$I$89,3,0)*0.475*44/12</f>
        <v>0.40380315169139586</v>
      </c>
      <c r="EY132" s="22">
        <f t="shared" ref="EY132:EY153" si="129">SUM(EV132:EX132)</f>
        <v>43.679208959429836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2.4366666666666674</v>
      </c>
      <c r="FE132" s="12">
        <f>IF('Données projet'!$A$218&gt;35,FE131+FD132-FM131,IF(A132&lt;'Données projet'!$A$218,$FB$205^A132,IF(A132='Données projet'!$A$218,'Données projet'!$B$218,FE131+FD132-FM131)))</f>
        <v>110.31333333333359</v>
      </c>
      <c r="FF132" s="17">
        <f>FE132*VLOOKUP('Données projet'!$B$16,Paramètres!$A$1:$I$89,3,0)*VLOOKUP('Données projet'!$B$16,Paramètres!$A$1:$I$89,5,0)</f>
        <v>118.74127200000028</v>
      </c>
      <c r="FG132" s="13">
        <f t="shared" si="101"/>
        <v>31.381241731102591</v>
      </c>
      <c r="FH132" s="20">
        <f t="shared" ref="FH132:FH153" si="130">(FF132+FG132)*0.475*44/12</f>
        <v>261.46337808167078</v>
      </c>
      <c r="FI132" s="59">
        <f t="shared" ref="FI132:FI195" si="131">FH132+(EZ132+FA132)*44/12</f>
        <v>554.7967114150041</v>
      </c>
      <c r="FJ132" s="59">
        <f ca="1">AVERAGE(OFFSET($FI$3,0,0,'Données projet'!$E$16+1,1))-AVERAGE(OFFSET($H$3,0,0,'Données projet'!$E$16+1,1))</f>
        <v>415.8741608506952</v>
      </c>
      <c r="FK132" s="59">
        <f t="shared" si="102"/>
        <v>259.15848913719356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110.59927694669909</v>
      </c>
      <c r="FR132" s="21">
        <f>EXP(-LN(2)/25)*FR131+(1-EXP(-LN(2)/25))/(LN(2)/25)*Calculateur!FM132*Calculateur!FO132*VLOOKUP('Données projet'!$B$16,Paramètres!$A$1:$I$89,3,0)*0.475*44/12</f>
        <v>25.839103103381223</v>
      </c>
      <c r="FS132" s="21">
        <f>EXP(-LN(2)/2)*FS131+(1-EXP(-LN(2)/2))/(LN(2)/2)*FM132*FP132*VLOOKUP('Données projet'!$B$16,Paramètres!$A$1:$I$89,3,0)*0.475*44/12</f>
        <v>3.3589481295610457</v>
      </c>
      <c r="FT132" s="22">
        <f t="shared" ref="FT132:FT153" si="132">SUM(FQ132:FS132)</f>
        <v>139.79732817964137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2.4366666666666674</v>
      </c>
      <c r="FZ132" s="12">
        <f>IF('Données projet'!$A$244&gt;35,FZ131+FY132-GH131,IF(A132&lt;'Données projet'!$A$244,$FW$205^A132,IF(A132='Données projet'!$A$244,'Données projet'!$B$244,FZ131+FY132-GH131)))</f>
        <v>110.31333333333359</v>
      </c>
      <c r="GA132" s="17">
        <f>FZ132*VLOOKUP('Données projet'!$B$17,Paramètres!$A$1:$I$89,3,0)*VLOOKUP('Données projet'!$B$17,Paramètres!$A$1:$I$89,5,0)</f>
        <v>94.64884000000022</v>
      </c>
      <c r="GB132" s="13">
        <f t="shared" si="103"/>
        <v>25.6831057598231</v>
      </c>
      <c r="GC132" s="20">
        <f t="shared" ref="GC132:GC153" si="133">(GA132+GB132)*0.475*44/12</f>
        <v>209.57813886502561</v>
      </c>
      <c r="GD132" s="59">
        <f t="shared" ref="GD132:GD195" si="134">GC132+(FU132+FV132)*44/12</f>
        <v>502.91147219835892</v>
      </c>
      <c r="GE132" s="59">
        <f ca="1">AVERAGE(OFFSET($GD$3,0,0,'Données projet'!$E$17+1,1))-AVERAGE(OFFSET($H$3,0,0,'Données projet'!$E$17+1,1))</f>
        <v>322.39807389980882</v>
      </c>
      <c r="GF132" s="59">
        <f t="shared" si="104"/>
        <v>202.59410055732792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108.66090067395615</v>
      </c>
      <c r="GM132" s="21">
        <f>EXP(-LN(2)/25)*GM131+(1-EXP(-LN(2)/25))/(LN(2)/25)*Calculateur!GH132*Calculateur!GJ132*VLOOKUP('Données projet'!$B$17,Paramètres!$A$1:$I$89,3,0)*0.475*44/12</f>
        <v>25.38624386462968</v>
      </c>
      <c r="GN132" s="21">
        <f>EXP(-LN(2)/2)*GN131+(1-EXP(-LN(2)/2))/(LN(2)/2)*GH132*GK132*VLOOKUP('Données projet'!$B$17,Paramètres!$A$1:$I$89,3,0)*0.475*44/12</f>
        <v>2.6774224221138776</v>
      </c>
      <c r="GO132" s="21">
        <f t="shared" ref="GO132:GO153" si="135">SUM(GL132:GN132)</f>
        <v>136.72456696069969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47.657999999999852</v>
      </c>
      <c r="D133" s="11">
        <f t="shared" ref="D133:D196" si="140">IFERROR(EXP(-1.0587+0.8836*LN(C133)+0.284),0)</f>
        <v>14.007249652087175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476.01245345470693</v>
      </c>
      <c r="H133" s="67">
        <f t="shared" si="110"/>
        <v>400.73364314405154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1.5961632016114892E-13</v>
      </c>
      <c r="P133" s="13">
        <f t="shared" ref="P133:P196" si="141">EXP(-1.0587+0.8836*LN(O133)+0.284)</f>
        <v>2.2708641912150958E-12</v>
      </c>
      <c r="Q133" s="20">
        <f t="shared" si="108"/>
        <v>4.2330868906469593E-12</v>
      </c>
      <c r="R133" s="59">
        <f t="shared" si="109"/>
        <v>293.33333333333752</v>
      </c>
      <c r="S133" s="59">
        <f ca="1">AVERAGE(OFFSET($R$3,0,0,'Données projet'!$E$9+1,1))-AVERAGE(OFFSET($H$3,0,0,'Données projet'!$E$9+1,1))</f>
        <v>215.77907571824977</v>
      </c>
      <c r="T133" s="59">
        <f t="shared" ref="T133:T196" si="142">$T$3</f>
        <v>174.69390149594869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86.57334502038114</v>
      </c>
      <c r="AA133" s="21">
        <f>EXP(-LN(2)/25)*AA132+(1-EXP(-LN(2)/25))/(LN(2)/25)*Calculateur!V133*Calculateur!X133*VLOOKUP('Données projet'!$B$9,Paramètres!$A$1:$I$89,3,0)*0.475*44/12</f>
        <v>23.397902687259833</v>
      </c>
      <c r="AB133" s="21">
        <f>EXP(-LN(2)/2)*AB132+(1-EXP(-LN(2)/2))/(LN(2)/2)*V133*Y133*VLOOKUP('Données projet'!$B$9,Paramètres!$A$1:$I$89,3,0)*0.475*44/12</f>
        <v>2.1743463790560344E-2</v>
      </c>
      <c r="AC133" s="22">
        <f t="shared" si="111"/>
        <v>109.99299117143153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-1.0197709343628959E-13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171.701352621833</v>
      </c>
      <c r="AO133" s="59">
        <f t="shared" ref="AO133:AO196" si="144">$AO$3</f>
        <v>195.58435749168586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26.588218283073346</v>
      </c>
      <c r="AV133" s="21">
        <f>EXP(-LN(2)/25)*AV132+(1-EXP(-LN(2)/25))/(LN(2)/25)*Calculateur!AQ133*Calculateur!AS133*VLOOKUP('Données projet'!$B$10,Paramètres!$A$1:$I$89,3,0)*0.475*44/12</f>
        <v>5.6732555083542815</v>
      </c>
      <c r="AW133" s="21">
        <f>EXP(-LN(2)/2)*AW132+(1-EXP(-LN(2)/2))/(LN(2)/2)*AQ133*AT133*VLOOKUP('Données projet'!$B$10,Paramètres!$A$1:$I$89,3,0)*0.475*44/12</f>
        <v>2.602984094899657E-9</v>
      </c>
      <c r="AX133" s="21">
        <f t="shared" si="114"/>
        <v>32.261473794030607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-1.1823431123048067E-13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348.29124901999882</v>
      </c>
      <c r="BJ133" s="59">
        <f t="shared" ref="BJ133:BJ196" si="146">$BJ$3</f>
        <v>284.30034973939053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80.736789297640712</v>
      </c>
      <c r="BQ133" s="21">
        <f>EXP(-LN(2)/25)*BQ132+(1-EXP(-LN(2)/25))/(LN(2)/25)*Calculateur!BL133*Calculateur!BN133*VLOOKUP('Données projet'!$B$11,Paramètres!$A$1:$I$89,3,0)*0.475*44/12</f>
        <v>19.445781043386734</v>
      </c>
      <c r="BR133" s="21">
        <f>EXP(-LN(2)/2)*BR132+(1-EXP(-LN(2)/2))/(LN(2)/2)*BL133*BO133*VLOOKUP('Données projet'!$B$11,Paramètres!$A$1:$I$89,3,0)*0.475*44/12</f>
        <v>2.5143328076279126E-6</v>
      </c>
      <c r="BS133" s="22">
        <f t="shared" si="117"/>
        <v>100.18257285536025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-2.2737367544323206E-13</v>
      </c>
      <c r="BZ133" s="13">
        <f>BY133*VLOOKUP('Données projet'!$B$12,Paramètres!$A$1:$I$89,3,0)*VLOOKUP('Données projet'!$B$12,Paramètres!$A$1:$I$89,5,0)</f>
        <v>-1.3596945791505279E-13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185.82627135915504</v>
      </c>
      <c r="CE133" s="59">
        <f t="shared" ref="CE133:CE196" si="148">$CE$3</f>
        <v>155.46126452522037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63.564970960509875</v>
      </c>
      <c r="CL133" s="21">
        <f>EXP(-LN(2)/25)*CL132+(1-EXP(-LN(2)/25))/(LN(2)/25)*Calculateur!CG133*Calculateur!CI133*VLOOKUP('Données projet'!$B$12,Paramètres!$A$1:$I$89,3,0)*0.475*44/12</f>
        <v>17.354424571792133</v>
      </c>
      <c r="CM133" s="21">
        <f>EXP(-LN(2)/2)*CM132+(1-EXP(-LN(2)/2))/(LN(2)/2)*CG133*CJ133*VLOOKUP('Données projet'!$B$12,Paramètres!$A$1:$I$89,3,0)*0.475*44/12</f>
        <v>3.3069696082279172E-2</v>
      </c>
      <c r="CN133" s="22">
        <f t="shared" si="120"/>
        <v>80.952465228384284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115</v>
      </c>
      <c r="CR133" s="12">
        <f>VLOOKUP(A133,'Données projet'!$A$139:$I$159,9,0)</f>
        <v>1.0692307692307679</v>
      </c>
      <c r="CS133" s="12">
        <f t="array" ref="CS133">INDEX(CR:CR,MIN(IF(ISNUMBER(CR133:CR329),ROW(CR133:CR329),"")))</f>
        <v>1.0692307692307679</v>
      </c>
      <c r="CT133" s="12">
        <f>IF('Données projet'!$A$140&gt;35,CT132+CS133-DB132,IF(A133&lt;'Données projet'!$A$140,$CQ$205^A133,IF(A133='Données projet'!$A$140,'Données projet'!$B$140,CT132+CS133-DB132)))</f>
        <v>114.99999999999996</v>
      </c>
      <c r="CU133" s="17">
        <f>CT133*VLOOKUP('Données projet'!$B$13,Paramètres!$A$1:$I$89,3,0)*VLOOKUP('Données projet'!$B$13,Paramètres!$A$1:$I$89,5,0)</f>
        <v>132.47999999999993</v>
      </c>
      <c r="CV133" s="13">
        <f t="shared" ref="CV133:CV153" si="149">EXP(-1.0587+0.8836*LN(CU133)+0.284)</f>
        <v>34.568782739593182</v>
      </c>
      <c r="CW133" s="20">
        <f t="shared" si="121"/>
        <v>290.94329660479133</v>
      </c>
      <c r="CX133" s="59">
        <f t="shared" si="122"/>
        <v>584.27662993812464</v>
      </c>
      <c r="CY133" s="59">
        <f ca="1">AVERAGE(OFFSET($CX$3,0,0,'Données projet'!$E$13+1,1))-AVERAGE(OFFSET($H$3,0,0,'Données projet'!$E$13+1,1))</f>
        <v>150.78964413039063</v>
      </c>
      <c r="CZ133" s="59">
        <f t="shared" ref="CZ133:CZ196" si="150">$CZ$3</f>
        <v>131.90332435966184</v>
      </c>
      <c r="DA133" s="15">
        <f>IF(ISNA(VLOOKUP(A133,'Données projet'!$A$139:$I$159,3,0)),0,VLOOKUP(A133,'Données projet'!$A$139:$I$159,3,0))</f>
        <v>13</v>
      </c>
      <c r="DB133" s="15">
        <f>IF(ISNA(VLOOKUP(A133,'Données projet'!$A$139:$I$159,4,0)),0,VLOOKUP(A133,'Données projet'!$A$139:$I$159,4,0))</f>
        <v>9.615384615384615</v>
      </c>
      <c r="DC133" s="16">
        <f>IF(ISNA(VLOOKUP(A133,'Données projet'!$A$139:$I$159,5,0)),0%,VLOOKUP(A133,'Données projet'!$A$139:$I$159,5,0)*VLOOKUP('Données projet'!$B$13,Paramètres!$A$1:$I$89,7,0))</f>
        <v>0.18000000000000002</v>
      </c>
      <c r="DD133" s="16">
        <f>IF(ISNA(VLOOKUP(A133,'Données projet'!$A$139:$I$159,6,0)),0%,VLOOKUP(A133,'Données projet'!$A$139:$I$159,6,0)*VLOOKUP('Données projet'!$B$13,Paramètres!$A$1:$I$89,7,0))</f>
        <v>9.0000000000000011E-2</v>
      </c>
      <c r="DE133" s="16">
        <f>IF(ISNA(VLOOKUP(A133,'Données projet'!$A$139:$I$159,7,0)),0%,VLOOKUP(A133,'Données projet'!$A$139:$I$159,7,0))</f>
        <v>0.2</v>
      </c>
      <c r="DF133" s="21">
        <f>EXP(-LN(2)/35)*DF132+(1-EXP(-LN(2)/35))/(LN(2)/35)*DB133*DC133*VLOOKUP('Données projet'!$B$13,Paramètres!$A$1:$I$89,3,0)*0.475*44/12</f>
        <v>7.9107114174161497</v>
      </c>
      <c r="DG133" s="21">
        <f>EXP(-LN(2)/25)*DG132+(1-EXP(-LN(2)/25))/(LN(2)/25)*Calculateur!DB133*Calculateur!DD133*VLOOKUP('Données projet'!$B$13,Paramètres!$A$1:$I$89,3,0)*0.475*44/12</f>
        <v>3.2830929046871091</v>
      </c>
      <c r="DH133" s="21">
        <f>EXP(-LN(2)/2)*DH132+(1-EXP(-LN(2)/2))/(LN(2)/2)*DB133*DE133*VLOOKUP('Données projet'!$B$13,Paramètres!$A$1:$I$89,3,0)*0.475*44/12</f>
        <v>1.4050406758371912</v>
      </c>
      <c r="DI133" s="22">
        <f t="shared" si="123"/>
        <v>12.59884499794045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-1.4210854715202004E-14</v>
      </c>
      <c r="DP133" s="17">
        <f>DO133*VLOOKUP('Données projet'!$B$14,Paramètres!$A$1:$I$89,3,0)*VLOOKUP('Données projet'!$B$14,Paramètres!$A$1:$I$89,5,0)</f>
        <v>-1.4853185348329136E-14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110.10595934547638</v>
      </c>
      <c r="DU133" s="59">
        <f t="shared" ref="DU133:DU196" si="152">$DU$3</f>
        <v>131.10971921141493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16.139900559311684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16.139900559311684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7.1129999999999995</v>
      </c>
      <c r="EJ133" s="12">
        <f>IF('Données projet'!$A$192&gt;35,EJ132+EI133-ER132,IF(A133&lt;'Données projet'!$A$192,$EG$205^A133,IF(A133='Données projet'!$A$192,'Données projet'!$B$192,EJ132+EI133-ER132)))</f>
        <v>326.34400000000005</v>
      </c>
      <c r="EK133" s="17">
        <f>EJ133*VLOOKUP('Données projet'!$B$15,Paramètres!$A$1:$I$89,3,0)*VLOOKUP('Données projet'!$B$15,Paramètres!$A$1:$I$89,5,0)</f>
        <v>330.91281600000008</v>
      </c>
      <c r="EL133" s="13">
        <f t="shared" ref="EL133:EL153" si="153">EXP(-1.0587+0.8836*LN(EK133)+0.284)</f>
        <v>77.619526782062408</v>
      </c>
      <c r="EM133" s="20">
        <f t="shared" si="127"/>
        <v>711.52716367875882</v>
      </c>
      <c r="EN133" s="59">
        <f t="shared" si="128"/>
        <v>1004.8604970120921</v>
      </c>
      <c r="EO133" s="59">
        <f ca="1">AVERAGE(OFFSET($EN$3,0,0,'Données projet'!$E$15+1,1))-AVERAGE(OFFSET($H$3,0,0,'Données projet'!$E$15+1,1))</f>
        <v>420.38735944595965</v>
      </c>
      <c r="EP133" s="59">
        <f t="shared" ref="EP133:EP196" si="154">$EP$3</f>
        <v>200.0823542414671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21.79657330291068</v>
      </c>
      <c r="EW133" s="21">
        <f>EXP(-LN(2)/25)*EW132+(1-EXP(-LN(2)/25))/(LN(2)/25)*Calculateur!ER133*Calculateur!ET133*VLOOKUP('Données projet'!$B$15,Paramètres!$A$1:$I$89,3,0)*0.475*44/12</f>
        <v>20.467447682659984</v>
      </c>
      <c r="EX133" s="21">
        <f>EXP(-LN(2)/2)*EX132+(1-EXP(-LN(2)/2))/(LN(2)/2)*ER133*EU133*VLOOKUP('Données projet'!$B$15,Paramètres!$A$1:$I$89,3,0)*0.475*44/12</f>
        <v>0.2855319468254861</v>
      </c>
      <c r="EY133" s="22">
        <f t="shared" si="129"/>
        <v>42.549552932396153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>
        <f>VLOOKUP(A133,'Données projet'!$A$217:$I$237,2,0)</f>
        <v>112.75</v>
      </c>
      <c r="FC133" s="12">
        <f>VLOOKUP(A133,'Données projet'!$A$217:$I$237,9,0)</f>
        <v>2.4366666666666674</v>
      </c>
      <c r="FD133" s="12">
        <f t="array" ref="FD133">INDEX(FC:FC,MIN(IF(ISNUMBER(FC133:FC329),ROW(FC133:FC329),"")))</f>
        <v>2.4366666666666674</v>
      </c>
      <c r="FE133" s="12">
        <f>IF('Données projet'!$A$218&gt;35,FE132+FD133-FM132,IF(A133&lt;'Données projet'!$A$218,$FB$205^A133,IF(A133='Données projet'!$A$218,'Données projet'!$B$218,FE132+FD133-FM132)))</f>
        <v>112.75000000000026</v>
      </c>
      <c r="FF133" s="17">
        <f>FE133*VLOOKUP('Données projet'!$B$16,Paramètres!$A$1:$I$89,3,0)*VLOOKUP('Données projet'!$B$16,Paramètres!$A$1:$I$89,5,0)</f>
        <v>121.36410000000026</v>
      </c>
      <c r="FG133" s="13">
        <f t="shared" ref="FG133:FG153" si="155">EXP(-1.0587+0.8836*LN(FF133)+0.284)</f>
        <v>31.992943616170425</v>
      </c>
      <c r="FH133" s="20">
        <f t="shared" si="130"/>
        <v>267.09685096483059</v>
      </c>
      <c r="FI133" s="59">
        <f t="shared" si="131"/>
        <v>560.43018429816391</v>
      </c>
      <c r="FJ133" s="59">
        <f ca="1">AVERAGE(OFFSET($FI$3,0,0,'Données projet'!$E$16+1,1))-AVERAGE(OFFSET($H$3,0,0,'Données projet'!$E$16+1,1))</f>
        <v>415.8741608506952</v>
      </c>
      <c r="FK133" s="59">
        <f t="shared" ref="FK133:FK196" si="156">$FK$3</f>
        <v>259.15848913719356</v>
      </c>
      <c r="FL133" s="15">
        <f>IF(ISNA(VLOOKUP(A133,'Données projet'!$A$217:$I$237,3,0)),0,VLOOKUP(A133,'Données projet'!$A$217:$I$237,3,0))</f>
        <v>14</v>
      </c>
      <c r="FM133" s="15">
        <f>IF(ISNA(VLOOKUP(A133,'Données projet'!$A$217:$I$237,4,0)),0,VLOOKUP(A133,'Données projet'!$A$217:$I$237,4,0))</f>
        <v>112.75</v>
      </c>
      <c r="FN133" s="16">
        <f>IF(ISNA(VLOOKUP(A133,'Données projet'!$A$217:$I$237,5,0)),0%,VLOOKUP(A133,'Données projet'!$A$217:$I$237,5,0)*VLOOKUP('Données projet'!$B$16,Paramètres!$A$1:$I$89,7,0))</f>
        <v>0.19350000000000001</v>
      </c>
      <c r="FO133" s="16">
        <f>IF(ISNA(VLOOKUP(A133,'Données projet'!$A$217:$I$237,6,0)),0%,VLOOKUP(A133,'Données projet'!$A$217:$I$237,6,0)*VLOOKUP('Données projet'!$B$16,Paramètres!$A$1:$I$89,7,0))</f>
        <v>2.1500000000000002E-2</v>
      </c>
      <c r="FP133" s="16">
        <f>IF(ISNA(VLOOKUP(A133,'Données projet'!$A$217:$I$237,7,0)),0%,VLOOKUP(A133,'Données projet'!$A$217:$I$237,7,0))</f>
        <v>0.05</v>
      </c>
      <c r="FQ133" s="21">
        <f>EXP(-LN(2)/35)*FQ132+(1-EXP(-LN(2)/35))/(LN(2)/35)*FM133*FN133*VLOOKUP('Données projet'!$B$16,Paramètres!$A$1:$I$89,3,0)*0.475*44/12</f>
        <v>134.39130740743084</v>
      </c>
      <c r="FR133" s="21">
        <f>EXP(-LN(2)/25)*FR132+(1-EXP(-LN(2)/25))/(LN(2)/25)*Calculateur!FM133*Calculateur!FO133*VLOOKUP('Données projet'!$B$16,Paramètres!$A$1:$I$89,3,0)*0.475*44/12</f>
        <v>28.005708937194935</v>
      </c>
      <c r="FS133" s="21">
        <f>EXP(-LN(2)/2)*FS132+(1-EXP(-LN(2)/2))/(LN(2)/2)*FM133*FP133*VLOOKUP('Données projet'!$B$16,Paramètres!$A$1:$I$89,3,0)*0.475*44/12</f>
        <v>8.1006497409094749</v>
      </c>
      <c r="FT133" s="22">
        <f t="shared" si="132"/>
        <v>170.49766608553523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>
        <f>VLOOKUP(A133,'Données projet'!$A$243:$I$263,2,0)</f>
        <v>112.75</v>
      </c>
      <c r="FX133" s="12">
        <f>VLOOKUP(A133,'Données projet'!$A$243:$I$263,9,0)</f>
        <v>2.4366666666666674</v>
      </c>
      <c r="FY133" s="12">
        <f t="array" ref="FY133">INDEX(FX:FX,MIN(IF(ISNUMBER(FX133:FX329),ROW(FX133:FX329),"")))</f>
        <v>2.4366666666666674</v>
      </c>
      <c r="FZ133" s="12">
        <f>IF('Données projet'!$A$244&gt;35,FZ132+FY133-GH132,IF(A133&lt;'Données projet'!$A$244,$FW$205^A133,IF(A133='Données projet'!$A$244,'Données projet'!$B$244,FZ132+FY133-GH132)))</f>
        <v>112.75000000000026</v>
      </c>
      <c r="GA133" s="17">
        <f>FZ133*VLOOKUP('Données projet'!$B$17,Paramètres!$A$1:$I$89,3,0)*VLOOKUP('Données projet'!$B$17,Paramètres!$A$1:$I$89,5,0)</f>
        <v>96.739500000000234</v>
      </c>
      <c r="GB133" s="13">
        <f t="shared" ref="GB133:GB153" si="157">EXP(-1.0587+0.8836*LN(GA133)+0.284)</f>
        <v>26.183736179176758</v>
      </c>
      <c r="GC133" s="20">
        <f t="shared" si="133"/>
        <v>214.09130301206662</v>
      </c>
      <c r="GD133" s="59">
        <f t="shared" si="134"/>
        <v>507.4246363453999</v>
      </c>
      <c r="GE133" s="59">
        <f ca="1">AVERAGE(OFFSET($GD$3,0,0,'Données projet'!$E$17+1,1))-AVERAGE(OFFSET($H$3,0,0,'Données projet'!$E$17+1,1))</f>
        <v>322.39807389980882</v>
      </c>
      <c r="GF133" s="59">
        <f t="shared" ref="GF133:GF196" si="158">$GF$3</f>
        <v>202.59410055732792</v>
      </c>
      <c r="GG133" s="15">
        <f>IF(ISNA(VLOOKUP(A133,'Données projet'!$A$243:$I$263,3,0)),0,VLOOKUP(A133,'Données projet'!$A$243:$I$263,3,0))</f>
        <v>14</v>
      </c>
      <c r="GH133" s="15">
        <f>IF(ISNA(VLOOKUP(A133,'Données projet'!$A$243:$I$263,4,0)),0,VLOOKUP(A133,'Données projet'!$A$243:$I$263,4,0))</f>
        <v>112.75</v>
      </c>
      <c r="GI133" s="16">
        <f>IF(ISNA(VLOOKUP(A133,'Données projet'!$A$243:$I$263,5,0)),0%,VLOOKUP(A133,'Données projet'!$A$243:$I$263,5,0)*VLOOKUP('Données projet'!$B$17,Paramètres!$A$1:$I$89,7,0))</f>
        <v>0.23850000000000002</v>
      </c>
      <c r="GJ133" s="16">
        <f>IF(ISNA(VLOOKUP(A133,'Données projet'!$A$243:$I$263,6,0)),0%,VLOOKUP(A133,'Données projet'!$A$243:$I$263,6,0)*VLOOKUP('Données projet'!$B$17,Paramètres!$A$1:$I$89,7,0))</f>
        <v>2.6500000000000003E-2</v>
      </c>
      <c r="GK133" s="16">
        <f>IF(ISNA(VLOOKUP(A133,'Données projet'!$A$243:$I$263,7,0)),0%,VLOOKUP(A133,'Données projet'!$A$243:$I$263,7,0))</f>
        <v>0.05</v>
      </c>
      <c r="GL133" s="21">
        <f>EXP(-LN(2)/35)*GL132+(1-EXP(-LN(2)/35))/(LN(2)/35)*GH133*GI133*VLOOKUP('Données projet'!$B$17,Paramètres!$A$1:$I$89,3,0)*0.475*44/12</f>
        <v>132.03594913807245</v>
      </c>
      <c r="GM133" s="21">
        <f>EXP(-LN(2)/25)*GM132+(1-EXP(-LN(2)/25))/(LN(2)/25)*Calculateur!GH133*Calculateur!GJ133*VLOOKUP('Données projet'!$B$17,Paramètres!$A$1:$I$89,3,0)*0.475*44/12</f>
        <v>27.514877503176017</v>
      </c>
      <c r="GN133" s="21">
        <f>EXP(-LN(2)/2)*GN132+(1-EXP(-LN(2)/2))/(LN(2)/2)*GH133*GK133*VLOOKUP('Données projet'!$B$17,Paramètres!$A$1:$I$89,3,0)*0.475*44/12</f>
        <v>6.4570396485510324</v>
      </c>
      <c r="GO133" s="21">
        <f t="shared" si="135"/>
        <v>166.00786628979952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48.02459999999985</v>
      </c>
      <c r="D134" s="11">
        <f t="shared" si="140"/>
        <v>14.102413348926081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479.57694514960372</v>
      </c>
      <c r="H134" s="67">
        <f t="shared" si="110"/>
        <v>401.53788158271266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1.5961632016114892E-13</v>
      </c>
      <c r="P134" s="13">
        <f t="shared" si="141"/>
        <v>2.2708641912150958E-12</v>
      </c>
      <c r="Q134" s="20">
        <f t="shared" si="108"/>
        <v>4.2330868906469593E-12</v>
      </c>
      <c r="R134" s="59">
        <f t="shared" si="109"/>
        <v>293.33333333333752</v>
      </c>
      <c r="S134" s="59">
        <f ca="1">AVERAGE(OFFSET($R$3,0,0,'Données projet'!$E$9+1,1))-AVERAGE(OFFSET($H$3,0,0,'Données projet'!$E$9+1,1))</f>
        <v>215.77907571824977</v>
      </c>
      <c r="T134" s="59">
        <f t="shared" si="142"/>
        <v>174.69390149594869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84.87569452905791</v>
      </c>
      <c r="AA134" s="21">
        <f>EXP(-LN(2)/25)*AA133+(1-EXP(-LN(2)/25))/(LN(2)/25)*Calculateur!V134*Calculateur!X134*VLOOKUP('Données projet'!$B$9,Paramètres!$A$1:$I$89,3,0)*0.475*44/12</f>
        <v>22.758085807834487</v>
      </c>
      <c r="AB134" s="21">
        <f>EXP(-LN(2)/2)*AB133+(1-EXP(-LN(2)/2))/(LN(2)/2)*V134*Y134*VLOOKUP('Données projet'!$B$9,Paramètres!$A$1:$I$89,3,0)*0.475*44/12</f>
        <v>1.5374950692789373E-2</v>
      </c>
      <c r="AC134" s="22">
        <f t="shared" si="111"/>
        <v>107.64915528758519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-1.0197709343628959E-13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171.701352621833</v>
      </c>
      <c r="AO134" s="59">
        <f t="shared" si="144"/>
        <v>195.58435749168586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26.066839539754113</v>
      </c>
      <c r="AV134" s="21">
        <f>EXP(-LN(2)/25)*AV133+(1-EXP(-LN(2)/25))/(LN(2)/25)*Calculateur!AQ134*Calculateur!AS134*VLOOKUP('Données projet'!$B$10,Paramètres!$A$1:$I$89,3,0)*0.475*44/12</f>
        <v>5.5181200381347928</v>
      </c>
      <c r="AW134" s="21">
        <f>EXP(-LN(2)/2)*AW133+(1-EXP(-LN(2)/2))/(LN(2)/2)*AQ134*AT134*VLOOKUP('Données projet'!$B$10,Paramètres!$A$1:$I$89,3,0)*0.475*44/12</f>
        <v>1.8405877048242754E-9</v>
      </c>
      <c r="AX134" s="21">
        <f t="shared" si="114"/>
        <v>31.584959579729492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-1.1823431123048067E-13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348.29124901999882</v>
      </c>
      <c r="BJ134" s="59">
        <f t="shared" si="146"/>
        <v>284.30034973939053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79.153590104092956</v>
      </c>
      <c r="BQ134" s="21">
        <f>EXP(-LN(2)/25)*BQ133+(1-EXP(-LN(2)/25))/(LN(2)/25)*Calculateur!BL134*Calculateur!BN134*VLOOKUP('Données projet'!$B$11,Paramètres!$A$1:$I$89,3,0)*0.475*44/12</f>
        <v>18.914035138146144</v>
      </c>
      <c r="BR134" s="21">
        <f>EXP(-LN(2)/2)*BR133+(1-EXP(-LN(2)/2))/(LN(2)/2)*BL134*BO134*VLOOKUP('Données projet'!$B$11,Paramètres!$A$1:$I$89,3,0)*0.475*44/12</f>
        <v>1.7779017784335081E-6</v>
      </c>
      <c r="BS134" s="22">
        <f t="shared" si="117"/>
        <v>98.067627020140876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-2.2737367544323206E-13</v>
      </c>
      <c r="BZ134" s="13">
        <f>BY134*VLOOKUP('Données projet'!$B$12,Paramètres!$A$1:$I$89,3,0)*VLOOKUP('Données projet'!$B$12,Paramètres!$A$1:$I$89,5,0)</f>
        <v>-1.3596945791505279E-13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185.82627135915504</v>
      </c>
      <c r="CE134" s="59">
        <f t="shared" si="148"/>
        <v>155.46126452522037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62.318500650778262</v>
      </c>
      <c r="CL134" s="21">
        <f>EXP(-LN(2)/25)*CL133+(1-EXP(-LN(2)/25))/(LN(2)/25)*Calculateur!CG134*Calculateur!CI134*VLOOKUP('Données projet'!$B$12,Paramètres!$A$1:$I$89,3,0)*0.475*44/12</f>
        <v>16.879866919246954</v>
      </c>
      <c r="CM134" s="21">
        <f>EXP(-LN(2)/2)*CM133+(1-EXP(-LN(2)/2))/(LN(2)/2)*CG134*CJ134*VLOOKUP('Données projet'!$B$12,Paramètres!$A$1:$I$89,3,0)*0.475*44/12</f>
        <v>2.3383806351557807E-2</v>
      </c>
      <c r="CN134" s="22">
        <f t="shared" si="120"/>
        <v>79.221751376376773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0.98461538461538534</v>
      </c>
      <c r="CT134" s="12">
        <f>IF('Données projet'!$A$140&gt;35,CT133+CS134-DB133,IF(A134&lt;'Données projet'!$A$140,$CQ$205^A134,IF(A134='Données projet'!$A$140,'Données projet'!$B$140,CT133+CS134-DB133)))</f>
        <v>106.36923076923073</v>
      </c>
      <c r="CU134" s="17">
        <f>CT134*VLOOKUP('Données projet'!$B$13,Paramètres!$A$1:$I$89,3,0)*VLOOKUP('Données projet'!$B$13,Paramètres!$A$1:$I$89,5,0)</f>
        <v>122.53735384615379</v>
      </c>
      <c r="CV134" s="13">
        <f t="shared" si="149"/>
        <v>32.266072803755776</v>
      </c>
      <c r="CW134" s="20">
        <f t="shared" si="121"/>
        <v>269.61596808192581</v>
      </c>
      <c r="CX134" s="59">
        <f t="shared" si="122"/>
        <v>562.94930141525913</v>
      </c>
      <c r="CY134" s="59">
        <f ca="1">AVERAGE(OFFSET($CX$3,0,0,'Données projet'!$E$13+1,1))-AVERAGE(OFFSET($H$3,0,0,'Données projet'!$E$13+1,1))</f>
        <v>150.78964413039063</v>
      </c>
      <c r="CZ134" s="59">
        <f t="shared" si="150"/>
        <v>131.90332435966184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7.7555871915781491</v>
      </c>
      <c r="DG134" s="21">
        <f>EXP(-LN(2)/25)*DG133+(1-EXP(-LN(2)/25))/(LN(2)/25)*Calculateur!DB134*Calculateur!DD134*VLOOKUP('Données projet'!$B$13,Paramètres!$A$1:$I$89,3,0)*0.475*44/12</f>
        <v>3.1933165565580879</v>
      </c>
      <c r="DH134" s="21">
        <f>EXP(-LN(2)/2)*DH133+(1-EXP(-LN(2)/2))/(LN(2)/2)*DB134*DE134*VLOOKUP('Données projet'!$B$13,Paramètres!$A$1:$I$89,3,0)*0.475*44/12</f>
        <v>0.99351378972740767</v>
      </c>
      <c r="DI134" s="22">
        <f t="shared" si="123"/>
        <v>11.942417537863644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-1.4210854715202004E-14</v>
      </c>
      <c r="DP134" s="17">
        <f>DO134*VLOOKUP('Données projet'!$B$14,Paramètres!$A$1:$I$89,3,0)*VLOOKUP('Données projet'!$B$14,Paramètres!$A$1:$I$89,5,0)</f>
        <v>-1.4853185348329136E-14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110.10595934547638</v>
      </c>
      <c r="DU134" s="59">
        <f t="shared" si="152"/>
        <v>131.10971921141493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15.698554129756824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15.698554129756824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7.1129999999999995</v>
      </c>
      <c r="EJ134" s="12">
        <f>IF('Données projet'!$A$192&gt;35,EJ133+EI134-ER133,IF(A134&lt;'Données projet'!$A$192,$EG$205^A134,IF(A134='Données projet'!$A$192,'Données projet'!$B$192,EJ133+EI134-ER133)))</f>
        <v>333.45700000000005</v>
      </c>
      <c r="EK134" s="17">
        <f>EJ134*VLOOKUP('Données projet'!$B$15,Paramètres!$A$1:$I$89,3,0)*VLOOKUP('Données projet'!$B$15,Paramètres!$A$1:$I$89,5,0)</f>
        <v>338.12539800000008</v>
      </c>
      <c r="EL134" s="13">
        <f t="shared" si="153"/>
        <v>79.112517242778139</v>
      </c>
      <c r="EM134" s="20">
        <f t="shared" si="127"/>
        <v>726.68936904783868</v>
      </c>
      <c r="EN134" s="59">
        <f t="shared" si="128"/>
        <v>1020.0227023811719</v>
      </c>
      <c r="EO134" s="59">
        <f ca="1">AVERAGE(OFFSET($EN$3,0,0,'Données projet'!$E$15+1,1))-AVERAGE(OFFSET($H$3,0,0,'Données projet'!$E$15+1,1))</f>
        <v>420.38735944595965</v>
      </c>
      <c r="EP134" s="59">
        <f t="shared" si="154"/>
        <v>200.0823542414671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21.369155795037585</v>
      </c>
      <c r="EW134" s="21">
        <f>EXP(-LN(2)/25)*EW133+(1-EXP(-LN(2)/25))/(LN(2)/25)*Calculateur!ER134*Calculateur!ET134*VLOOKUP('Données projet'!$B$15,Paramètres!$A$1:$I$89,3,0)*0.475*44/12</f>
        <v>19.907764249441353</v>
      </c>
      <c r="EX134" s="21">
        <f>EXP(-LN(2)/2)*EX133+(1-EXP(-LN(2)/2))/(LN(2)/2)*ER134*EU134*VLOOKUP('Données projet'!$B$15,Paramètres!$A$1:$I$89,3,0)*0.475*44/12</f>
        <v>0.20190157584569793</v>
      </c>
      <c r="EY134" s="22">
        <f t="shared" si="129"/>
        <v>41.478821620324638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2.5579538487363607E-13</v>
      </c>
      <c r="FF134" s="17">
        <f>FE134*VLOOKUP('Données projet'!$B$16,Paramètres!$A$1:$I$89,3,0)*VLOOKUP('Données projet'!$B$16,Paramètres!$A$1:$I$89,5,0)</f>
        <v>2.7533815227798186E-13</v>
      </c>
      <c r="FG134" s="13">
        <f t="shared" si="155"/>
        <v>3.6763598146902537E-12</v>
      </c>
      <c r="FH134" s="20">
        <f t="shared" si="130"/>
        <v>6.88254062580301E-12</v>
      </c>
      <c r="FI134" s="59">
        <f t="shared" si="131"/>
        <v>293.33333333334019</v>
      </c>
      <c r="FJ134" s="59">
        <f ca="1">AVERAGE(OFFSET($FI$3,0,0,'Données projet'!$E$16+1,1))-AVERAGE(OFFSET($H$3,0,0,'Données projet'!$E$16+1,1))</f>
        <v>415.8741608506952</v>
      </c>
      <c r="FK134" s="59">
        <f t="shared" si="156"/>
        <v>259.15848913719356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131.75597583977472</v>
      </c>
      <c r="FR134" s="21">
        <f>EXP(-LN(2)/25)*FR133+(1-EXP(-LN(2)/25))/(LN(2)/25)*Calculateur!FM134*Calculateur!FO134*VLOOKUP('Données projet'!$B$16,Paramètres!$A$1:$I$89,3,0)*0.475*44/12</f>
        <v>27.239891353551116</v>
      </c>
      <c r="FS134" s="21">
        <f>EXP(-LN(2)/2)*FS133+(1-EXP(-LN(2)/2))/(LN(2)/2)*FM134*FP134*VLOOKUP('Données projet'!$B$16,Paramètres!$A$1:$I$89,3,0)*0.475*44/12</f>
        <v>5.7280243638141393</v>
      </c>
      <c r="FT134" s="22">
        <f t="shared" si="132"/>
        <v>164.72389155713998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2.5579538487363607E-13</v>
      </c>
      <c r="GA134" s="17">
        <f>FZ134*VLOOKUP('Données projet'!$B$17,Paramètres!$A$1:$I$89,3,0)*VLOOKUP('Données projet'!$B$17,Paramètres!$A$1:$I$89,5,0)</f>
        <v>2.1947244022157976E-13</v>
      </c>
      <c r="GB134" s="13">
        <f t="shared" si="157"/>
        <v>3.0088145886933343E-12</v>
      </c>
      <c r="GC134" s="20">
        <f t="shared" si="133"/>
        <v>5.6225999086934742E-12</v>
      </c>
      <c r="GD134" s="59">
        <f t="shared" si="134"/>
        <v>293.33333333333894</v>
      </c>
      <c r="GE134" s="59">
        <f ca="1">AVERAGE(OFFSET($GD$3,0,0,'Données projet'!$E$17+1,1))-AVERAGE(OFFSET($H$3,0,0,'Données projet'!$E$17+1,1))</f>
        <v>322.39807389980882</v>
      </c>
      <c r="GF134" s="59">
        <f t="shared" si="158"/>
        <v>202.59410055732792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129.44680470945175</v>
      </c>
      <c r="GM134" s="21">
        <f>EXP(-LN(2)/25)*GM133+(1-EXP(-LN(2)/25))/(LN(2)/25)*Calculateur!GH134*Calculateur!GJ134*VLOOKUP('Données projet'!$B$17,Paramètres!$A$1:$I$89,3,0)*0.475*44/12</f>
        <v>26.762481730907147</v>
      </c>
      <c r="GN134" s="21">
        <f>EXP(-LN(2)/2)*GN133+(1-EXP(-LN(2)/2))/(LN(2)/2)*GH134*GK134*VLOOKUP('Données projet'!$B$17,Paramètres!$A$1:$I$89,3,0)*0.475*44/12</f>
        <v>4.5658165218808371</v>
      </c>
      <c r="GO134" s="21">
        <f t="shared" si="135"/>
        <v>160.77510296223974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48.391199999999849</v>
      </c>
      <c r="D135" s="11">
        <f t="shared" si="140"/>
        <v>14.19749252478595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483.14078440185534</v>
      </c>
      <c r="H135" s="67">
        <f t="shared" si="110"/>
        <v>402.34197281400191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1.5961632016114892E-13</v>
      </c>
      <c r="P135" s="13">
        <f t="shared" si="141"/>
        <v>2.2708641912150958E-12</v>
      </c>
      <c r="Q135" s="20">
        <f t="shared" si="108"/>
        <v>4.2330868906469593E-12</v>
      </c>
      <c r="R135" s="59">
        <f t="shared" si="109"/>
        <v>293.33333333333752</v>
      </c>
      <c r="S135" s="59">
        <f ca="1">AVERAGE(OFFSET($R$3,0,0,'Données projet'!$E$9+1,1))-AVERAGE(OFFSET($H$3,0,0,'Données projet'!$E$9+1,1))</f>
        <v>215.77907571824977</v>
      </c>
      <c r="T135" s="59">
        <f t="shared" si="142"/>
        <v>174.69390149594869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83.211333928404983</v>
      </c>
      <c r="AA135" s="21">
        <f>EXP(-LN(2)/25)*AA134+(1-EXP(-LN(2)/25))/(LN(2)/25)*Calculateur!V135*Calculateur!X135*VLOOKUP('Données projet'!$B$9,Paramètres!$A$1:$I$89,3,0)*0.475*44/12</f>
        <v>22.135764754623533</v>
      </c>
      <c r="AB135" s="21">
        <f>EXP(-LN(2)/2)*AB134+(1-EXP(-LN(2)/2))/(LN(2)/2)*V135*Y135*VLOOKUP('Données projet'!$B$9,Paramètres!$A$1:$I$89,3,0)*0.475*44/12</f>
        <v>1.0871731895280174E-2</v>
      </c>
      <c r="AC135" s="22">
        <f t="shared" si="111"/>
        <v>105.3579704149238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-1.0197709343628959E-13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171.701352621833</v>
      </c>
      <c r="AO135" s="59">
        <f t="shared" si="144"/>
        <v>195.58435749168586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25.555684715581737</v>
      </c>
      <c r="AV135" s="21">
        <f>EXP(-LN(2)/25)*AV134+(1-EXP(-LN(2)/25))/(LN(2)/25)*Calculateur!AQ135*Calculateur!AS135*VLOOKUP('Données projet'!$B$10,Paramètres!$A$1:$I$89,3,0)*0.475*44/12</f>
        <v>5.3672267555066755</v>
      </c>
      <c r="AW135" s="21">
        <f>EXP(-LN(2)/2)*AW134+(1-EXP(-LN(2)/2))/(LN(2)/2)*AQ135*AT135*VLOOKUP('Données projet'!$B$10,Paramètres!$A$1:$I$89,3,0)*0.475*44/12</f>
        <v>1.3014920474498287E-9</v>
      </c>
      <c r="AX135" s="21">
        <f t="shared" si="114"/>
        <v>30.922911472389902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-1.1823431123048067E-13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348.29124901999882</v>
      </c>
      <c r="BJ135" s="59">
        <f t="shared" si="146"/>
        <v>284.30034973939053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77.601436481074515</v>
      </c>
      <c r="BQ135" s="21">
        <f>EXP(-LN(2)/25)*BQ134+(1-EXP(-LN(2)/25))/(LN(2)/25)*Calculateur!BL135*Calculateur!BN135*VLOOKUP('Données projet'!$B$11,Paramètres!$A$1:$I$89,3,0)*0.475*44/12</f>
        <v>18.396829852647659</v>
      </c>
      <c r="BR135" s="21">
        <f>EXP(-LN(2)/2)*BR134+(1-EXP(-LN(2)/2))/(LN(2)/2)*BL135*BO135*VLOOKUP('Données projet'!$B$11,Paramètres!$A$1:$I$89,3,0)*0.475*44/12</f>
        <v>1.2571664038139563E-6</v>
      </c>
      <c r="BS135" s="22">
        <f t="shared" si="117"/>
        <v>95.998267590888574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-2.2737367544323206E-13</v>
      </c>
      <c r="BZ135" s="13">
        <f>BY135*VLOOKUP('Données projet'!$B$12,Paramètres!$A$1:$I$89,3,0)*VLOOKUP('Données projet'!$B$12,Paramètres!$A$1:$I$89,5,0)</f>
        <v>-1.3596945791505279E-13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185.82627135915504</v>
      </c>
      <c r="CE135" s="59">
        <f t="shared" si="148"/>
        <v>155.46126452522037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61.096472863548669</v>
      </c>
      <c r="CL135" s="21">
        <f>EXP(-LN(2)/25)*CL134+(1-EXP(-LN(2)/25))/(LN(2)/25)*Calculateur!CG135*Calculateur!CI135*VLOOKUP('Données projet'!$B$12,Paramètres!$A$1:$I$89,3,0)*0.475*44/12</f>
        <v>16.418286070666525</v>
      </c>
      <c r="CM135" s="21">
        <f>EXP(-LN(2)/2)*CM134+(1-EXP(-LN(2)/2))/(LN(2)/2)*CG135*CJ135*VLOOKUP('Données projet'!$B$12,Paramètres!$A$1:$I$89,3,0)*0.475*44/12</f>
        <v>1.6534848041139586E-2</v>
      </c>
      <c r="CN135" s="22">
        <f t="shared" si="120"/>
        <v>77.531293782256341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0.98461538461538534</v>
      </c>
      <c r="CT135" s="12">
        <f>IF('Données projet'!$A$140&gt;35,CT134+CS135-DB134,IF(A135&lt;'Données projet'!$A$140,$CQ$205^A135,IF(A135='Données projet'!$A$140,'Données projet'!$B$140,CT134+CS135-DB134)))</f>
        <v>107.35384615384611</v>
      </c>
      <c r="CU135" s="17">
        <f>CT135*VLOOKUP('Données projet'!$B$13,Paramètres!$A$1:$I$89,3,0)*VLOOKUP('Données projet'!$B$13,Paramètres!$A$1:$I$89,5,0)</f>
        <v>123.6716307692307</v>
      </c>
      <c r="CV135" s="13">
        <f t="shared" si="149"/>
        <v>32.529839030097733</v>
      </c>
      <c r="CW135" s="20">
        <f t="shared" si="121"/>
        <v>272.05089323383032</v>
      </c>
      <c r="CX135" s="59">
        <f t="shared" si="122"/>
        <v>565.38422656716364</v>
      </c>
      <c r="CY135" s="59">
        <f ca="1">AVERAGE(OFFSET($CX$3,0,0,'Données projet'!$E$13+1,1))-AVERAGE(OFFSET($H$3,0,0,'Données projet'!$E$13+1,1))</f>
        <v>150.78964413039063</v>
      </c>
      <c r="CZ135" s="59">
        <f t="shared" si="150"/>
        <v>131.90332435966184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7.6035048571923962</v>
      </c>
      <c r="DG135" s="21">
        <f>EXP(-LN(2)/25)*DG134+(1-EXP(-LN(2)/25))/(LN(2)/25)*Calculateur!DB135*Calculateur!DD135*VLOOKUP('Données projet'!$B$13,Paramètres!$A$1:$I$89,3,0)*0.475*44/12</f>
        <v>3.1059951473897875</v>
      </c>
      <c r="DH135" s="21">
        <f>EXP(-LN(2)/2)*DH134+(1-EXP(-LN(2)/2))/(LN(2)/2)*DB135*DE135*VLOOKUP('Données projet'!$B$13,Paramètres!$A$1:$I$89,3,0)*0.475*44/12</f>
        <v>0.70252033791859569</v>
      </c>
      <c r="DI135" s="22">
        <f t="shared" si="123"/>
        <v>11.41202034250078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-1.4210854715202004E-14</v>
      </c>
      <c r="DP135" s="17">
        <f>DO135*VLOOKUP('Données projet'!$B$14,Paramètres!$A$1:$I$89,3,0)*VLOOKUP('Données projet'!$B$14,Paramètres!$A$1:$I$89,5,0)</f>
        <v>-1.4853185348329136E-14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110.10595934547638</v>
      </c>
      <c r="DU135" s="59">
        <f t="shared" si="152"/>
        <v>131.10971921141493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15.269276341527542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15.269276341527542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>
        <f>VLOOKUP(A135,'Données projet'!$A$191:$I$211,2,0)</f>
        <v>340.57</v>
      </c>
      <c r="EH135" s="12">
        <f>VLOOKUP(A135,'Données projet'!$A$191:$I$211,9,0)</f>
        <v>7.1129999999999995</v>
      </c>
      <c r="EI135" s="12">
        <f t="array" ref="EI135">INDEX(EH:EH,MIN(IF(ISNUMBER(EH135:EH331),ROW(EH135:EH331),"")))</f>
        <v>7.1129999999999995</v>
      </c>
      <c r="EJ135" s="12">
        <f>IF('Données projet'!$A$192&gt;35,EJ134+EI135-ER134,IF(A135&lt;'Données projet'!$A$192,$EG$205^A135,IF(A135='Données projet'!$A$192,'Données projet'!$B$192,EJ134+EI135-ER134)))</f>
        <v>340.57000000000005</v>
      </c>
      <c r="EK135" s="17">
        <f>EJ135*VLOOKUP('Données projet'!$B$15,Paramètres!$A$1:$I$89,3,0)*VLOOKUP('Données projet'!$B$15,Paramètres!$A$1:$I$89,5,0)</f>
        <v>345.33798000000007</v>
      </c>
      <c r="EL135" s="13">
        <f t="shared" si="153"/>
        <v>80.601805001623404</v>
      </c>
      <c r="EM135" s="20">
        <f t="shared" si="127"/>
        <v>741.84512554449418</v>
      </c>
      <c r="EN135" s="59">
        <f t="shared" si="128"/>
        <v>1035.1784588778276</v>
      </c>
      <c r="EO135" s="59">
        <f ca="1">AVERAGE(OFFSET($EN$3,0,0,'Données projet'!$E$15+1,1))-AVERAGE(OFFSET($H$3,0,0,'Données projet'!$E$15+1,1))</f>
        <v>420.38735944595965</v>
      </c>
      <c r="EP135" s="59">
        <f t="shared" si="154"/>
        <v>200.0823542414671</v>
      </c>
      <c r="EQ135" s="15">
        <f>IF(ISNA(VLOOKUP(A135,'Données projet'!$A$191:$I$211,3,0)),0,VLOOKUP(A135,'Données projet'!$A$191:$I$211,3,0))</f>
        <v>9</v>
      </c>
      <c r="ER135" s="15">
        <f>IF(ISNA(VLOOKUP(A135,'Données projet'!$A$191:$I$211,4,0)),0,VLOOKUP(A135,'Données projet'!$A$191:$I$211,4,0))</f>
        <v>48.699999999999989</v>
      </c>
      <c r="ES135" s="16">
        <f>IF(ISNA(VLOOKUP(A135,'Données projet'!$A$191:$I$211,5,0)),0%,VLOOKUP(A135,'Données projet'!$A$191:$I$211,5,0)*VLOOKUP('Données projet'!$B$15,Paramètres!$A$1:$I$89,7,0))</f>
        <v>0.15049999999999999</v>
      </c>
      <c r="ET135" s="16">
        <f>IF(ISNA(VLOOKUP(A135,'Données projet'!$A$191:$I$211,6,0)),0%,VLOOKUP(A135,'Données projet'!$A$191:$I$211,6,0)*VLOOKUP('Données projet'!$B$15,Paramètres!$A$1:$I$89,7,0))</f>
        <v>8.6000000000000007E-2</v>
      </c>
      <c r="EU135" s="16">
        <f>IF(ISNA(VLOOKUP(A135,'Données projet'!$A$191:$I$211,7,0)),0%,VLOOKUP(A135,'Données projet'!$A$191:$I$211,7,0))</f>
        <v>0.1</v>
      </c>
      <c r="EV135" s="21">
        <f>EXP(-LN(2)/35)*EV134+(1-EXP(-LN(2)/35))/(LN(2)/35)*ER135*ES135*VLOOKUP('Données projet'!$B$15,Paramètres!$A$1:$I$89,3,0)*0.475*44/12</f>
        <v>29.165932320591985</v>
      </c>
      <c r="EW135" s="21">
        <f>EXP(-LN(2)/25)*EW134+(1-EXP(-LN(2)/25))/(LN(2)/25)*Calculateur!ER135*Calculateur!ET135*VLOOKUP('Données projet'!$B$15,Paramètres!$A$1:$I$89,3,0)*0.475*44/12</f>
        <v>24.039650447408519</v>
      </c>
      <c r="EX135" s="21">
        <f>EXP(-LN(2)/2)*EX134+(1-EXP(-LN(2)/2))/(LN(2)/2)*ER135*EU135*VLOOKUP('Données projet'!$B$15,Paramètres!$A$1:$I$89,3,0)*0.475*44/12</f>
        <v>4.802071712578778</v>
      </c>
      <c r="EY135" s="22">
        <f t="shared" si="129"/>
        <v>58.007654480579284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2.5579538487363607E-13</v>
      </c>
      <c r="FF135" s="17">
        <f>FE135*VLOOKUP('Données projet'!$B$16,Paramètres!$A$1:$I$89,3,0)*VLOOKUP('Données projet'!$B$16,Paramètres!$A$1:$I$89,5,0)</f>
        <v>2.7533815227798186E-13</v>
      </c>
      <c r="FG135" s="13">
        <f t="shared" si="155"/>
        <v>3.6763598146902537E-12</v>
      </c>
      <c r="FH135" s="20">
        <f t="shared" si="130"/>
        <v>6.88254062580301E-12</v>
      </c>
      <c r="FI135" s="59">
        <f t="shared" si="131"/>
        <v>293.33333333334019</v>
      </c>
      <c r="FJ135" s="59">
        <f ca="1">AVERAGE(OFFSET($FI$3,0,0,'Données projet'!$E$16+1,1))-AVERAGE(OFFSET($H$3,0,0,'Données projet'!$E$16+1,1))</f>
        <v>415.8741608506952</v>
      </c>
      <c r="FK135" s="59">
        <f t="shared" si="156"/>
        <v>259.15848913719356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129.1723215167668</v>
      </c>
      <c r="FR135" s="21">
        <f>EXP(-LN(2)/25)*FR134+(1-EXP(-LN(2)/25))/(LN(2)/25)*Calculateur!FM135*Calculateur!FO135*VLOOKUP('Données projet'!$B$16,Paramètres!$A$1:$I$89,3,0)*0.475*44/12</f>
        <v>26.495015092004632</v>
      </c>
      <c r="FS135" s="21">
        <f>EXP(-LN(2)/2)*FS134+(1-EXP(-LN(2)/2))/(LN(2)/2)*FM135*FP135*VLOOKUP('Données projet'!$B$16,Paramètres!$A$1:$I$89,3,0)*0.475*44/12</f>
        <v>4.0503248704547383</v>
      </c>
      <c r="FT135" s="22">
        <f t="shared" si="132"/>
        <v>159.71766147922617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2.5579538487363607E-13</v>
      </c>
      <c r="GA135" s="17">
        <f>FZ135*VLOOKUP('Données projet'!$B$17,Paramètres!$A$1:$I$89,3,0)*VLOOKUP('Données projet'!$B$17,Paramètres!$A$1:$I$89,5,0)</f>
        <v>2.1947244022157976E-13</v>
      </c>
      <c r="GB135" s="13">
        <f t="shared" si="157"/>
        <v>3.0088145886933343E-12</v>
      </c>
      <c r="GC135" s="20">
        <f t="shared" si="133"/>
        <v>5.6225999086934742E-12</v>
      </c>
      <c r="GD135" s="59">
        <f t="shared" si="134"/>
        <v>293.33333333333894</v>
      </c>
      <c r="GE135" s="59">
        <f ca="1">AVERAGE(OFFSET($GD$3,0,0,'Données projet'!$E$17+1,1))-AVERAGE(OFFSET($H$3,0,0,'Données projet'!$E$17+1,1))</f>
        <v>322.39807389980882</v>
      </c>
      <c r="GF135" s="59">
        <f t="shared" si="158"/>
        <v>202.59410055732792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126.90843182385414</v>
      </c>
      <c r="GM135" s="21">
        <f>EXP(-LN(2)/25)*GM134+(1-EXP(-LN(2)/25))/(LN(2)/25)*Calculateur!GH135*Calculateur!GJ135*VLOOKUP('Données projet'!$B$17,Paramètres!$A$1:$I$89,3,0)*0.475*44/12</f>
        <v>26.030660260597745</v>
      </c>
      <c r="GN135" s="21">
        <f>EXP(-LN(2)/2)*GN134+(1-EXP(-LN(2)/2))/(LN(2)/2)*GH135*GK135*VLOOKUP('Données projet'!$B$17,Paramètres!$A$1:$I$89,3,0)*0.475*44/12</f>
        <v>3.2285198242755166</v>
      </c>
      <c r="GO135" s="21">
        <f t="shared" si="135"/>
        <v>156.16761190872739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48.757799999999847</v>
      </c>
      <c r="D136" s="11">
        <f t="shared" si="140"/>
        <v>14.292487894207968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486.70397672721816</v>
      </c>
      <c r="H136" s="67">
        <f t="shared" si="110"/>
        <v>403.14591808241192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1.5961632016114892E-13</v>
      </c>
      <c r="P136" s="13">
        <f t="shared" si="141"/>
        <v>2.2708641912150958E-12</v>
      </c>
      <c r="Q136" s="20">
        <f t="shared" si="108"/>
        <v>4.2330868906469593E-12</v>
      </c>
      <c r="R136" s="59">
        <f t="shared" si="109"/>
        <v>293.33333333333752</v>
      </c>
      <c r="S136" s="59">
        <f ca="1">AVERAGE(OFFSET($R$3,0,0,'Données projet'!$E$9+1,1))-AVERAGE(OFFSET($H$3,0,0,'Données projet'!$E$9+1,1))</f>
        <v>215.77907571824977</v>
      </c>
      <c r="T136" s="59">
        <f t="shared" si="142"/>
        <v>174.69390149594869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81.579610423971133</v>
      </c>
      <c r="AA136" s="21">
        <f>EXP(-LN(2)/25)*AA135+(1-EXP(-LN(2)/25))/(LN(2)/25)*Calculateur!V136*Calculateur!X136*VLOOKUP('Données projet'!$B$9,Paramètres!$A$1:$I$89,3,0)*0.475*44/12</f>
        <v>21.530461103339075</v>
      </c>
      <c r="AB136" s="21">
        <f>EXP(-LN(2)/2)*AB135+(1-EXP(-LN(2)/2))/(LN(2)/2)*V136*Y136*VLOOKUP('Données projet'!$B$9,Paramètres!$A$1:$I$89,3,0)*0.475*44/12</f>
        <v>7.6874753463946881E-3</v>
      </c>
      <c r="AC136" s="22">
        <f t="shared" si="111"/>
        <v>103.11775900265661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-1.0197709343628959E-13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171.701352621833</v>
      </c>
      <c r="AO136" s="59">
        <f t="shared" si="144"/>
        <v>195.58435749168586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25.054553325737725</v>
      </c>
      <c r="AV136" s="21">
        <f>EXP(-LN(2)/25)*AV135+(1-EXP(-LN(2)/25))/(LN(2)/25)*Calculateur!AQ136*Calculateur!AS136*VLOOKUP('Données projet'!$B$10,Paramètres!$A$1:$I$89,3,0)*0.475*44/12</f>
        <v>5.2204596576271571</v>
      </c>
      <c r="AW136" s="21">
        <f>EXP(-LN(2)/2)*AW135+(1-EXP(-LN(2)/2))/(LN(2)/2)*AQ136*AT136*VLOOKUP('Données projet'!$B$10,Paramètres!$A$1:$I$89,3,0)*0.475*44/12</f>
        <v>9.2029385241213779E-10</v>
      </c>
      <c r="AX136" s="21">
        <f t="shared" si="114"/>
        <v>30.275012984285176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-1.1823431123048067E-13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348.29124901999882</v>
      </c>
      <c r="BJ136" s="59">
        <f t="shared" si="146"/>
        <v>284.30034973939053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76.079719643883237</v>
      </c>
      <c r="BQ136" s="21">
        <f>EXP(-LN(2)/25)*BQ135+(1-EXP(-LN(2)/25))/(LN(2)/25)*Calculateur!BL136*Calculateur!BN136*VLOOKUP('Données projet'!$B$11,Paramètres!$A$1:$I$89,3,0)*0.475*44/12</f>
        <v>17.893767572879774</v>
      </c>
      <c r="BR136" s="21">
        <f>EXP(-LN(2)/2)*BR135+(1-EXP(-LN(2)/2))/(LN(2)/2)*BL136*BO136*VLOOKUP('Données projet'!$B$11,Paramètres!$A$1:$I$89,3,0)*0.475*44/12</f>
        <v>8.8895088921675406E-7</v>
      </c>
      <c r="BS136" s="22">
        <f t="shared" si="117"/>
        <v>93.973488105713898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-2.2737367544323206E-13</v>
      </c>
      <c r="BZ136" s="13">
        <f>BY136*VLOOKUP('Données projet'!$B$12,Paramètres!$A$1:$I$89,3,0)*VLOOKUP('Données projet'!$B$12,Paramètres!$A$1:$I$89,5,0)</f>
        <v>-1.3596945791505279E-13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185.82627135915504</v>
      </c>
      <c r="CE136" s="59">
        <f t="shared" si="148"/>
        <v>155.46126452522037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59.898408295863298</v>
      </c>
      <c r="CL136" s="21">
        <f>EXP(-LN(2)/25)*CL135+(1-EXP(-LN(2)/25))/(LN(2)/25)*Calculateur!CG136*Calculateur!CI136*VLOOKUP('Données projet'!$B$12,Paramètres!$A$1:$I$89,3,0)*0.475*44/12</f>
        <v>15.969327174664009</v>
      </c>
      <c r="CM136" s="21">
        <f>EXP(-LN(2)/2)*CM135+(1-EXP(-LN(2)/2))/(LN(2)/2)*CG136*CJ136*VLOOKUP('Données projet'!$B$12,Paramètres!$A$1:$I$89,3,0)*0.475*44/12</f>
        <v>1.1691903175778904E-2</v>
      </c>
      <c r="CN136" s="22">
        <f t="shared" si="120"/>
        <v>75.879427373703081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0.98461538461538534</v>
      </c>
      <c r="CT136" s="12">
        <f>IF('Données projet'!$A$140&gt;35,CT135+CS136-DB135,IF(A136&lt;'Données projet'!$A$140,$CQ$205^A136,IF(A136='Données projet'!$A$140,'Données projet'!$B$140,CT135+CS136-DB135)))</f>
        <v>108.33846153846149</v>
      </c>
      <c r="CU136" s="17">
        <f>CT136*VLOOKUP('Données projet'!$B$13,Paramètres!$A$1:$I$89,3,0)*VLOOKUP('Données projet'!$B$13,Paramètres!$A$1:$I$89,5,0)</f>
        <v>124.80590769230761</v>
      </c>
      <c r="CV136" s="13">
        <f t="shared" si="149"/>
        <v>32.793323809965223</v>
      </c>
      <c r="CW136" s="20">
        <f t="shared" si="121"/>
        <v>274.48532819979187</v>
      </c>
      <c r="CX136" s="59">
        <f t="shared" si="122"/>
        <v>567.81866153312512</v>
      </c>
      <c r="CY136" s="59">
        <f ca="1">AVERAGE(OFFSET($CX$3,0,0,'Données projet'!$E$13+1,1))-AVERAGE(OFFSET($H$3,0,0,'Données projet'!$E$13+1,1))</f>
        <v>150.78964413039063</v>
      </c>
      <c r="CZ136" s="59">
        <f t="shared" si="150"/>
        <v>131.90332435966184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7.4544047646228835</v>
      </c>
      <c r="DG136" s="21">
        <f>EXP(-LN(2)/25)*DG135+(1-EXP(-LN(2)/25))/(LN(2)/25)*Calculateur!DB136*Calculateur!DD136*VLOOKUP('Données projet'!$B$13,Paramètres!$A$1:$I$89,3,0)*0.475*44/12</f>
        <v>3.0210615467472279</v>
      </c>
      <c r="DH136" s="21">
        <f>EXP(-LN(2)/2)*DH135+(1-EXP(-LN(2)/2))/(LN(2)/2)*DB136*DE136*VLOOKUP('Données projet'!$B$13,Paramètres!$A$1:$I$89,3,0)*0.475*44/12</f>
        <v>0.49675689486370389</v>
      </c>
      <c r="DI136" s="22">
        <f t="shared" si="123"/>
        <v>10.972223206233815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-1.4210854715202004E-14</v>
      </c>
      <c r="DP136" s="17">
        <f>DO136*VLOOKUP('Données projet'!$B$14,Paramètres!$A$1:$I$89,3,0)*VLOOKUP('Données projet'!$B$14,Paramètres!$A$1:$I$89,5,0)</f>
        <v>-1.4853185348329136E-14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110.10595934547638</v>
      </c>
      <c r="DU136" s="59">
        <f t="shared" si="152"/>
        <v>131.10971921141493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14.851737176992128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14.851737176992128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7.3375000000000012</v>
      </c>
      <c r="EJ136" s="12">
        <f>IF('Données projet'!$A$192&gt;35,EJ135+EI136-ER135,IF(A136&lt;'Données projet'!$A$192,$EG$205^A136,IF(A136='Données projet'!$A$192,'Données projet'!$B$192,EJ135+EI136-ER135)))</f>
        <v>299.20750000000004</v>
      </c>
      <c r="EK136" s="17">
        <f>EJ136*VLOOKUP('Données projet'!$B$15,Paramètres!$A$1:$I$89,3,0)*VLOOKUP('Données projet'!$B$15,Paramètres!$A$1:$I$89,5,0)</f>
        <v>303.39640500000007</v>
      </c>
      <c r="EL136" s="13">
        <f t="shared" si="153"/>
        <v>71.888013236043776</v>
      </c>
      <c r="EM136" s="20">
        <f t="shared" si="127"/>
        <v>653.62036176110962</v>
      </c>
      <c r="EN136" s="59">
        <f t="shared" si="128"/>
        <v>946.95369509444299</v>
      </c>
      <c r="EO136" s="59">
        <f ca="1">AVERAGE(OFFSET($EN$3,0,0,'Données projet'!$E$15+1,1))-AVERAGE(OFFSET($H$3,0,0,'Données projet'!$E$15+1,1))</f>
        <v>420.38735944595965</v>
      </c>
      <c r="EP136" s="59">
        <f t="shared" si="154"/>
        <v>200.0823542414671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28.594006177247326</v>
      </c>
      <c r="EW136" s="21">
        <f>EXP(-LN(2)/25)*EW135+(1-EXP(-LN(2)/25))/(LN(2)/25)*Calculateur!ER136*Calculateur!ET136*VLOOKUP('Données projet'!$B$15,Paramètres!$A$1:$I$89,3,0)*0.475*44/12</f>
        <v>23.382284941733861</v>
      </c>
      <c r="EX136" s="21">
        <f>EXP(-LN(2)/2)*EX135+(1-EXP(-LN(2)/2))/(LN(2)/2)*ER136*EU136*VLOOKUP('Données projet'!$B$15,Paramètres!$A$1:$I$89,3,0)*0.475*44/12</f>
        <v>3.3955774717085516</v>
      </c>
      <c r="EY136" s="22">
        <f t="shared" si="129"/>
        <v>55.371868590689736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2.5579538487363607E-13</v>
      </c>
      <c r="FF136" s="17">
        <f>FE136*VLOOKUP('Données projet'!$B$16,Paramètres!$A$1:$I$89,3,0)*VLOOKUP('Données projet'!$B$16,Paramètres!$A$1:$I$89,5,0)</f>
        <v>2.7533815227798186E-13</v>
      </c>
      <c r="FG136" s="13">
        <f t="shared" si="155"/>
        <v>3.6763598146902537E-12</v>
      </c>
      <c r="FH136" s="20">
        <f t="shared" si="130"/>
        <v>6.88254062580301E-12</v>
      </c>
      <c r="FI136" s="59">
        <f t="shared" si="131"/>
        <v>293.33333333334019</v>
      </c>
      <c r="FJ136" s="59">
        <f ca="1">AVERAGE(OFFSET($FI$3,0,0,'Données projet'!$E$16+1,1))-AVERAGE(OFFSET($H$3,0,0,'Données projet'!$E$16+1,1))</f>
        <v>415.8741608506952</v>
      </c>
      <c r="FK136" s="59">
        <f t="shared" si="156"/>
        <v>259.15848913719356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126.63933107915952</v>
      </c>
      <c r="FR136" s="21">
        <f>EXP(-LN(2)/25)*FR135+(1-EXP(-LN(2)/25))/(LN(2)/25)*Calculateur!FM136*Calculateur!FO136*VLOOKUP('Données projet'!$B$16,Paramètres!$A$1:$I$89,3,0)*0.475*44/12</f>
        <v>25.770507511001476</v>
      </c>
      <c r="FS136" s="21">
        <f>EXP(-LN(2)/2)*FS135+(1-EXP(-LN(2)/2))/(LN(2)/2)*FM136*FP136*VLOOKUP('Données projet'!$B$16,Paramètres!$A$1:$I$89,3,0)*0.475*44/12</f>
        <v>2.8640121819070701</v>
      </c>
      <c r="FT136" s="22">
        <f t="shared" si="132"/>
        <v>155.27385077206807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2.5579538487363607E-13</v>
      </c>
      <c r="GA136" s="17">
        <f>FZ136*VLOOKUP('Données projet'!$B$17,Paramètres!$A$1:$I$89,3,0)*VLOOKUP('Données projet'!$B$17,Paramètres!$A$1:$I$89,5,0)</f>
        <v>2.1947244022157976E-13</v>
      </c>
      <c r="GB136" s="13">
        <f t="shared" si="157"/>
        <v>3.0088145886933343E-12</v>
      </c>
      <c r="GC136" s="20">
        <f t="shared" si="133"/>
        <v>5.6225999086934742E-12</v>
      </c>
      <c r="GD136" s="59">
        <f t="shared" si="134"/>
        <v>293.33333333333894</v>
      </c>
      <c r="GE136" s="59">
        <f ca="1">AVERAGE(OFFSET($GD$3,0,0,'Données projet'!$E$17+1,1))-AVERAGE(OFFSET($H$3,0,0,'Données projet'!$E$17+1,1))</f>
        <v>322.39807389980882</v>
      </c>
      <c r="GF136" s="59">
        <f t="shared" si="158"/>
        <v>202.59410055732792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124.41983488228853</v>
      </c>
      <c r="GM136" s="21">
        <f>EXP(-LN(2)/25)*GM135+(1-EXP(-LN(2)/25))/(LN(2)/25)*Calculateur!GH136*Calculateur!GJ136*VLOOKUP('Données projet'!$B$17,Paramètres!$A$1:$I$89,3,0)*0.475*44/12</f>
        <v>25.31885048687877</v>
      </c>
      <c r="GN136" s="21">
        <f>EXP(-LN(2)/2)*GN135+(1-EXP(-LN(2)/2))/(LN(2)/2)*GH136*GK136*VLOOKUP('Données projet'!$B$17,Paramètres!$A$1:$I$89,3,0)*0.475*44/12</f>
        <v>2.282908260940419</v>
      </c>
      <c r="GO136" s="21">
        <f t="shared" si="135"/>
        <v>152.0215936301077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49.124399999999845</v>
      </c>
      <c r="D137" s="11">
        <f t="shared" si="140"/>
        <v>14.387400160367681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490.26652755371424</v>
      </c>
      <c r="H137" s="67">
        <f t="shared" si="110"/>
        <v>403.94971861264008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1.5961632016114892E-13</v>
      </c>
      <c r="P137" s="13">
        <f t="shared" si="141"/>
        <v>2.2708641912150958E-12</v>
      </c>
      <c r="Q137" s="20">
        <f t="shared" si="108"/>
        <v>4.2330868906469593E-12</v>
      </c>
      <c r="R137" s="59">
        <f t="shared" si="109"/>
        <v>293.33333333333752</v>
      </c>
      <c r="S137" s="59">
        <f ca="1">AVERAGE(OFFSET($R$3,0,0,'Données projet'!$E$9+1,1))-AVERAGE(OFFSET($H$3,0,0,'Données projet'!$E$9+1,1))</f>
        <v>215.77907571824977</v>
      </c>
      <c r="T137" s="59">
        <f t="shared" si="142"/>
        <v>174.69390149594869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79.979884022206164</v>
      </c>
      <c r="AA137" s="21">
        <f>EXP(-LN(2)/25)*AA136+(1-EXP(-LN(2)/25))/(LN(2)/25)*Calculateur!V137*Calculateur!X137*VLOOKUP('Données projet'!$B$9,Paramètres!$A$1:$I$89,3,0)*0.475*44/12</f>
        <v>20.941709512230528</v>
      </c>
      <c r="AB137" s="21">
        <f>EXP(-LN(2)/2)*AB136+(1-EXP(-LN(2)/2))/(LN(2)/2)*V137*Y137*VLOOKUP('Données projet'!$B$9,Paramètres!$A$1:$I$89,3,0)*0.475*44/12</f>
        <v>5.4358659476400877E-3</v>
      </c>
      <c r="AC137" s="22">
        <f t="shared" si="111"/>
        <v>100.92702940038434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-1.0197709343628959E-13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171.701352621833</v>
      </c>
      <c r="AO137" s="59">
        <f t="shared" si="144"/>
        <v>195.58435749168586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24.563248816788587</v>
      </c>
      <c r="AV137" s="21">
        <f>EXP(-LN(2)/25)*AV136+(1-EXP(-LN(2)/25))/(LN(2)/25)*Calculateur!AQ137*Calculateur!AS137*VLOOKUP('Données projet'!$B$10,Paramètres!$A$1:$I$89,3,0)*0.475*44/12</f>
        <v>5.0777059137573008</v>
      </c>
      <c r="AW137" s="21">
        <f>EXP(-LN(2)/2)*AW136+(1-EXP(-LN(2)/2))/(LN(2)/2)*AQ137*AT137*VLOOKUP('Données projet'!$B$10,Paramètres!$A$1:$I$89,3,0)*0.475*44/12</f>
        <v>6.5074602372491445E-10</v>
      </c>
      <c r="AX137" s="21">
        <f t="shared" si="114"/>
        <v>29.640954731196633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-1.1823431123048067E-13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348.29124901999882</v>
      </c>
      <c r="BJ137" s="59">
        <f t="shared" si="146"/>
        <v>284.30034973939053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74.587842745713644</v>
      </c>
      <c r="BQ137" s="21">
        <f>EXP(-LN(2)/25)*BQ136+(1-EXP(-LN(2)/25))/(LN(2)/25)*Calculateur!BL137*Calculateur!BN137*VLOOKUP('Données projet'!$B$11,Paramètres!$A$1:$I$89,3,0)*0.475*44/12</f>
        <v>17.404461557607036</v>
      </c>
      <c r="BR137" s="21">
        <f>EXP(-LN(2)/2)*BR136+(1-EXP(-LN(2)/2))/(LN(2)/2)*BL137*BO137*VLOOKUP('Données projet'!$B$11,Paramètres!$A$1:$I$89,3,0)*0.475*44/12</f>
        <v>6.2858320190697816E-7</v>
      </c>
      <c r="BS137" s="22">
        <f t="shared" si="117"/>
        <v>91.992304931903888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-2.2737367544323206E-13</v>
      </c>
      <c r="BZ137" s="13">
        <f>BY137*VLOOKUP('Données projet'!$B$12,Paramètres!$A$1:$I$89,3,0)*VLOOKUP('Données projet'!$B$12,Paramètres!$A$1:$I$89,5,0)</f>
        <v>-1.3596945791505279E-13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185.82627135915504</v>
      </c>
      <c r="CE137" s="59">
        <f t="shared" si="148"/>
        <v>155.46126452522037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58.723837043603005</v>
      </c>
      <c r="CL137" s="21">
        <f>EXP(-LN(2)/25)*CL136+(1-EXP(-LN(2)/25))/(LN(2)/25)*Calculateur!CG137*Calculateur!CI137*VLOOKUP('Données projet'!$B$12,Paramètres!$A$1:$I$89,3,0)*0.475*44/12</f>
        <v>15.532645083282404</v>
      </c>
      <c r="CM137" s="21">
        <f>EXP(-LN(2)/2)*CM136+(1-EXP(-LN(2)/2))/(LN(2)/2)*CG137*CJ137*VLOOKUP('Données projet'!$B$12,Paramètres!$A$1:$I$89,3,0)*0.475*44/12</f>
        <v>8.267424020569793E-3</v>
      </c>
      <c r="CN137" s="22">
        <f t="shared" si="120"/>
        <v>74.264749550905975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0.98461538461538534</v>
      </c>
      <c r="CT137" s="12">
        <f>IF('Données projet'!$A$140&gt;35,CT136+CS137-DB136,IF(A137&lt;'Données projet'!$A$140,$CQ$205^A137,IF(A137='Données projet'!$A$140,'Données projet'!$B$140,CT136+CS137-DB136)))</f>
        <v>109.32307692307687</v>
      </c>
      <c r="CU137" s="17">
        <f>CT137*VLOOKUP('Données projet'!$B$13,Paramètres!$A$1:$I$89,3,0)*VLOOKUP('Données projet'!$B$13,Paramètres!$A$1:$I$89,5,0)</f>
        <v>125.94018461538455</v>
      </c>
      <c r="CV137" s="13">
        <f t="shared" si="149"/>
        <v>33.05652999754183</v>
      </c>
      <c r="CW137" s="20">
        <f t="shared" si="121"/>
        <v>276.91927795084678</v>
      </c>
      <c r="CX137" s="59">
        <f t="shared" si="122"/>
        <v>570.25261128418015</v>
      </c>
      <c r="CY137" s="59">
        <f ca="1">AVERAGE(OFFSET($CX$3,0,0,'Données projet'!$E$13+1,1))-AVERAGE(OFFSET($H$3,0,0,'Données projet'!$E$13+1,1))</f>
        <v>150.78964413039063</v>
      </c>
      <c r="CZ137" s="59">
        <f t="shared" si="150"/>
        <v>131.90332435966184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7.3082284339265824</v>
      </c>
      <c r="DG137" s="21">
        <f>EXP(-LN(2)/25)*DG136+(1-EXP(-LN(2)/25))/(LN(2)/25)*Calculateur!DB137*Calculateur!DD137*VLOOKUP('Données projet'!$B$13,Paramètres!$A$1:$I$89,3,0)*0.475*44/12</f>
        <v>2.9384504598807029</v>
      </c>
      <c r="DH137" s="21">
        <f>EXP(-LN(2)/2)*DH136+(1-EXP(-LN(2)/2))/(LN(2)/2)*DB137*DE137*VLOOKUP('Données projet'!$B$13,Paramètres!$A$1:$I$89,3,0)*0.475*44/12</f>
        <v>0.3512601689592979</v>
      </c>
      <c r="DI137" s="22">
        <f t="shared" si="123"/>
        <v>10.597939062766583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-1.4210854715202004E-14</v>
      </c>
      <c r="DP137" s="17">
        <f>DO137*VLOOKUP('Données projet'!$B$14,Paramètres!$A$1:$I$89,3,0)*VLOOKUP('Données projet'!$B$14,Paramètres!$A$1:$I$89,5,0)</f>
        <v>-1.4853185348329136E-14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110.10595934547638</v>
      </c>
      <c r="DU137" s="59">
        <f t="shared" si="152"/>
        <v>131.10971921141493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14.445615642868363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14.445615642868363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7.3375000000000012</v>
      </c>
      <c r="EJ137" s="12">
        <f>IF('Données projet'!$A$192&gt;35,EJ136+EI137-ER136,IF(A137&lt;'Données projet'!$A$192,$EG$205^A137,IF(A137='Données projet'!$A$192,'Données projet'!$B$192,EJ136+EI137-ER136)))</f>
        <v>306.54500000000002</v>
      </c>
      <c r="EK137" s="17">
        <f>EJ137*VLOOKUP('Données projet'!$B$15,Paramètres!$A$1:$I$89,3,0)*VLOOKUP('Données projet'!$B$15,Paramètres!$A$1:$I$89,5,0)</f>
        <v>310.83663000000001</v>
      </c>
      <c r="EL137" s="13">
        <f t="shared" si="153"/>
        <v>73.443524398472576</v>
      </c>
      <c r="EM137" s="20">
        <f t="shared" si="127"/>
        <v>669.28793557733968</v>
      </c>
      <c r="EN137" s="59">
        <f t="shared" si="128"/>
        <v>962.62126891067305</v>
      </c>
      <c r="EO137" s="59">
        <f ca="1">AVERAGE(OFFSET($EN$3,0,0,'Données projet'!$E$15+1,1))-AVERAGE(OFFSET($H$3,0,0,'Données projet'!$E$15+1,1))</f>
        <v>420.38735944595965</v>
      </c>
      <c r="EP137" s="59">
        <f t="shared" si="154"/>
        <v>200.0823542414671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28.033295156733157</v>
      </c>
      <c r="EW137" s="21">
        <f>EXP(-LN(2)/25)*EW136+(1-EXP(-LN(2)/25))/(LN(2)/25)*Calculateur!ER137*Calculateur!ET137*VLOOKUP('Données projet'!$B$15,Paramètres!$A$1:$I$89,3,0)*0.475*44/12</f>
        <v>22.742895130381225</v>
      </c>
      <c r="EX137" s="21">
        <f>EXP(-LN(2)/2)*EX136+(1-EXP(-LN(2)/2))/(LN(2)/2)*ER137*EU137*VLOOKUP('Données projet'!$B$15,Paramètres!$A$1:$I$89,3,0)*0.475*44/12</f>
        <v>2.4010358562893894</v>
      </c>
      <c r="EY137" s="22">
        <f t="shared" si="129"/>
        <v>53.177226143403772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2.5579538487363607E-13</v>
      </c>
      <c r="FF137" s="17">
        <f>FE137*VLOOKUP('Données projet'!$B$16,Paramètres!$A$1:$I$89,3,0)*VLOOKUP('Données projet'!$B$16,Paramètres!$A$1:$I$89,5,0)</f>
        <v>2.7533815227798186E-13</v>
      </c>
      <c r="FG137" s="13">
        <f t="shared" si="155"/>
        <v>3.6763598146902537E-12</v>
      </c>
      <c r="FH137" s="20">
        <f t="shared" si="130"/>
        <v>6.88254062580301E-12</v>
      </c>
      <c r="FI137" s="59">
        <f t="shared" si="131"/>
        <v>293.33333333334019</v>
      </c>
      <c r="FJ137" s="59">
        <f ca="1">AVERAGE(OFFSET($FI$3,0,0,'Données projet'!$E$16+1,1))-AVERAGE(OFFSET($H$3,0,0,'Données projet'!$E$16+1,1))</f>
        <v>415.8741608506952</v>
      </c>
      <c r="FK137" s="59">
        <f t="shared" si="156"/>
        <v>259.15848913719356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124.15601103906211</v>
      </c>
      <c r="FR137" s="21">
        <f>EXP(-LN(2)/25)*FR136+(1-EXP(-LN(2)/25))/(LN(2)/25)*Calculateur!FM137*Calculateur!FO137*VLOOKUP('Données projet'!$B$16,Paramètres!$A$1:$I$89,3,0)*0.475*44/12</f>
        <v>25.065811627901049</v>
      </c>
      <c r="FS137" s="21">
        <f>EXP(-LN(2)/2)*FS136+(1-EXP(-LN(2)/2))/(LN(2)/2)*FM137*FP137*VLOOKUP('Données projet'!$B$16,Paramètres!$A$1:$I$89,3,0)*0.475*44/12</f>
        <v>2.0251624352273692</v>
      </c>
      <c r="FT137" s="22">
        <f t="shared" si="132"/>
        <v>151.24698510219054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2.5579538487363607E-13</v>
      </c>
      <c r="GA137" s="17">
        <f>FZ137*VLOOKUP('Données projet'!$B$17,Paramètres!$A$1:$I$89,3,0)*VLOOKUP('Données projet'!$B$17,Paramètres!$A$1:$I$89,5,0)</f>
        <v>2.1947244022157976E-13</v>
      </c>
      <c r="GB137" s="13">
        <f t="shared" si="157"/>
        <v>3.0088145886933343E-12</v>
      </c>
      <c r="GC137" s="20">
        <f t="shared" si="133"/>
        <v>5.6225999086934742E-12</v>
      </c>
      <c r="GD137" s="59">
        <f t="shared" si="134"/>
        <v>293.33333333333894</v>
      </c>
      <c r="GE137" s="59">
        <f ca="1">AVERAGE(OFFSET($GD$3,0,0,'Données projet'!$E$17+1,1))-AVERAGE(OFFSET($H$3,0,0,'Données projet'!$E$17+1,1))</f>
        <v>322.39807389980882</v>
      </c>
      <c r="GF137" s="59">
        <f t="shared" si="158"/>
        <v>202.59410055732792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121.98003780885274</v>
      </c>
      <c r="GM137" s="21">
        <f>EXP(-LN(2)/25)*GM136+(1-EXP(-LN(2)/25))/(LN(2)/25)*Calculateur!GH137*Calculateur!GJ137*VLOOKUP('Données projet'!$B$17,Paramètres!$A$1:$I$89,3,0)*0.475*44/12</f>
        <v>24.626505188854591</v>
      </c>
      <c r="GN137" s="21">
        <f>EXP(-LN(2)/2)*GN136+(1-EXP(-LN(2)/2))/(LN(2)/2)*GH137*GK137*VLOOKUP('Données projet'!$B$17,Paramètres!$A$1:$I$89,3,0)*0.475*44/12</f>
        <v>1.6142599121377588</v>
      </c>
      <c r="GO137" s="21">
        <f t="shared" si="135"/>
        <v>148.22080290984508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49.490999999999843</v>
      </c>
      <c r="D138" s="11">
        <f t="shared" si="140"/>
        <v>14.482230015339155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493.82844222366947</v>
      </c>
      <c r="H138" s="67">
        <f t="shared" si="110"/>
        <v>404.75337561004875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1.5961632016114892E-13</v>
      </c>
      <c r="P138" s="13">
        <f t="shared" si="141"/>
        <v>2.2708641912150958E-12</v>
      </c>
      <c r="Q138" s="20">
        <f t="shared" si="108"/>
        <v>4.2330868906469593E-12</v>
      </c>
      <c r="R138" s="59">
        <f t="shared" si="109"/>
        <v>293.33333333333752</v>
      </c>
      <c r="S138" s="59">
        <f ca="1">AVERAGE(OFFSET($R$3,0,0,'Données projet'!$E$9+1,1))-AVERAGE(OFFSET($H$3,0,0,'Données projet'!$E$9+1,1))</f>
        <v>215.77907571824977</v>
      </c>
      <c r="T138" s="59">
        <f t="shared" si="142"/>
        <v>174.69390149594869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78.411527279443035</v>
      </c>
      <c r="AA138" s="21">
        <f>EXP(-LN(2)/25)*AA137+(1-EXP(-LN(2)/25))/(LN(2)/25)*Calculateur!V138*Calculateur!X138*VLOOKUP('Données projet'!$B$9,Paramètres!$A$1:$I$89,3,0)*0.475*44/12</f>
        <v>20.369057364341945</v>
      </c>
      <c r="AB138" s="21">
        <f>EXP(-LN(2)/2)*AB137+(1-EXP(-LN(2)/2))/(LN(2)/2)*V138*Y138*VLOOKUP('Données projet'!$B$9,Paramètres!$A$1:$I$89,3,0)*0.475*44/12</f>
        <v>3.8437376731973445E-3</v>
      </c>
      <c r="AC138" s="22">
        <f t="shared" si="111"/>
        <v>98.78442838145817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-1.0197709343628959E-13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171.701352621833</v>
      </c>
      <c r="AO138" s="59">
        <f t="shared" si="144"/>
        <v>195.58435749168586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24.081578489593781</v>
      </c>
      <c r="AV138" s="21">
        <f>EXP(-LN(2)/25)*AV137+(1-EXP(-LN(2)/25))/(LN(2)/25)*Calculateur!AQ138*Calculateur!AS138*VLOOKUP('Données projet'!$B$10,Paramètres!$A$1:$I$89,3,0)*0.475*44/12</f>
        <v>4.9388557785206588</v>
      </c>
      <c r="AW138" s="21">
        <f>EXP(-LN(2)/2)*AW137+(1-EXP(-LN(2)/2))/(LN(2)/2)*AQ138*AT138*VLOOKUP('Données projet'!$B$10,Paramètres!$A$1:$I$89,3,0)*0.475*44/12</f>
        <v>4.60146926206069E-10</v>
      </c>
      <c r="AX138" s="21">
        <f t="shared" si="114"/>
        <v>29.020434268574586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-1.1823431123048067E-13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348.29124901999882</v>
      </c>
      <c r="BJ138" s="59">
        <f t="shared" si="146"/>
        <v>284.30034973939053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73.125220643562102</v>
      </c>
      <c r="BQ138" s="21">
        <f>EXP(-LN(2)/25)*BQ137+(1-EXP(-LN(2)/25))/(LN(2)/25)*Calculateur!BL138*Calculateur!BN138*VLOOKUP('Données projet'!$B$11,Paramètres!$A$1:$I$89,3,0)*0.475*44/12</f>
        <v>16.928535641053415</v>
      </c>
      <c r="BR138" s="21">
        <f>EXP(-LN(2)/2)*BR137+(1-EXP(-LN(2)/2))/(LN(2)/2)*BL138*BO138*VLOOKUP('Données projet'!$B$11,Paramètres!$A$1:$I$89,3,0)*0.475*44/12</f>
        <v>4.4447544460837703E-7</v>
      </c>
      <c r="BS138" s="22">
        <f t="shared" si="117"/>
        <v>90.053756729090964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-2.2737367544323206E-13</v>
      </c>
      <c r="BZ138" s="13">
        <f>BY138*VLOOKUP('Données projet'!$B$12,Paramètres!$A$1:$I$89,3,0)*VLOOKUP('Données projet'!$B$12,Paramètres!$A$1:$I$89,5,0)</f>
        <v>-1.3596945791505279E-13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185.82627135915504</v>
      </c>
      <c r="CE138" s="59">
        <f t="shared" si="148"/>
        <v>155.46126452522037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57.572298417181813</v>
      </c>
      <c r="CL138" s="21">
        <f>EXP(-LN(2)/25)*CL137+(1-EXP(-LN(2)/25))/(LN(2)/25)*Calculateur!CG138*Calculateur!CI138*VLOOKUP('Données projet'!$B$12,Paramètres!$A$1:$I$89,3,0)*0.475*44/12</f>
        <v>15.107904086653742</v>
      </c>
      <c r="CM138" s="21">
        <f>EXP(-LN(2)/2)*CM137+(1-EXP(-LN(2)/2))/(LN(2)/2)*CG138*CJ138*VLOOKUP('Données projet'!$B$12,Paramètres!$A$1:$I$89,3,0)*0.475*44/12</f>
        <v>5.8459515878894518E-3</v>
      </c>
      <c r="CN138" s="22">
        <f t="shared" si="120"/>
        <v>72.686048455423446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0.98461538461538534</v>
      </c>
      <c r="CT138" s="12">
        <f>IF('Données projet'!$A$140&gt;35,CT137+CS138-DB137,IF(A138&lt;'Données projet'!$A$140,$CQ$205^A138,IF(A138='Données projet'!$A$140,'Données projet'!$B$140,CT137+CS138-DB137)))</f>
        <v>110.30769230769225</v>
      </c>
      <c r="CU138" s="17">
        <f>CT138*VLOOKUP('Données projet'!$B$13,Paramètres!$A$1:$I$89,3,0)*VLOOKUP('Données projet'!$B$13,Paramètres!$A$1:$I$89,5,0)</f>
        <v>127.07446153846146</v>
      </c>
      <c r="CV138" s="13">
        <f t="shared" si="149"/>
        <v>33.319460392633054</v>
      </c>
      <c r="CW138" s="20">
        <f t="shared" si="121"/>
        <v>279.35274736332298</v>
      </c>
      <c r="CX138" s="59">
        <f t="shared" si="122"/>
        <v>572.68608069665629</v>
      </c>
      <c r="CY138" s="59">
        <f ca="1">AVERAGE(OFFSET($CX$3,0,0,'Données projet'!$E$13+1,1))-AVERAGE(OFFSET($H$3,0,0,'Données projet'!$E$13+1,1))</f>
        <v>150.78964413039063</v>
      </c>
      <c r="CZ138" s="59">
        <f t="shared" si="150"/>
        <v>131.90332435966184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7.1649185319164772</v>
      </c>
      <c r="DG138" s="21">
        <f>EXP(-LN(2)/25)*DG137+(1-EXP(-LN(2)/25))/(LN(2)/25)*Calculateur!DB138*Calculateur!DD138*VLOOKUP('Données projet'!$B$13,Paramètres!$A$1:$I$89,3,0)*0.475*44/12</f>
        <v>2.8580983775288713</v>
      </c>
      <c r="DH138" s="21">
        <f>EXP(-LN(2)/2)*DH137+(1-EXP(-LN(2)/2))/(LN(2)/2)*DB138*DE138*VLOOKUP('Données projet'!$B$13,Paramètres!$A$1:$I$89,3,0)*0.475*44/12</f>
        <v>0.248378447431852</v>
      </c>
      <c r="DI138" s="22">
        <f t="shared" si="123"/>
        <v>10.271395356877202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-1.4210854715202004E-14</v>
      </c>
      <c r="DP138" s="17">
        <f>DO138*VLOOKUP('Données projet'!$B$14,Paramètres!$A$1:$I$89,3,0)*VLOOKUP('Données projet'!$B$14,Paramètres!$A$1:$I$89,5,0)</f>
        <v>-1.4853185348329136E-14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110.10595934547638</v>
      </c>
      <c r="DU138" s="59">
        <f t="shared" si="152"/>
        <v>131.10971921141493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14.050599523452217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14.050599523452217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7.3375000000000012</v>
      </c>
      <c r="EJ138" s="12">
        <f>IF('Données projet'!$A$192&gt;35,EJ137+EI138-ER137,IF(A138&lt;'Données projet'!$A$192,$EG$205^A138,IF(A138='Données projet'!$A$192,'Données projet'!$B$192,EJ137+EI138-ER137)))</f>
        <v>313.88249999999999</v>
      </c>
      <c r="EK138" s="17">
        <f>EJ138*VLOOKUP('Données projet'!$B$15,Paramètres!$A$1:$I$89,3,0)*VLOOKUP('Données projet'!$B$15,Paramètres!$A$1:$I$89,5,0)</f>
        <v>318.27685500000001</v>
      </c>
      <c r="EL138" s="13">
        <f t="shared" si="153"/>
        <v>74.994707244966222</v>
      </c>
      <c r="EM138" s="20">
        <f t="shared" si="127"/>
        <v>684.94797090998281</v>
      </c>
      <c r="EN138" s="59">
        <f t="shared" si="128"/>
        <v>978.28130424331607</v>
      </c>
      <c r="EO138" s="59">
        <f ca="1">AVERAGE(OFFSET($EN$3,0,0,'Données projet'!$E$15+1,1))-AVERAGE(OFFSET($H$3,0,0,'Données projet'!$E$15+1,1))</f>
        <v>420.38735944595965</v>
      </c>
      <c r="EP138" s="59">
        <f t="shared" si="154"/>
        <v>200.0823542414671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27.483579337331317</v>
      </c>
      <c r="EW138" s="21">
        <f>EXP(-LN(2)/25)*EW137+(1-EXP(-LN(2)/25))/(LN(2)/25)*Calculateur!ER138*Calculateur!ET138*VLOOKUP('Données projet'!$B$15,Paramètres!$A$1:$I$89,3,0)*0.475*44/12</f>
        <v>22.120989467044076</v>
      </c>
      <c r="EX138" s="21">
        <f>EXP(-LN(2)/2)*EX137+(1-EXP(-LN(2)/2))/(LN(2)/2)*ER138*EU138*VLOOKUP('Données projet'!$B$15,Paramètres!$A$1:$I$89,3,0)*0.475*44/12</f>
        <v>1.6977887358542763</v>
      </c>
      <c r="EY138" s="22">
        <f t="shared" si="129"/>
        <v>51.302357540229664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2.5579538487363607E-13</v>
      </c>
      <c r="FF138" s="17">
        <f>FE138*VLOOKUP('Données projet'!$B$16,Paramètres!$A$1:$I$89,3,0)*VLOOKUP('Données projet'!$B$16,Paramètres!$A$1:$I$89,5,0)</f>
        <v>2.7533815227798186E-13</v>
      </c>
      <c r="FG138" s="13">
        <f t="shared" si="155"/>
        <v>3.6763598146902537E-12</v>
      </c>
      <c r="FH138" s="20">
        <f t="shared" si="130"/>
        <v>6.88254062580301E-12</v>
      </c>
      <c r="FI138" s="59">
        <f t="shared" si="131"/>
        <v>293.33333333334019</v>
      </c>
      <c r="FJ138" s="59">
        <f ca="1">AVERAGE(OFFSET($FI$3,0,0,'Données projet'!$E$16+1,1))-AVERAGE(OFFSET($H$3,0,0,'Données projet'!$E$16+1,1))</f>
        <v>415.8741608506952</v>
      </c>
      <c r="FK138" s="59">
        <f t="shared" si="156"/>
        <v>259.15848913719356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121.72138739027534</v>
      </c>
      <c r="FR138" s="21">
        <f>EXP(-LN(2)/25)*FR137+(1-EXP(-LN(2)/25))/(LN(2)/25)*Calculateur!FM138*Calculateur!FO138*VLOOKUP('Données projet'!$B$16,Paramètres!$A$1:$I$89,3,0)*0.475*44/12</f>
        <v>24.380385690782351</v>
      </c>
      <c r="FS138" s="21">
        <f>EXP(-LN(2)/2)*FS137+(1-EXP(-LN(2)/2))/(LN(2)/2)*FM138*FP138*VLOOKUP('Données projet'!$B$16,Paramètres!$A$1:$I$89,3,0)*0.475*44/12</f>
        <v>1.432006090953535</v>
      </c>
      <c r="FT138" s="22">
        <f t="shared" si="132"/>
        <v>147.53377917201124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2.5579538487363607E-13</v>
      </c>
      <c r="GA138" s="17">
        <f>FZ138*VLOOKUP('Données projet'!$B$17,Paramètres!$A$1:$I$89,3,0)*VLOOKUP('Données projet'!$B$17,Paramètres!$A$1:$I$89,5,0)</f>
        <v>2.1947244022157976E-13</v>
      </c>
      <c r="GB138" s="13">
        <f t="shared" si="157"/>
        <v>3.0088145886933343E-12</v>
      </c>
      <c r="GC138" s="20">
        <f t="shared" si="133"/>
        <v>5.6225999086934742E-12</v>
      </c>
      <c r="GD138" s="59">
        <f t="shared" si="134"/>
        <v>293.33333333333894</v>
      </c>
      <c r="GE138" s="59">
        <f ca="1">AVERAGE(OFFSET($GD$3,0,0,'Données projet'!$E$17+1,1))-AVERAGE(OFFSET($H$3,0,0,'Données projet'!$E$17+1,1))</f>
        <v>322.39807389980882</v>
      </c>
      <c r="GF138" s="59">
        <f t="shared" si="158"/>
        <v>202.59410055732792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119.58808366789776</v>
      </c>
      <c r="GM138" s="21">
        <f>EXP(-LN(2)/25)*GM137+(1-EXP(-LN(2)/25))/(LN(2)/25)*Calculateur!GH138*Calculateur!GJ138*VLOOKUP('Données projet'!$B$17,Paramètres!$A$1:$I$89,3,0)*0.475*44/12</f>
        <v>23.953092109413738</v>
      </c>
      <c r="GN138" s="21">
        <f>EXP(-LN(2)/2)*GN137+(1-EXP(-LN(2)/2))/(LN(2)/2)*GH138*GK138*VLOOKUP('Données projet'!$B$17,Paramètres!$A$1:$I$89,3,0)*0.475*44/12</f>
        <v>1.1414541304702097</v>
      </c>
      <c r="GO138" s="21">
        <f t="shared" si="135"/>
        <v>144.68262990778172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49.857599999999842</v>
      </c>
      <c r="D139" s="11">
        <f t="shared" si="140"/>
        <v>14.576978140351168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497.38972599569206</v>
      </c>
      <c r="H139" s="67">
        <f t="shared" si="110"/>
        <v>405.55689026111133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1.5961632016114892E-13</v>
      </c>
      <c r="P139" s="13">
        <f t="shared" si="141"/>
        <v>2.2708641912150958E-12</v>
      </c>
      <c r="Q139" s="20">
        <f t="shared" si="108"/>
        <v>4.2330868906469593E-12</v>
      </c>
      <c r="R139" s="59">
        <f t="shared" si="109"/>
        <v>293.33333333333752</v>
      </c>
      <c r="S139" s="59">
        <f ca="1">AVERAGE(OFFSET($R$3,0,0,'Données projet'!$E$9+1,1))-AVERAGE(OFFSET($H$3,0,0,'Données projet'!$E$9+1,1))</f>
        <v>215.77907571824977</v>
      </c>
      <c r="T139" s="59">
        <f t="shared" si="142"/>
        <v>174.69390149594869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76.873925055802346</v>
      </c>
      <c r="AA139" s="21">
        <f>EXP(-LN(2)/25)*AA138+(1-EXP(-LN(2)/25))/(LN(2)/25)*Calculateur!V139*Calculateur!X139*VLOOKUP('Données projet'!$B$9,Paramètres!$A$1:$I$89,3,0)*0.475*44/12</f>
        <v>19.812064419551842</v>
      </c>
      <c r="AB139" s="21">
        <f>EXP(-LN(2)/2)*AB138+(1-EXP(-LN(2)/2))/(LN(2)/2)*V139*Y139*VLOOKUP('Données projet'!$B$9,Paramètres!$A$1:$I$89,3,0)*0.475*44/12</f>
        <v>2.7179329738200443E-3</v>
      </c>
      <c r="AC139" s="22">
        <f t="shared" si="111"/>
        <v>96.688707408328014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-1.0197709343628959E-13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171.701352621833</v>
      </c>
      <c r="AO139" s="59">
        <f t="shared" si="144"/>
        <v>195.58435749168586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23.609353423725373</v>
      </c>
      <c r="AV139" s="21">
        <f>EXP(-LN(2)/25)*AV138+(1-EXP(-LN(2)/25))/(LN(2)/25)*Calculateur!AQ139*Calculateur!AS139*VLOOKUP('Données projet'!$B$10,Paramètres!$A$1:$I$89,3,0)*0.475*44/12</f>
        <v>4.8038025075338737</v>
      </c>
      <c r="AW139" s="21">
        <f>EXP(-LN(2)/2)*AW138+(1-EXP(-LN(2)/2))/(LN(2)/2)*AQ139*AT139*VLOOKUP('Données projet'!$B$10,Paramètres!$A$1:$I$89,3,0)*0.475*44/12</f>
        <v>3.2537301186245728E-10</v>
      </c>
      <c r="AX139" s="21">
        <f t="shared" si="114"/>
        <v>28.413155931584619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-1.1823431123048067E-13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348.29124901999882</v>
      </c>
      <c r="BJ139" s="59">
        <f t="shared" si="146"/>
        <v>284.30034973939053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71.691279668722359</v>
      </c>
      <c r="BQ139" s="21">
        <f>EXP(-LN(2)/25)*BQ138+(1-EXP(-LN(2)/25))/(LN(2)/25)*Calculateur!BL139*Calculateur!BN139*VLOOKUP('Données projet'!$B$11,Paramètres!$A$1:$I$89,3,0)*0.475*44/12</f>
        <v>16.465623943715812</v>
      </c>
      <c r="BR139" s="21">
        <f>EXP(-LN(2)/2)*BR138+(1-EXP(-LN(2)/2))/(LN(2)/2)*BL139*BO139*VLOOKUP('Données projet'!$B$11,Paramètres!$A$1:$I$89,3,0)*0.475*44/12</f>
        <v>3.1429160095348908E-7</v>
      </c>
      <c r="BS139" s="22">
        <f t="shared" si="117"/>
        <v>88.156903926729768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-2.2737367544323206E-13</v>
      </c>
      <c r="BZ139" s="13">
        <f>BY139*VLOOKUP('Données projet'!$B$12,Paramètres!$A$1:$I$89,3,0)*VLOOKUP('Données projet'!$B$12,Paramètres!$A$1:$I$89,5,0)</f>
        <v>-1.3596945791505279E-13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185.82627135915504</v>
      </c>
      <c r="CE139" s="59">
        <f t="shared" si="148"/>
        <v>155.46126452522037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56.443340760855534</v>
      </c>
      <c r="CL139" s="21">
        <f>EXP(-LN(2)/25)*CL138+(1-EXP(-LN(2)/25))/(LN(2)/25)*Calculateur!CG139*Calculateur!CI139*VLOOKUP('Données projet'!$B$12,Paramètres!$A$1:$I$89,3,0)*0.475*44/12</f>
        <v>14.694777654914049</v>
      </c>
      <c r="CM139" s="21">
        <f>EXP(-LN(2)/2)*CM138+(1-EXP(-LN(2)/2))/(LN(2)/2)*CG139*CJ139*VLOOKUP('Données projet'!$B$12,Paramètres!$A$1:$I$89,3,0)*0.475*44/12</f>
        <v>4.1337120102848965E-3</v>
      </c>
      <c r="CN139" s="22">
        <f t="shared" si="120"/>
        <v>71.142252127779869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0.98461538461538534</v>
      </c>
      <c r="CT139" s="12">
        <f>IF('Données projet'!$A$140&gt;35,CT138+CS139-DB138,IF(A139&lt;'Données projet'!$A$140,$CQ$205^A139,IF(A139='Données projet'!$A$140,'Données projet'!$B$140,CT138+CS139-DB138)))</f>
        <v>111.29230769230763</v>
      </c>
      <c r="CU139" s="17">
        <f>CT139*VLOOKUP('Données projet'!$B$13,Paramètres!$A$1:$I$89,3,0)*VLOOKUP('Données projet'!$B$13,Paramètres!$A$1:$I$89,5,0)</f>
        <v>128.20873846153839</v>
      </c>
      <c r="CV139" s="13">
        <f t="shared" si="149"/>
        <v>33.582117742178156</v>
      </c>
      <c r="CW139" s="20">
        <f t="shared" si="121"/>
        <v>281.78574122147296</v>
      </c>
      <c r="CX139" s="59">
        <f t="shared" si="122"/>
        <v>575.11907455480628</v>
      </c>
      <c r="CY139" s="59">
        <f ca="1">AVERAGE(OFFSET($CX$3,0,0,'Données projet'!$E$13+1,1))-AVERAGE(OFFSET($H$3,0,0,'Données projet'!$E$13+1,1))</f>
        <v>150.78964413039063</v>
      </c>
      <c r="CZ139" s="59">
        <f t="shared" si="150"/>
        <v>131.90332435966184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7.0244188496743813</v>
      </c>
      <c r="DG139" s="21">
        <f>EXP(-LN(2)/25)*DG138+(1-EXP(-LN(2)/25))/(LN(2)/25)*Calculateur!DB139*Calculateur!DD139*VLOOKUP('Données projet'!$B$13,Paramètres!$A$1:$I$89,3,0)*0.475*44/12</f>
        <v>2.779943527094483</v>
      </c>
      <c r="DH139" s="21">
        <f>EXP(-LN(2)/2)*DH138+(1-EXP(-LN(2)/2))/(LN(2)/2)*DB139*DE139*VLOOKUP('Données projet'!$B$13,Paramètres!$A$1:$I$89,3,0)*0.475*44/12</f>
        <v>0.17563008447964898</v>
      </c>
      <c r="DI139" s="22">
        <f t="shared" si="123"/>
        <v>9.9799924612485125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-1.4210854715202004E-14</v>
      </c>
      <c r="DP139" s="17">
        <f>DO139*VLOOKUP('Données projet'!$B$14,Paramètres!$A$1:$I$89,3,0)*VLOOKUP('Données projet'!$B$14,Paramètres!$A$1:$I$89,5,0)</f>
        <v>-1.4853185348329136E-14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110.10595934547638</v>
      </c>
      <c r="DU139" s="59">
        <f t="shared" si="152"/>
        <v>131.10971921141493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13.6663851405945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13.6663851405945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7.3375000000000012</v>
      </c>
      <c r="EJ139" s="12">
        <f>IF('Données projet'!$A$192&gt;35,EJ138+EI139-ER138,IF(A139&lt;'Données projet'!$A$192,$EG$205^A139,IF(A139='Données projet'!$A$192,'Données projet'!$B$192,EJ138+EI139-ER138)))</f>
        <v>321.21999999999997</v>
      </c>
      <c r="EK139" s="17">
        <f>EJ139*VLOOKUP('Données projet'!$B$15,Paramètres!$A$1:$I$89,3,0)*VLOOKUP('Données projet'!$B$15,Paramètres!$A$1:$I$89,5,0)</f>
        <v>325.71707999999995</v>
      </c>
      <c r="EL139" s="13">
        <f t="shared" si="153"/>
        <v>76.54167460148193</v>
      </c>
      <c r="EM139" s="20">
        <f t="shared" si="127"/>
        <v>700.60066426424748</v>
      </c>
      <c r="EN139" s="59">
        <f t="shared" si="128"/>
        <v>993.93399759758086</v>
      </c>
      <c r="EO139" s="59">
        <f ca="1">AVERAGE(OFFSET($EN$3,0,0,'Données projet'!$E$15+1,1))-AVERAGE(OFFSET($H$3,0,0,'Données projet'!$E$15+1,1))</f>
        <v>420.38735944595965</v>
      </c>
      <c r="EP139" s="59">
        <f t="shared" si="154"/>
        <v>200.0823542414671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26.944643109854404</v>
      </c>
      <c r="EW139" s="21">
        <f>EXP(-LN(2)/25)*EW138+(1-EXP(-LN(2)/25))/(LN(2)/25)*Calculateur!ER139*Calculateur!ET139*VLOOKUP('Données projet'!$B$15,Paramètres!$A$1:$I$89,3,0)*0.475*44/12</f>
        <v>21.516089846775479</v>
      </c>
      <c r="EX139" s="21">
        <f>EXP(-LN(2)/2)*EX138+(1-EXP(-LN(2)/2))/(LN(2)/2)*ER139*EU139*VLOOKUP('Données projet'!$B$15,Paramètres!$A$1:$I$89,3,0)*0.475*44/12</f>
        <v>1.2005179281446949</v>
      </c>
      <c r="EY139" s="22">
        <f t="shared" si="129"/>
        <v>49.661250884774574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2.5579538487363607E-13</v>
      </c>
      <c r="FF139" s="17">
        <f>FE139*VLOOKUP('Données projet'!$B$16,Paramètres!$A$1:$I$89,3,0)*VLOOKUP('Données projet'!$B$16,Paramètres!$A$1:$I$89,5,0)</f>
        <v>2.7533815227798186E-13</v>
      </c>
      <c r="FG139" s="13">
        <f t="shared" si="155"/>
        <v>3.6763598146902537E-12</v>
      </c>
      <c r="FH139" s="20">
        <f t="shared" si="130"/>
        <v>6.88254062580301E-12</v>
      </c>
      <c r="FI139" s="59">
        <f t="shared" si="131"/>
        <v>293.33333333334019</v>
      </c>
      <c r="FJ139" s="59">
        <f ca="1">AVERAGE(OFFSET($FI$3,0,0,'Données projet'!$E$16+1,1))-AVERAGE(OFFSET($H$3,0,0,'Données projet'!$E$16+1,1))</f>
        <v>415.8741608506952</v>
      </c>
      <c r="FK139" s="59">
        <f t="shared" si="156"/>
        <v>259.15848913719356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119.3345052262675</v>
      </c>
      <c r="FR139" s="21">
        <f>EXP(-LN(2)/25)*FR138+(1-EXP(-LN(2)/25))/(LN(2)/25)*Calculateur!FM139*Calculateur!FO139*VLOOKUP('Données projet'!$B$16,Paramètres!$A$1:$I$89,3,0)*0.475*44/12</f>
        <v>23.713702761959148</v>
      </c>
      <c r="FS139" s="21">
        <f>EXP(-LN(2)/2)*FS138+(1-EXP(-LN(2)/2))/(LN(2)/2)*FM139*FP139*VLOOKUP('Données projet'!$B$16,Paramètres!$A$1:$I$89,3,0)*0.475*44/12</f>
        <v>1.0125812176136846</v>
      </c>
      <c r="FT139" s="22">
        <f t="shared" si="132"/>
        <v>144.06078920584031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2.5579538487363607E-13</v>
      </c>
      <c r="GA139" s="17">
        <f>FZ139*VLOOKUP('Données projet'!$B$17,Paramètres!$A$1:$I$89,3,0)*VLOOKUP('Données projet'!$B$17,Paramètres!$A$1:$I$89,5,0)</f>
        <v>2.1947244022157976E-13</v>
      </c>
      <c r="GB139" s="13">
        <f t="shared" si="157"/>
        <v>3.0088145886933343E-12</v>
      </c>
      <c r="GC139" s="20">
        <f t="shared" si="133"/>
        <v>5.6225999086934742E-12</v>
      </c>
      <c r="GD139" s="59">
        <f t="shared" si="134"/>
        <v>293.33333333333894</v>
      </c>
      <c r="GE139" s="59">
        <f ca="1">AVERAGE(OFFSET($GD$3,0,0,'Données projet'!$E$17+1,1))-AVERAGE(OFFSET($H$3,0,0,'Données projet'!$E$17+1,1))</f>
        <v>322.39807389980882</v>
      </c>
      <c r="GF139" s="59">
        <f t="shared" si="158"/>
        <v>202.59410055732792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117.24303428869895</v>
      </c>
      <c r="GM139" s="21">
        <f>EXP(-LN(2)/25)*GM138+(1-EXP(-LN(2)/25))/(LN(2)/25)*Calculateur!GH139*Calculateur!GJ139*VLOOKUP('Données projet'!$B$17,Paramètres!$A$1:$I$89,3,0)*0.475*44/12</f>
        <v>23.29809354604345</v>
      </c>
      <c r="GN139" s="21">
        <f>EXP(-LN(2)/2)*GN138+(1-EXP(-LN(2)/2))/(LN(2)/2)*GH139*GK139*VLOOKUP('Données projet'!$B$17,Paramètres!$A$1:$I$89,3,0)*0.475*44/12</f>
        <v>0.80712995606887949</v>
      </c>
      <c r="GO139" s="21">
        <f t="shared" si="135"/>
        <v>141.34825779081129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50.22419999999984</v>
      </c>
      <c r="D140" s="11">
        <f t="shared" si="140"/>
        <v>14.671645206035645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500.95038404658982</v>
      </c>
      <c r="H140" s="67">
        <f t="shared" si="110"/>
        <v>406.3602637338451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1.5961632016114892E-13</v>
      </c>
      <c r="P140" s="13">
        <f t="shared" si="141"/>
        <v>2.2708641912150958E-12</v>
      </c>
      <c r="Q140" s="20">
        <f t="shared" si="108"/>
        <v>4.2330868906469593E-12</v>
      </c>
      <c r="R140" s="59">
        <f t="shared" si="109"/>
        <v>293.33333333333752</v>
      </c>
      <c r="S140" s="59">
        <f ca="1">AVERAGE(OFFSET($R$3,0,0,'Données projet'!$E$9+1,1))-AVERAGE(OFFSET($H$3,0,0,'Données projet'!$E$9+1,1))</f>
        <v>215.77907571824977</v>
      </c>
      <c r="T140" s="59">
        <f t="shared" si="142"/>
        <v>174.69390149594869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75.366474273922492</v>
      </c>
      <c r="AA140" s="21">
        <f>EXP(-LN(2)/25)*AA139+(1-EXP(-LN(2)/25))/(LN(2)/25)*Calculateur!V140*Calculateur!X140*VLOOKUP('Données projet'!$B$9,Paramètres!$A$1:$I$89,3,0)*0.475*44/12</f>
        <v>19.270302476128009</v>
      </c>
      <c r="AB140" s="21">
        <f>EXP(-LN(2)/2)*AB139+(1-EXP(-LN(2)/2))/(LN(2)/2)*V140*Y140*VLOOKUP('Données projet'!$B$9,Paramètres!$A$1:$I$89,3,0)*0.475*44/12</f>
        <v>1.9218688365986727E-3</v>
      </c>
      <c r="AC140" s="22">
        <f t="shared" si="111"/>
        <v>94.638698618887105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-1.0197709343628959E-13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171.701352621833</v>
      </c>
      <c r="AO140" s="59">
        <f t="shared" si="144"/>
        <v>195.58435749168586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23.146388403369798</v>
      </c>
      <c r="AV140" s="21">
        <f>EXP(-LN(2)/25)*AV139+(1-EXP(-LN(2)/25))/(LN(2)/25)*Calculateur!AQ140*Calculateur!AS140*VLOOKUP('Données projet'!$B$10,Paramètres!$A$1:$I$89,3,0)*0.475*44/12</f>
        <v>4.6724422753443653</v>
      </c>
      <c r="AW140" s="21">
        <f>EXP(-LN(2)/2)*AW139+(1-EXP(-LN(2)/2))/(LN(2)/2)*AQ140*AT140*VLOOKUP('Données projet'!$B$10,Paramètres!$A$1:$I$89,3,0)*0.475*44/12</f>
        <v>2.3007346310303452E-10</v>
      </c>
      <c r="AX140" s="21">
        <f t="shared" si="114"/>
        <v>27.818830678944238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-1.1823431123048067E-13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348.29124901999882</v>
      </c>
      <c r="BJ140" s="59">
        <f t="shared" si="146"/>
        <v>284.30034973939053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70.285457401781599</v>
      </c>
      <c r="BQ140" s="21">
        <f>EXP(-LN(2)/25)*BQ139+(1-EXP(-LN(2)/25))/(LN(2)/25)*Calculateur!BL140*Calculateur!BN140*VLOOKUP('Données projet'!$B$11,Paramètres!$A$1:$I$89,3,0)*0.475*44/12</f>
        <v>16.015370591085372</v>
      </c>
      <c r="BR140" s="21">
        <f>EXP(-LN(2)/2)*BR139+(1-EXP(-LN(2)/2))/(LN(2)/2)*BL140*BO140*VLOOKUP('Données projet'!$B$11,Paramètres!$A$1:$I$89,3,0)*0.475*44/12</f>
        <v>2.2223772230418852E-7</v>
      </c>
      <c r="BS140" s="22">
        <f t="shared" si="117"/>
        <v>86.300828215104687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-2.2737367544323206E-13</v>
      </c>
      <c r="BZ140" s="13">
        <f>BY140*VLOOKUP('Données projet'!$B$12,Paramètres!$A$1:$I$89,3,0)*VLOOKUP('Données projet'!$B$12,Paramètres!$A$1:$I$89,5,0)</f>
        <v>-1.3596945791505279E-13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185.82627135915504</v>
      </c>
      <c r="CE140" s="59">
        <f t="shared" si="148"/>
        <v>155.46126452522037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55.336521275573631</v>
      </c>
      <c r="CL140" s="21">
        <f>EXP(-LN(2)/25)*CL139+(1-EXP(-LN(2)/25))/(LN(2)/25)*Calculateur!CG140*Calculateur!CI140*VLOOKUP('Données projet'!$B$12,Paramètres!$A$1:$I$89,3,0)*0.475*44/12</f>
        <v>14.292948187175652</v>
      </c>
      <c r="CM140" s="21">
        <f>EXP(-LN(2)/2)*CM139+(1-EXP(-LN(2)/2))/(LN(2)/2)*CG140*CJ140*VLOOKUP('Données projet'!$B$12,Paramètres!$A$1:$I$89,3,0)*0.475*44/12</f>
        <v>2.9229757939447259E-3</v>
      </c>
      <c r="CN140" s="22">
        <f t="shared" si="120"/>
        <v>69.632392438543235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0.98461538461538534</v>
      </c>
      <c r="CT140" s="12">
        <f>IF('Données projet'!$A$140&gt;35,CT139+CS140-DB139,IF(A140&lt;'Données projet'!$A$140,$CQ$205^A140,IF(A140='Données projet'!$A$140,'Données projet'!$B$140,CT139+CS140-DB139)))</f>
        <v>112.27692307692301</v>
      </c>
      <c r="CU140" s="17">
        <f>CT140*VLOOKUP('Données projet'!$B$13,Paramètres!$A$1:$I$89,3,0)*VLOOKUP('Données projet'!$B$13,Paramètres!$A$1:$I$89,5,0)</f>
        <v>129.34301538461531</v>
      </c>
      <c r="CV140" s="13">
        <f t="shared" si="149"/>
        <v>33.844504741707098</v>
      </c>
      <c r="CW140" s="20">
        <f t="shared" si="121"/>
        <v>284.21826422001146</v>
      </c>
      <c r="CX140" s="59">
        <f t="shared" si="122"/>
        <v>577.55159755334478</v>
      </c>
      <c r="CY140" s="59">
        <f ca="1">AVERAGE(OFFSET($CX$3,0,0,'Données projet'!$E$13+1,1))-AVERAGE(OFFSET($H$3,0,0,'Données projet'!$E$13+1,1))</f>
        <v>150.78964413039063</v>
      </c>
      <c r="CZ140" s="59">
        <f t="shared" si="150"/>
        <v>131.90332435966184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6.8866742805047085</v>
      </c>
      <c r="DG140" s="21">
        <f>EXP(-LN(2)/25)*DG139+(1-EXP(-LN(2)/25))/(LN(2)/25)*Calculateur!DB140*Calculateur!DD140*VLOOKUP('Données projet'!$B$13,Paramètres!$A$1:$I$89,3,0)*0.475*44/12</f>
        <v>2.7039258251552081</v>
      </c>
      <c r="DH140" s="21">
        <f>EXP(-LN(2)/2)*DH139+(1-EXP(-LN(2)/2))/(LN(2)/2)*DB140*DE140*VLOOKUP('Données projet'!$B$13,Paramètres!$A$1:$I$89,3,0)*0.475*44/12</f>
        <v>0.12418922371592601</v>
      </c>
      <c r="DI140" s="22">
        <f t="shared" si="123"/>
        <v>9.7147893293758418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-1.4210854715202004E-14</v>
      </c>
      <c r="DP140" s="17">
        <f>DO140*VLOOKUP('Données projet'!$B$14,Paramètres!$A$1:$I$89,3,0)*VLOOKUP('Données projet'!$B$14,Paramètres!$A$1:$I$89,5,0)</f>
        <v>-1.4853185348329136E-14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110.10595934547638</v>
      </c>
      <c r="DU140" s="59">
        <f t="shared" si="152"/>
        <v>131.10971921141493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13.292677120240983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13.292677120240983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7.3375000000000012</v>
      </c>
      <c r="EJ140" s="12">
        <f>IF('Données projet'!$A$192&gt;35,EJ139+EI140-ER139,IF(A140&lt;'Données projet'!$A$192,$EG$205^A140,IF(A140='Données projet'!$A$192,'Données projet'!$B$192,EJ139+EI140-ER139)))</f>
        <v>328.55749999999995</v>
      </c>
      <c r="EK140" s="17">
        <f>EJ140*VLOOKUP('Données projet'!$B$15,Paramètres!$A$1:$I$89,3,0)*VLOOKUP('Données projet'!$B$15,Paramètres!$A$1:$I$89,5,0)</f>
        <v>333.15730499999995</v>
      </c>
      <c r="EL140" s="13">
        <f t="shared" si="153"/>
        <v>78.084533845329503</v>
      </c>
      <c r="EM140" s="20">
        <f t="shared" si="127"/>
        <v>716.24620265561543</v>
      </c>
      <c r="EN140" s="59">
        <f t="shared" si="128"/>
        <v>1009.5795359889487</v>
      </c>
      <c r="EO140" s="59">
        <f ca="1">AVERAGE(OFFSET($EN$3,0,0,'Données projet'!$E$15+1,1))-AVERAGE(OFFSET($H$3,0,0,'Données projet'!$E$15+1,1))</f>
        <v>420.38735944595965</v>
      </c>
      <c r="EP140" s="59">
        <f t="shared" si="154"/>
        <v>200.0823542414671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26.416275093079673</v>
      </c>
      <c r="EW140" s="21">
        <f>EXP(-LN(2)/25)*EW139+(1-EXP(-LN(2)/25))/(LN(2)/25)*Calculateur!ER140*Calculateur!ET140*VLOOKUP('Données projet'!$B$15,Paramètres!$A$1:$I$89,3,0)*0.475*44/12</f>
        <v>20.927731238433413</v>
      </c>
      <c r="EX140" s="21">
        <f>EXP(-LN(2)/2)*EX139+(1-EXP(-LN(2)/2))/(LN(2)/2)*ER140*EU140*VLOOKUP('Données projet'!$B$15,Paramètres!$A$1:$I$89,3,0)*0.475*44/12</f>
        <v>0.84889436792713824</v>
      </c>
      <c r="EY140" s="22">
        <f t="shared" si="129"/>
        <v>48.192900699440223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2.5579538487363607E-13</v>
      </c>
      <c r="FF140" s="17">
        <f>FE140*VLOOKUP('Données projet'!$B$16,Paramètres!$A$1:$I$89,3,0)*VLOOKUP('Données projet'!$B$16,Paramètres!$A$1:$I$89,5,0)</f>
        <v>2.7533815227798186E-13</v>
      </c>
      <c r="FG140" s="13">
        <f t="shared" si="155"/>
        <v>3.6763598146902537E-12</v>
      </c>
      <c r="FH140" s="20">
        <f t="shared" si="130"/>
        <v>6.88254062580301E-12</v>
      </c>
      <c r="FI140" s="59">
        <f t="shared" si="131"/>
        <v>293.33333333334019</v>
      </c>
      <c r="FJ140" s="59">
        <f ca="1">AVERAGE(OFFSET($FI$3,0,0,'Données projet'!$E$16+1,1))-AVERAGE(OFFSET($H$3,0,0,'Données projet'!$E$16+1,1))</f>
        <v>415.8741608506952</v>
      </c>
      <c r="FK140" s="59">
        <f t="shared" si="156"/>
        <v>259.15848913719356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116.99442836564147</v>
      </c>
      <c r="FR140" s="21">
        <f>EXP(-LN(2)/25)*FR139+(1-EXP(-LN(2)/25))/(LN(2)/25)*Calculateur!FM140*Calculateur!FO140*VLOOKUP('Données projet'!$B$16,Paramètres!$A$1:$I$89,3,0)*0.475*44/12</f>
        <v>23.065250312883943</v>
      </c>
      <c r="FS140" s="21">
        <f>EXP(-LN(2)/2)*FS139+(1-EXP(-LN(2)/2))/(LN(2)/2)*FM140*FP140*VLOOKUP('Données projet'!$B$16,Paramètres!$A$1:$I$89,3,0)*0.475*44/12</f>
        <v>0.71600304547676752</v>
      </c>
      <c r="FT140" s="22">
        <f t="shared" si="132"/>
        <v>140.77568172400217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2.5579538487363607E-13</v>
      </c>
      <c r="GA140" s="17">
        <f>FZ140*VLOOKUP('Données projet'!$B$17,Paramètres!$A$1:$I$89,3,0)*VLOOKUP('Données projet'!$B$17,Paramètres!$A$1:$I$89,5,0)</f>
        <v>2.1947244022157976E-13</v>
      </c>
      <c r="GB140" s="13">
        <f t="shared" si="157"/>
        <v>3.0088145886933343E-12</v>
      </c>
      <c r="GC140" s="20">
        <f t="shared" si="133"/>
        <v>5.6225999086934742E-12</v>
      </c>
      <c r="GD140" s="59">
        <f t="shared" si="134"/>
        <v>293.33333333333894</v>
      </c>
      <c r="GE140" s="59">
        <f ca="1">AVERAGE(OFFSET($GD$3,0,0,'Données projet'!$E$17+1,1))-AVERAGE(OFFSET($H$3,0,0,'Données projet'!$E$17+1,1))</f>
        <v>322.39807389980882</v>
      </c>
      <c r="GF140" s="59">
        <f t="shared" si="158"/>
        <v>202.59410055732792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114.94396989748734</v>
      </c>
      <c r="GM140" s="21">
        <f>EXP(-LN(2)/25)*GM139+(1-EXP(-LN(2)/25))/(LN(2)/25)*Calculateur!GH140*Calculateur!GJ140*VLOOKUP('Données projet'!$B$17,Paramètres!$A$1:$I$89,3,0)*0.475*44/12</f>
        <v>22.661005952833403</v>
      </c>
      <c r="GN140" s="21">
        <f>EXP(-LN(2)/2)*GN139+(1-EXP(-LN(2)/2))/(LN(2)/2)*GH140*GK140*VLOOKUP('Données projet'!$B$17,Paramètres!$A$1:$I$89,3,0)*0.475*44/12</f>
        <v>0.57072706523510497</v>
      </c>
      <c r="GO140" s="21">
        <f t="shared" si="135"/>
        <v>138.17570291555583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50.590799999999838</v>
      </c>
      <c r="D141" s="11">
        <f t="shared" si="140"/>
        <v>14.766231872668577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504.51042147322988</v>
      </c>
      <c r="H141" s="67">
        <f t="shared" si="110"/>
        <v>407.16349717823078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1.5961632016114892E-13</v>
      </c>
      <c r="P141" s="13">
        <f t="shared" si="141"/>
        <v>2.2708641912150958E-12</v>
      </c>
      <c r="Q141" s="20">
        <f t="shared" si="108"/>
        <v>4.2330868906469593E-12</v>
      </c>
      <c r="R141" s="59">
        <f t="shared" si="109"/>
        <v>293.33333333333752</v>
      </c>
      <c r="S141" s="59">
        <f ca="1">AVERAGE(OFFSET($R$3,0,0,'Données projet'!$E$9+1,1))-AVERAGE(OFFSET($H$3,0,0,'Données projet'!$E$9+1,1))</f>
        <v>215.77907571824977</v>
      </c>
      <c r="T141" s="59">
        <f t="shared" si="142"/>
        <v>174.69390149594869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73.888583682421114</v>
      </c>
      <c r="AA141" s="21">
        <f>EXP(-LN(2)/25)*AA140+(1-EXP(-LN(2)/25))/(LN(2)/25)*Calculateur!V141*Calculateur!X141*VLOOKUP('Données projet'!$B$9,Paramètres!$A$1:$I$89,3,0)*0.475*44/12</f>
        <v>18.743355041537125</v>
      </c>
      <c r="AB141" s="21">
        <f>EXP(-LN(2)/2)*AB140+(1-EXP(-LN(2)/2))/(LN(2)/2)*V141*Y141*VLOOKUP('Données projet'!$B$9,Paramètres!$A$1:$I$89,3,0)*0.475*44/12</f>
        <v>1.3589664869100224E-3</v>
      </c>
      <c r="AC141" s="22">
        <f t="shared" si="111"/>
        <v>92.633297690445147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-1.0197709343628959E-13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171.701352621833</v>
      </c>
      <c r="AO141" s="59">
        <f t="shared" si="144"/>
        <v>195.58435749168586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22.692501844682614</v>
      </c>
      <c r="AV141" s="21">
        <f>EXP(-LN(2)/25)*AV140+(1-EXP(-LN(2)/25))/(LN(2)/25)*Calculateur!AQ141*Calculateur!AS141*VLOOKUP('Données projet'!$B$10,Paramètres!$A$1:$I$89,3,0)*0.475*44/12</f>
        <v>4.5446740956120131</v>
      </c>
      <c r="AW141" s="21">
        <f>EXP(-LN(2)/2)*AW140+(1-EXP(-LN(2)/2))/(LN(2)/2)*AQ141*AT141*VLOOKUP('Données projet'!$B$10,Paramètres!$A$1:$I$89,3,0)*0.475*44/12</f>
        <v>1.6268650593122866E-10</v>
      </c>
      <c r="AX141" s="21">
        <f t="shared" si="114"/>
        <v>27.237175940457313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-1.1823431123048067E-13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348.29124901999882</v>
      </c>
      <c r="BJ141" s="59">
        <f t="shared" si="146"/>
        <v>284.30034973939053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68.907202452028628</v>
      </c>
      <c r="BQ141" s="21">
        <f>EXP(-LN(2)/25)*BQ140+(1-EXP(-LN(2)/25))/(LN(2)/25)*Calculateur!BL141*Calculateur!BN141*VLOOKUP('Données projet'!$B$11,Paramètres!$A$1:$I$89,3,0)*0.475*44/12</f>
        <v>15.577429440060406</v>
      </c>
      <c r="BR141" s="21">
        <f>EXP(-LN(2)/2)*BR140+(1-EXP(-LN(2)/2))/(LN(2)/2)*BL141*BO141*VLOOKUP('Données projet'!$B$11,Paramètres!$A$1:$I$89,3,0)*0.475*44/12</f>
        <v>1.5714580047674454E-7</v>
      </c>
      <c r="BS141" s="22">
        <f t="shared" si="117"/>
        <v>84.484632049234833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-2.2737367544323206E-13</v>
      </c>
      <c r="BZ141" s="13">
        <f>BY141*VLOOKUP('Données projet'!$B$12,Paramètres!$A$1:$I$89,3,0)*VLOOKUP('Données projet'!$B$12,Paramètres!$A$1:$I$89,5,0)</f>
        <v>-1.3596945791505279E-13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185.82627135915504</v>
      </c>
      <c r="CE141" s="59">
        <f t="shared" si="148"/>
        <v>155.46126452522037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54.25140584530488</v>
      </c>
      <c r="CL141" s="21">
        <f>EXP(-LN(2)/25)*CL140+(1-EXP(-LN(2)/25))/(LN(2)/25)*Calculateur!CG141*Calculateur!CI141*VLOOKUP('Données projet'!$B$12,Paramètres!$A$1:$I$89,3,0)*0.475*44/12</f>
        <v>13.902106767363856</v>
      </c>
      <c r="CM141" s="21">
        <f>EXP(-LN(2)/2)*CM140+(1-EXP(-LN(2)/2))/(LN(2)/2)*CG141*CJ141*VLOOKUP('Données projet'!$B$12,Paramètres!$A$1:$I$89,3,0)*0.475*44/12</f>
        <v>2.0668560051424483E-3</v>
      </c>
      <c r="CN141" s="22">
        <f t="shared" si="120"/>
        <v>68.155579468673878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0.98461538461538534</v>
      </c>
      <c r="CT141" s="12">
        <f>IF('Données projet'!$A$140&gt;35,CT140+CS141-DB140,IF(A141&lt;'Données projet'!$A$140,$CQ$205^A141,IF(A141='Données projet'!$A$140,'Données projet'!$B$140,CT140+CS141-DB140)))</f>
        <v>113.26153846153839</v>
      </c>
      <c r="CU141" s="17">
        <f>CT141*VLOOKUP('Données projet'!$B$13,Paramètres!$A$1:$I$89,3,0)*VLOOKUP('Données projet'!$B$13,Paramètres!$A$1:$I$89,5,0)</f>
        <v>130.47729230769221</v>
      </c>
      <c r="CV141" s="13">
        <f t="shared" si="149"/>
        <v>34.106624036745025</v>
      </c>
      <c r="CW141" s="20">
        <f t="shared" si="121"/>
        <v>286.65032096656154</v>
      </c>
      <c r="CX141" s="59">
        <f t="shared" si="122"/>
        <v>579.98365429989485</v>
      </c>
      <c r="CY141" s="59">
        <f ca="1">AVERAGE(OFFSET($CX$3,0,0,'Données projet'!$E$13+1,1))-AVERAGE(OFFSET($H$3,0,0,'Données projet'!$E$13+1,1))</f>
        <v>150.78964413039063</v>
      </c>
      <c r="CZ141" s="59">
        <f t="shared" si="150"/>
        <v>131.90332435966184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6.7516307983205612</v>
      </c>
      <c r="DG141" s="21">
        <f>EXP(-LN(2)/25)*DG140+(1-EXP(-LN(2)/25))/(LN(2)/25)*Calculateur!DB141*Calculateur!DD141*VLOOKUP('Données projet'!$B$13,Paramètres!$A$1:$I$89,3,0)*0.475*44/12</f>
        <v>2.6299868312730599</v>
      </c>
      <c r="DH141" s="21">
        <f>EXP(-LN(2)/2)*DH140+(1-EXP(-LN(2)/2))/(LN(2)/2)*DB141*DE141*VLOOKUP('Données projet'!$B$13,Paramètres!$A$1:$I$89,3,0)*0.475*44/12</f>
        <v>8.7815042239824503E-2</v>
      </c>
      <c r="DI141" s="22">
        <f t="shared" si="123"/>
        <v>9.4694326718334452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-1.4210854715202004E-14</v>
      </c>
      <c r="DP141" s="17">
        <f>DO141*VLOOKUP('Données projet'!$B$14,Paramètres!$A$1:$I$89,3,0)*VLOOKUP('Données projet'!$B$14,Paramètres!$A$1:$I$89,5,0)</f>
        <v>-1.4853185348329136E-14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110.10595934547638</v>
      </c>
      <c r="DU141" s="59">
        <f t="shared" si="152"/>
        <v>131.10971921141493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12.929188165356484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12.929188165356484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7.3375000000000012</v>
      </c>
      <c r="EJ141" s="12">
        <f>IF('Données projet'!$A$192&gt;35,EJ140+EI141-ER140,IF(A141&lt;'Données projet'!$A$192,$EG$205^A141,IF(A141='Données projet'!$A$192,'Données projet'!$B$192,EJ140+EI141-ER140)))</f>
        <v>335.89499999999992</v>
      </c>
      <c r="EK141" s="17">
        <f>EJ141*VLOOKUP('Données projet'!$B$15,Paramètres!$A$1:$I$89,3,0)*VLOOKUP('Données projet'!$B$15,Paramètres!$A$1:$I$89,5,0)</f>
        <v>340.59752999999995</v>
      </c>
      <c r="EL141" s="13">
        <f t="shared" si="153"/>
        <v>79.623387284014498</v>
      </c>
      <c r="EM141" s="20">
        <f t="shared" si="127"/>
        <v>731.88476426965838</v>
      </c>
      <c r="EN141" s="59">
        <f t="shared" si="128"/>
        <v>1025.2180976029917</v>
      </c>
      <c r="EO141" s="59">
        <f ca="1">AVERAGE(OFFSET($EN$3,0,0,'Données projet'!$E$15+1,1))-AVERAGE(OFFSET($H$3,0,0,'Données projet'!$E$15+1,1))</f>
        <v>420.38735944595965</v>
      </c>
      <c r="EP141" s="59">
        <f t="shared" si="154"/>
        <v>200.0823542414671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25.898268050841224</v>
      </c>
      <c r="EW141" s="21">
        <f>EXP(-LN(2)/25)*EW140+(1-EXP(-LN(2)/25))/(LN(2)/25)*Calculateur!ER141*Calculateur!ET141*VLOOKUP('Données projet'!$B$15,Paramètres!$A$1:$I$89,3,0)*0.475*44/12</f>
        <v>20.355461327176897</v>
      </c>
      <c r="EX141" s="21">
        <f>EXP(-LN(2)/2)*EX140+(1-EXP(-LN(2)/2))/(LN(2)/2)*ER141*EU141*VLOOKUP('Données projet'!$B$15,Paramètres!$A$1:$I$89,3,0)*0.475*44/12</f>
        <v>0.60025896407234758</v>
      </c>
      <c r="EY141" s="22">
        <f t="shared" si="129"/>
        <v>46.853988342090467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2.5579538487363607E-13</v>
      </c>
      <c r="FF141" s="17">
        <f>FE141*VLOOKUP('Données projet'!$B$16,Paramètres!$A$1:$I$89,3,0)*VLOOKUP('Données projet'!$B$16,Paramètres!$A$1:$I$89,5,0)</f>
        <v>2.7533815227798186E-13</v>
      </c>
      <c r="FG141" s="13">
        <f t="shared" si="155"/>
        <v>3.6763598146902537E-12</v>
      </c>
      <c r="FH141" s="20">
        <f t="shared" si="130"/>
        <v>6.88254062580301E-12</v>
      </c>
      <c r="FI141" s="59">
        <f t="shared" si="131"/>
        <v>293.33333333334019</v>
      </c>
      <c r="FJ141" s="59">
        <f ca="1">AVERAGE(OFFSET($FI$3,0,0,'Données projet'!$E$16+1,1))-AVERAGE(OFFSET($H$3,0,0,'Données projet'!$E$16+1,1))</f>
        <v>415.8741608506952</v>
      </c>
      <c r="FK141" s="59">
        <f t="shared" si="156"/>
        <v>259.15848913719356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114.70023898494637</v>
      </c>
      <c r="FR141" s="21">
        <f>EXP(-LN(2)/25)*FR140+(1-EXP(-LN(2)/25))/(LN(2)/25)*Calculateur!FM141*Calculateur!FO141*VLOOKUP('Données projet'!$B$16,Paramètres!$A$1:$I$89,3,0)*0.475*44/12</f>
        <v>22.434529830129335</v>
      </c>
      <c r="FS141" s="21">
        <f>EXP(-LN(2)/2)*FS140+(1-EXP(-LN(2)/2))/(LN(2)/2)*FM141*FP141*VLOOKUP('Données projet'!$B$16,Paramètres!$A$1:$I$89,3,0)*0.475*44/12</f>
        <v>0.50629060880684229</v>
      </c>
      <c r="FT141" s="22">
        <f t="shared" si="132"/>
        <v>137.64105942388252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2.5579538487363607E-13</v>
      </c>
      <c r="GA141" s="17">
        <f>FZ141*VLOOKUP('Données projet'!$B$17,Paramètres!$A$1:$I$89,3,0)*VLOOKUP('Données projet'!$B$17,Paramètres!$A$1:$I$89,5,0)</f>
        <v>2.1947244022157976E-13</v>
      </c>
      <c r="GB141" s="13">
        <f t="shared" si="157"/>
        <v>3.0088145886933343E-12</v>
      </c>
      <c r="GC141" s="20">
        <f t="shared" si="133"/>
        <v>5.6225999086934742E-12</v>
      </c>
      <c r="GD141" s="59">
        <f t="shared" si="134"/>
        <v>293.33333333333894</v>
      </c>
      <c r="GE141" s="59">
        <f ca="1">AVERAGE(OFFSET($GD$3,0,0,'Données projet'!$E$17+1,1))-AVERAGE(OFFSET($H$3,0,0,'Données projet'!$E$17+1,1))</f>
        <v>322.39807389980882</v>
      </c>
      <c r="GF141" s="59">
        <f t="shared" si="158"/>
        <v>202.59410055732792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112.68998875669656</v>
      </c>
      <c r="GM141" s="21">
        <f>EXP(-LN(2)/25)*GM140+(1-EXP(-LN(2)/25))/(LN(2)/25)*Calculateur!GH141*Calculateur!GJ141*VLOOKUP('Données projet'!$B$17,Paramètres!$A$1:$I$89,3,0)*0.475*44/12</f>
        <v>22.041339553362661</v>
      </c>
      <c r="GN141" s="21">
        <f>EXP(-LN(2)/2)*GN140+(1-EXP(-LN(2)/2))/(LN(2)/2)*GH141*GK141*VLOOKUP('Données projet'!$B$17,Paramètres!$A$1:$I$89,3,0)*0.475*44/12</f>
        <v>0.40356497803443986</v>
      </c>
      <c r="GO141" s="21">
        <f t="shared" si="135"/>
        <v>135.13489328809365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50.957399999999836</v>
      </c>
      <c r="D142" s="11">
        <f t="shared" si="140"/>
        <v>14.860738790403834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508.06984329434414</v>
      </c>
      <c r="H142" s="67">
        <f t="shared" si="110"/>
        <v>407.9665917266197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1.5961632016114892E-13</v>
      </c>
      <c r="P142" s="13">
        <f t="shared" si="141"/>
        <v>2.2708641912150958E-12</v>
      </c>
      <c r="Q142" s="20">
        <f t="shared" si="108"/>
        <v>4.2330868906469593E-12</v>
      </c>
      <c r="R142" s="59">
        <f t="shared" si="109"/>
        <v>293.33333333333752</v>
      </c>
      <c r="S142" s="59">
        <f ca="1">AVERAGE(OFFSET($R$3,0,0,'Données projet'!$E$9+1,1))-AVERAGE(OFFSET($H$3,0,0,'Données projet'!$E$9+1,1))</f>
        <v>215.77907571824977</v>
      </c>
      <c r="T142" s="59">
        <f t="shared" si="142"/>
        <v>174.69390149594869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72.439673623994821</v>
      </c>
      <c r="AA142" s="21">
        <f>EXP(-LN(2)/25)*AA141+(1-EXP(-LN(2)/25))/(LN(2)/25)*Calculateur!V142*Calculateur!X142*VLOOKUP('Données projet'!$B$9,Paramètres!$A$1:$I$89,3,0)*0.475*44/12</f>
        <v>18.23081701225609</v>
      </c>
      <c r="AB142" s="21">
        <f>EXP(-LN(2)/2)*AB141+(1-EXP(-LN(2)/2))/(LN(2)/2)*V142*Y142*VLOOKUP('Données projet'!$B$9,Paramètres!$A$1:$I$89,3,0)*0.475*44/12</f>
        <v>9.6093441829933645E-4</v>
      </c>
      <c r="AC142" s="22">
        <f t="shared" si="111"/>
        <v>90.67145157066922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-1.0197709343628959E-13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171.701352621833</v>
      </c>
      <c r="AO142" s="59">
        <f t="shared" si="144"/>
        <v>195.58435749168586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22.247515724567823</v>
      </c>
      <c r="AV142" s="21">
        <f>EXP(-LN(2)/25)*AV141+(1-EXP(-LN(2)/25))/(LN(2)/25)*Calculateur!AQ142*Calculateur!AS142*VLOOKUP('Données projet'!$B$10,Paramètres!$A$1:$I$89,3,0)*0.475*44/12</f>
        <v>4.420399743473479</v>
      </c>
      <c r="AW142" s="21">
        <f>EXP(-LN(2)/2)*AW141+(1-EXP(-LN(2)/2))/(LN(2)/2)*AQ142*AT142*VLOOKUP('Données projet'!$B$10,Paramètres!$A$1:$I$89,3,0)*0.475*44/12</f>
        <v>1.1503673155151728E-10</v>
      </c>
      <c r="AX142" s="21">
        <f t="shared" si="114"/>
        <v>26.667915468156338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-1.1823431123048067E-13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348.29124901999882</v>
      </c>
      <c r="BJ142" s="59">
        <f t="shared" si="146"/>
        <v>284.30034973939053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67.555974241187798</v>
      </c>
      <c r="BQ142" s="21">
        <f>EXP(-LN(2)/25)*BQ141+(1-EXP(-LN(2)/25))/(LN(2)/25)*Calculateur!BL142*Calculateur!BN142*VLOOKUP('Données projet'!$B$11,Paramètres!$A$1:$I$89,3,0)*0.475*44/12</f>
        <v>15.151463812840543</v>
      </c>
      <c r="BR142" s="21">
        <f>EXP(-LN(2)/2)*BR141+(1-EXP(-LN(2)/2))/(LN(2)/2)*BL142*BO142*VLOOKUP('Données projet'!$B$11,Paramètres!$A$1:$I$89,3,0)*0.475*44/12</f>
        <v>1.1111886115209426E-7</v>
      </c>
      <c r="BS142" s="22">
        <f t="shared" si="117"/>
        <v>82.707438165147209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-2.2737367544323206E-13</v>
      </c>
      <c r="BZ142" s="13">
        <f>BY142*VLOOKUP('Données projet'!$B$12,Paramètres!$A$1:$I$89,3,0)*VLOOKUP('Données projet'!$B$12,Paramètres!$A$1:$I$89,5,0)</f>
        <v>-1.3596945791505279E-13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185.82627135915504</v>
      </c>
      <c r="CE142" s="59">
        <f t="shared" si="148"/>
        <v>155.46126452522037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53.187568866768643</v>
      </c>
      <c r="CL142" s="21">
        <f>EXP(-LN(2)/25)*CL141+(1-EXP(-LN(2)/25))/(LN(2)/25)*Calculateur!CG142*Calculateur!CI142*VLOOKUP('Données projet'!$B$12,Paramètres!$A$1:$I$89,3,0)*0.475*44/12</f>
        <v>13.52195292673027</v>
      </c>
      <c r="CM142" s="21">
        <f>EXP(-LN(2)/2)*CM141+(1-EXP(-LN(2)/2))/(LN(2)/2)*CG142*CJ142*VLOOKUP('Données projet'!$B$12,Paramètres!$A$1:$I$89,3,0)*0.475*44/12</f>
        <v>1.461487896972363E-3</v>
      </c>
      <c r="CN142" s="22">
        <f t="shared" si="120"/>
        <v>66.710983281395883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0.98461538461538534</v>
      </c>
      <c r="CT142" s="12">
        <f>IF('Données projet'!$A$140&gt;35,CT141+CS142-DB141,IF(A142&lt;'Données projet'!$A$140,$CQ$205^A142,IF(A142='Données projet'!$A$140,'Données projet'!$B$140,CT141+CS142-DB141)))</f>
        <v>114.24615384615377</v>
      </c>
      <c r="CU142" s="17">
        <f>CT142*VLOOKUP('Données projet'!$B$13,Paramètres!$A$1:$I$89,3,0)*VLOOKUP('Données projet'!$B$13,Paramètres!$A$1:$I$89,5,0)</f>
        <v>131.61156923076913</v>
      </c>
      <c r="CV142" s="13">
        <f t="shared" si="149"/>
        <v>34.368478224166083</v>
      </c>
      <c r="CW142" s="20">
        <f t="shared" si="121"/>
        <v>289.08191598401214</v>
      </c>
      <c r="CX142" s="59">
        <f t="shared" si="122"/>
        <v>582.41524931734546</v>
      </c>
      <c r="CY142" s="59">
        <f ca="1">AVERAGE(OFFSET($CX$3,0,0,'Données projet'!$E$13+1,1))-AVERAGE(OFFSET($H$3,0,0,'Données projet'!$E$13+1,1))</f>
        <v>150.78964413039063</v>
      </c>
      <c r="CZ142" s="59">
        <f t="shared" si="150"/>
        <v>131.90332435966184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6.6192354364536543</v>
      </c>
      <c r="DG142" s="21">
        <f>EXP(-LN(2)/25)*DG141+(1-EXP(-LN(2)/25))/(LN(2)/25)*Calculateur!DB142*Calculateur!DD142*VLOOKUP('Données projet'!$B$13,Paramètres!$A$1:$I$89,3,0)*0.475*44/12</f>
        <v>2.5580697030669017</v>
      </c>
      <c r="DH142" s="21">
        <f>EXP(-LN(2)/2)*DH141+(1-EXP(-LN(2)/2))/(LN(2)/2)*DB142*DE142*VLOOKUP('Données projet'!$B$13,Paramètres!$A$1:$I$89,3,0)*0.475*44/12</f>
        <v>6.2094611857963021E-2</v>
      </c>
      <c r="DI142" s="22">
        <f t="shared" si="123"/>
        <v>9.2393997513785191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-1.4210854715202004E-14</v>
      </c>
      <c r="DP142" s="17">
        <f>DO142*VLOOKUP('Données projet'!$B$14,Paramètres!$A$1:$I$89,3,0)*VLOOKUP('Données projet'!$B$14,Paramètres!$A$1:$I$89,5,0)</f>
        <v>-1.4853185348329136E-14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110.10595934547638</v>
      </c>
      <c r="DU142" s="59">
        <f t="shared" si="152"/>
        <v>131.10971921141493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12.575638835058355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12.575638835058355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7.3375000000000012</v>
      </c>
      <c r="EJ142" s="12">
        <f>IF('Données projet'!$A$192&gt;35,EJ141+EI142-ER141,IF(A142&lt;'Données projet'!$A$192,$EG$205^A142,IF(A142='Données projet'!$A$192,'Données projet'!$B$192,EJ141+EI142-ER141)))</f>
        <v>343.2324999999999</v>
      </c>
      <c r="EK142" s="17">
        <f>EJ142*VLOOKUP('Données projet'!$B$15,Paramètres!$A$1:$I$89,3,0)*VLOOKUP('Données projet'!$B$15,Paramètres!$A$1:$I$89,5,0)</f>
        <v>348.03775499999989</v>
      </c>
      <c r="EL142" s="13">
        <f t="shared" si="153"/>
        <v>81.158332500044466</v>
      </c>
      <c r="EM142" s="20">
        <f t="shared" si="127"/>
        <v>747.51651906257723</v>
      </c>
      <c r="EN142" s="59">
        <f t="shared" si="128"/>
        <v>1040.8498523959106</v>
      </c>
      <c r="EO142" s="59">
        <f ca="1">AVERAGE(OFFSET($EN$3,0,0,'Données projet'!$E$15+1,1))-AVERAGE(OFFSET($H$3,0,0,'Données projet'!$E$15+1,1))</f>
        <v>420.38735944595965</v>
      </c>
      <c r="EP142" s="59">
        <f t="shared" si="154"/>
        <v>200.0823542414671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25.390418810747974</v>
      </c>
      <c r="EW142" s="21">
        <f>EXP(-LN(2)/25)*EW141+(1-EXP(-LN(2)/25))/(LN(2)/25)*Calculateur!ER142*Calculateur!ET142*VLOOKUP('Données projet'!$B$15,Paramètres!$A$1:$I$89,3,0)*0.475*44/12</f>
        <v>19.798840166738056</v>
      </c>
      <c r="EX142" s="21">
        <f>EXP(-LN(2)/2)*EX141+(1-EXP(-LN(2)/2))/(LN(2)/2)*ER142*EU142*VLOOKUP('Données projet'!$B$15,Paramètres!$A$1:$I$89,3,0)*0.475*44/12</f>
        <v>0.42444718396356917</v>
      </c>
      <c r="EY142" s="22">
        <f t="shared" si="129"/>
        <v>45.613706161449606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2.5579538487363607E-13</v>
      </c>
      <c r="FF142" s="17">
        <f>FE142*VLOOKUP('Données projet'!$B$16,Paramètres!$A$1:$I$89,3,0)*VLOOKUP('Données projet'!$B$16,Paramètres!$A$1:$I$89,5,0)</f>
        <v>2.7533815227798186E-13</v>
      </c>
      <c r="FG142" s="13">
        <f t="shared" si="155"/>
        <v>3.6763598146902537E-12</v>
      </c>
      <c r="FH142" s="20">
        <f t="shared" si="130"/>
        <v>6.88254062580301E-12</v>
      </c>
      <c r="FI142" s="59">
        <f t="shared" si="131"/>
        <v>293.33333333334019</v>
      </c>
      <c r="FJ142" s="59">
        <f ca="1">AVERAGE(OFFSET($FI$3,0,0,'Données projet'!$E$16+1,1))-AVERAGE(OFFSET($H$3,0,0,'Données projet'!$E$16+1,1))</f>
        <v>415.8741608506952</v>
      </c>
      <c r="FK142" s="59">
        <f t="shared" si="156"/>
        <v>259.15848913719356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112.45103725868935</v>
      </c>
      <c r="FR142" s="21">
        <f>EXP(-LN(2)/25)*FR141+(1-EXP(-LN(2)/25))/(LN(2)/25)*Calculateur!FM142*Calculateur!FO142*VLOOKUP('Données projet'!$B$16,Paramètres!$A$1:$I$89,3,0)*0.475*44/12</f>
        <v>21.821056432143799</v>
      </c>
      <c r="FS142" s="21">
        <f>EXP(-LN(2)/2)*FS141+(1-EXP(-LN(2)/2))/(LN(2)/2)*FM142*FP142*VLOOKUP('Données projet'!$B$16,Paramètres!$A$1:$I$89,3,0)*0.475*44/12</f>
        <v>0.35800152273838376</v>
      </c>
      <c r="FT142" s="22">
        <f t="shared" si="132"/>
        <v>134.63009521357154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2.5579538487363607E-13</v>
      </c>
      <c r="GA142" s="17">
        <f>FZ142*VLOOKUP('Données projet'!$B$17,Paramètres!$A$1:$I$89,3,0)*VLOOKUP('Données projet'!$B$17,Paramètres!$A$1:$I$89,5,0)</f>
        <v>2.1947244022157976E-13</v>
      </c>
      <c r="GB142" s="13">
        <f t="shared" si="157"/>
        <v>3.0088145886933343E-12</v>
      </c>
      <c r="GC142" s="20">
        <f t="shared" si="133"/>
        <v>5.6225999086934742E-12</v>
      </c>
      <c r="GD142" s="59">
        <f t="shared" si="134"/>
        <v>293.33333333333894</v>
      </c>
      <c r="GE142" s="59">
        <f ca="1">AVERAGE(OFFSET($GD$3,0,0,'Données projet'!$E$17+1,1))-AVERAGE(OFFSET($H$3,0,0,'Données projet'!$E$17+1,1))</f>
        <v>322.39807389980882</v>
      </c>
      <c r="GF142" s="59">
        <f t="shared" si="158"/>
        <v>202.59410055732792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110.48020681128396</v>
      </c>
      <c r="GM142" s="21">
        <f>EXP(-LN(2)/25)*GM141+(1-EXP(-LN(2)/25))/(LN(2)/25)*Calculateur!GH142*Calculateur!GJ142*VLOOKUP('Données projet'!$B$17,Paramètres!$A$1:$I$89,3,0)*0.475*44/12</f>
        <v>21.438617964172288</v>
      </c>
      <c r="GN142" s="21">
        <f>EXP(-LN(2)/2)*GN141+(1-EXP(-LN(2)/2))/(LN(2)/2)*GH142*GK142*VLOOKUP('Données projet'!$B$17,Paramètres!$A$1:$I$89,3,0)*0.475*44/12</f>
        <v>0.28536353261755254</v>
      </c>
      <c r="GO142" s="21">
        <f t="shared" si="135"/>
        <v>132.20418830807381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51.323999999999835</v>
      </c>
      <c r="D143" s="11">
        <f t="shared" si="140"/>
        <v>14.955166599499989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511.62865445227936</v>
      </c>
      <c r="H143" s="67">
        <f t="shared" si="110"/>
        <v>408.76954849412886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1.5961632016114892E-13</v>
      </c>
      <c r="P143" s="13">
        <f t="shared" si="141"/>
        <v>2.2708641912150958E-12</v>
      </c>
      <c r="Q143" s="20">
        <f t="shared" si="108"/>
        <v>4.2330868906469593E-12</v>
      </c>
      <c r="R143" s="59">
        <f t="shared" si="109"/>
        <v>293.33333333333752</v>
      </c>
      <c r="S143" s="59">
        <f ca="1">AVERAGE(OFFSET($R$3,0,0,'Données projet'!$E$9+1,1))-AVERAGE(OFFSET($H$3,0,0,'Données projet'!$E$9+1,1))</f>
        <v>215.77907571824977</v>
      </c>
      <c r="T143" s="59">
        <f t="shared" si="142"/>
        <v>174.69390149594869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71.019175808066407</v>
      </c>
      <c r="AA143" s="21">
        <f>EXP(-LN(2)/25)*AA142+(1-EXP(-LN(2)/25))/(LN(2)/25)*Calculateur!V143*Calculateur!X143*VLOOKUP('Données projet'!$B$9,Paramètres!$A$1:$I$89,3,0)*0.475*44/12</f>
        <v>17.732294362338948</v>
      </c>
      <c r="AB143" s="21">
        <f>EXP(-LN(2)/2)*AB142+(1-EXP(-LN(2)/2))/(LN(2)/2)*V143*Y143*VLOOKUP('Données projet'!$B$9,Paramètres!$A$1:$I$89,3,0)*0.475*44/12</f>
        <v>6.7948324345501129E-4</v>
      </c>
      <c r="AC143" s="22">
        <f t="shared" si="111"/>
        <v>88.752149653648814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-1.0197709343628959E-13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171.701352621833</v>
      </c>
      <c r="AO143" s="59">
        <f t="shared" si="144"/>
        <v>195.58435749168586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21.811255510853748</v>
      </c>
      <c r="AV143" s="21">
        <f>EXP(-LN(2)/25)*AV142+(1-EXP(-LN(2)/25))/(LN(2)/25)*Calculateur!AQ143*Calculateur!AS143*VLOOKUP('Données projet'!$B$10,Paramètres!$A$1:$I$89,3,0)*0.475*44/12</f>
        <v>4.2995236800294769</v>
      </c>
      <c r="AW143" s="21">
        <f>EXP(-LN(2)/2)*AW142+(1-EXP(-LN(2)/2))/(LN(2)/2)*AQ143*AT143*VLOOKUP('Données projet'!$B$10,Paramètres!$A$1:$I$89,3,0)*0.475*44/12</f>
        <v>8.1343252965614345E-11</v>
      </c>
      <c r="AX143" s="21">
        <f t="shared" si="114"/>
        <v>26.110779190964568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-1.1823431123048067E-13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348.29124901999882</v>
      </c>
      <c r="BJ143" s="59">
        <f t="shared" si="146"/>
        <v>284.30034973939053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66.231242791393726</v>
      </c>
      <c r="BQ143" s="21">
        <f>EXP(-LN(2)/25)*BQ142+(1-EXP(-LN(2)/25))/(LN(2)/25)*Calculateur!BL143*Calculateur!BN143*VLOOKUP('Données projet'!$B$11,Paramètres!$A$1:$I$89,3,0)*0.475*44/12</f>
        <v>14.737146238097566</v>
      </c>
      <c r="BR143" s="21">
        <f>EXP(-LN(2)/2)*BR142+(1-EXP(-LN(2)/2))/(LN(2)/2)*BL143*BO143*VLOOKUP('Données projet'!$B$11,Paramètres!$A$1:$I$89,3,0)*0.475*44/12</f>
        <v>7.857290023837227E-8</v>
      </c>
      <c r="BS143" s="22">
        <f t="shared" si="117"/>
        <v>80.968389108064187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-2.2737367544323206E-13</v>
      </c>
      <c r="BZ143" s="13">
        <f>BY143*VLOOKUP('Données projet'!$B$12,Paramètres!$A$1:$I$89,3,0)*VLOOKUP('Données projet'!$B$12,Paramètres!$A$1:$I$89,5,0)</f>
        <v>-1.3596945791505279E-13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185.82627135915504</v>
      </c>
      <c r="CE143" s="59">
        <f t="shared" si="148"/>
        <v>155.46126452522037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52.144593082505018</v>
      </c>
      <c r="CL143" s="21">
        <f>EXP(-LN(2)/25)*CL142+(1-EXP(-LN(2)/25))/(LN(2)/25)*Calculateur!CG143*Calculateur!CI143*VLOOKUP('Données projet'!$B$12,Paramètres!$A$1:$I$89,3,0)*0.475*44/12</f>
        <v>13.152194412860231</v>
      </c>
      <c r="CM143" s="21">
        <f>EXP(-LN(2)/2)*CM142+(1-EXP(-LN(2)/2))/(LN(2)/2)*CG143*CJ143*VLOOKUP('Données projet'!$B$12,Paramètres!$A$1:$I$89,3,0)*0.475*44/12</f>
        <v>1.0334280025712241E-3</v>
      </c>
      <c r="CN143" s="22">
        <f t="shared" si="120"/>
        <v>65.297820923367823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115.23076923076924</v>
      </c>
      <c r="CR143" s="12">
        <f>VLOOKUP(A143,'Données projet'!$A$139:$I$159,9,0)</f>
        <v>0.98461538461538534</v>
      </c>
      <c r="CS143" s="12">
        <f t="array" ref="CS143">INDEX(CR:CR,MIN(IF(ISNUMBER(CR143:CR339),ROW(CR143:CR339),"")))</f>
        <v>0.98461538461538534</v>
      </c>
      <c r="CT143" s="12">
        <f>IF('Données projet'!$A$140&gt;35,CT142+CS143-DB142,IF(A143&lt;'Données projet'!$A$140,$CQ$205^A143,IF(A143='Données projet'!$A$140,'Données projet'!$B$140,CT142+CS143-DB142)))</f>
        <v>115.23076923076916</v>
      </c>
      <c r="CU143" s="17">
        <f>CT143*VLOOKUP('Données projet'!$B$13,Paramètres!$A$1:$I$89,3,0)*VLOOKUP('Données projet'!$B$13,Paramètres!$A$1:$I$89,5,0)</f>
        <v>132.74584615384606</v>
      </c>
      <c r="CV143" s="13">
        <f t="shared" si="149"/>
        <v>34.630069853499791</v>
      </c>
      <c r="CW143" s="20">
        <f t="shared" si="121"/>
        <v>291.51305371279398</v>
      </c>
      <c r="CX143" s="59">
        <f t="shared" si="122"/>
        <v>584.84638704612735</v>
      </c>
      <c r="CY143" s="59">
        <f ca="1">AVERAGE(OFFSET($CX$3,0,0,'Données projet'!$E$13+1,1))-AVERAGE(OFFSET($H$3,0,0,'Données projet'!$E$13+1,1))</f>
        <v>150.78964413039063</v>
      </c>
      <c r="CZ143" s="59">
        <f t="shared" si="150"/>
        <v>131.90332435966184</v>
      </c>
      <c r="DA143" s="15">
        <f>IF(ISNA(VLOOKUP(A143,'Données projet'!$A$139:$I$159,3,0)),0,VLOOKUP(A143,'Données projet'!$A$139:$I$159,3,0))</f>
        <v>14</v>
      </c>
      <c r="DB143" s="15">
        <f>IF(ISNA(VLOOKUP(A143,'Données projet'!$A$139:$I$159,4,0)),0,VLOOKUP(A143,'Données projet'!$A$139:$I$159,4,0))</f>
        <v>9.0769230769230766</v>
      </c>
      <c r="DC143" s="16">
        <f>IF(ISNA(VLOOKUP(A143,'Données projet'!$A$139:$I$159,5,0)),0%,VLOOKUP(A143,'Données projet'!$A$139:$I$159,5,0)*VLOOKUP('Données projet'!$B$13,Paramètres!$A$1:$I$89,7,0))</f>
        <v>0.18000000000000002</v>
      </c>
      <c r="DD143" s="16">
        <f>IF(ISNA(VLOOKUP(A143,'Données projet'!$A$139:$I$159,6,0)),0%,VLOOKUP(A143,'Données projet'!$A$139:$I$159,6,0)*VLOOKUP('Données projet'!$B$13,Paramètres!$A$1:$I$89,7,0))</f>
        <v>9.0000000000000011E-2</v>
      </c>
      <c r="DE143" s="16">
        <f>IF(ISNA(VLOOKUP(A143,'Données projet'!$A$139:$I$159,7,0)),0%,VLOOKUP(A143,'Données projet'!$A$139:$I$159,7,0))</f>
        <v>0.2</v>
      </c>
      <c r="DF143" s="21">
        <f>EXP(-LN(2)/35)*DF142+(1-EXP(-LN(2)/35))/(LN(2)/35)*DB143*DC143*VLOOKUP('Données projet'!$B$13,Paramètres!$A$1:$I$89,3,0)*0.475*44/12</f>
        <v>7.8418952604894807</v>
      </c>
      <c r="DG143" s="21">
        <f>EXP(-LN(2)/25)*DG142+(1-EXP(-LN(2)/25))/(LN(2)/25)*Calculateur!DB143*Calculateur!DD143*VLOOKUP('Données projet'!$B$13,Paramètres!$A$1:$I$89,3,0)*0.475*44/12</f>
        <v>3.1616860761257986</v>
      </c>
      <c r="DH143" s="21">
        <f>EXP(-LN(2)/2)*DH142+(1-EXP(-LN(2)/2))/(LN(2)/2)*DB143*DE143*VLOOKUP('Données projet'!$B$13,Paramètres!$A$1:$I$89,3,0)*0.475*44/12</f>
        <v>1.326500267757893</v>
      </c>
      <c r="DI143" s="22">
        <f t="shared" si="123"/>
        <v>12.330081604373174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-1.4210854715202004E-14</v>
      </c>
      <c r="DP143" s="17">
        <f>DO143*VLOOKUP('Données projet'!$B$14,Paramètres!$A$1:$I$89,3,0)*VLOOKUP('Données projet'!$B$14,Paramètres!$A$1:$I$89,5,0)</f>
        <v>-1.4853185348329136E-14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110.10595934547638</v>
      </c>
      <c r="DU143" s="59">
        <f t="shared" si="152"/>
        <v>131.10971921141493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12.231757329789579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12.231757329789579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7.3375000000000012</v>
      </c>
      <c r="EJ143" s="12">
        <f>IF('Données projet'!$A$192&gt;35,EJ142+EI143-ER142,IF(A143&lt;'Données projet'!$A$192,$EG$205^A143,IF(A143='Données projet'!$A$192,'Données projet'!$B$192,EJ142+EI143-ER142)))</f>
        <v>350.56999999999988</v>
      </c>
      <c r="EK143" s="17">
        <f>EJ143*VLOOKUP('Données projet'!$B$15,Paramètres!$A$1:$I$89,3,0)*VLOOKUP('Données projet'!$B$15,Paramètres!$A$1:$I$89,5,0)</f>
        <v>355.47797999999989</v>
      </c>
      <c r="EL143" s="13">
        <f t="shared" si="153"/>
        <v>82.689462665419711</v>
      </c>
      <c r="EM143" s="20">
        <f t="shared" si="127"/>
        <v>763.14162930893906</v>
      </c>
      <c r="EN143" s="59">
        <f t="shared" si="128"/>
        <v>1056.4749626422724</v>
      </c>
      <c r="EO143" s="59">
        <f ca="1">AVERAGE(OFFSET($EN$3,0,0,'Données projet'!$E$15+1,1))-AVERAGE(OFFSET($H$3,0,0,'Données projet'!$E$15+1,1))</f>
        <v>420.38735944595965</v>
      </c>
      <c r="EP143" s="59">
        <f t="shared" si="154"/>
        <v>200.0823542414671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24.892528184495504</v>
      </c>
      <c r="EW143" s="21">
        <f>EXP(-LN(2)/25)*EW142+(1-EXP(-LN(2)/25))/(LN(2)/25)*Calculateur!ER143*Calculateur!ET143*VLOOKUP('Données projet'!$B$15,Paramètres!$A$1:$I$89,3,0)*0.475*44/12</f>
        <v>19.257439841202849</v>
      </c>
      <c r="EX143" s="21">
        <f>EXP(-LN(2)/2)*EX142+(1-EXP(-LN(2)/2))/(LN(2)/2)*ER143*EU143*VLOOKUP('Données projet'!$B$15,Paramètres!$A$1:$I$89,3,0)*0.475*44/12</f>
        <v>0.30012948203617379</v>
      </c>
      <c r="EY143" s="22">
        <f t="shared" si="129"/>
        <v>44.450097507734533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2.5579538487363607E-13</v>
      </c>
      <c r="FF143" s="17">
        <f>FE143*VLOOKUP('Données projet'!$B$16,Paramètres!$A$1:$I$89,3,0)*VLOOKUP('Données projet'!$B$16,Paramètres!$A$1:$I$89,5,0)</f>
        <v>2.7533815227798186E-13</v>
      </c>
      <c r="FG143" s="13">
        <f t="shared" si="155"/>
        <v>3.6763598146902537E-12</v>
      </c>
      <c r="FH143" s="20">
        <f t="shared" si="130"/>
        <v>6.88254062580301E-12</v>
      </c>
      <c r="FI143" s="59">
        <f t="shared" si="131"/>
        <v>293.33333333334019</v>
      </c>
      <c r="FJ143" s="59">
        <f ca="1">AVERAGE(OFFSET($FI$3,0,0,'Données projet'!$E$16+1,1))-AVERAGE(OFFSET($H$3,0,0,'Données projet'!$E$16+1,1))</f>
        <v>415.8741608506952</v>
      </c>
      <c r="FK143" s="59">
        <f t="shared" si="156"/>
        <v>259.15848913719356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110.24594100640664</v>
      </c>
      <c r="FR143" s="21">
        <f>EXP(-LN(2)/25)*FR142+(1-EXP(-LN(2)/25))/(LN(2)/25)*Calculateur!FM143*Calculateur!FO143*VLOOKUP('Données projet'!$B$16,Paramètres!$A$1:$I$89,3,0)*0.475*44/12</f>
        <v>21.224358496487341</v>
      </c>
      <c r="FS143" s="21">
        <f>EXP(-LN(2)/2)*FS142+(1-EXP(-LN(2)/2))/(LN(2)/2)*FM143*FP143*VLOOKUP('Données projet'!$B$16,Paramètres!$A$1:$I$89,3,0)*0.475*44/12</f>
        <v>0.25314530440342115</v>
      </c>
      <c r="FT143" s="22">
        <f t="shared" si="132"/>
        <v>131.7234448072974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2.5579538487363607E-13</v>
      </c>
      <c r="GA143" s="17">
        <f>FZ143*VLOOKUP('Données projet'!$B$17,Paramètres!$A$1:$I$89,3,0)*VLOOKUP('Données projet'!$B$17,Paramètres!$A$1:$I$89,5,0)</f>
        <v>2.1947244022157976E-13</v>
      </c>
      <c r="GB143" s="13">
        <f t="shared" si="157"/>
        <v>3.0088145886933343E-12</v>
      </c>
      <c r="GC143" s="20">
        <f t="shared" si="133"/>
        <v>5.6225999086934742E-12</v>
      </c>
      <c r="GD143" s="59">
        <f t="shared" si="134"/>
        <v>293.33333333333894</v>
      </c>
      <c r="GE143" s="59">
        <f ca="1">AVERAGE(OFFSET($GD$3,0,0,'Données projet'!$E$17+1,1))-AVERAGE(OFFSET($H$3,0,0,'Données projet'!$E$17+1,1))</f>
        <v>322.39807389980882</v>
      </c>
      <c r="GF143" s="59">
        <f t="shared" si="158"/>
        <v>202.59410055732792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108.313757341987</v>
      </c>
      <c r="GM143" s="21">
        <f>EXP(-LN(2)/25)*GM142+(1-EXP(-LN(2)/25))/(LN(2)/25)*Calculateur!GH143*Calculateur!GJ143*VLOOKUP('Données projet'!$B$17,Paramètres!$A$1:$I$89,3,0)*0.475*44/12</f>
        <v>20.852377828534078</v>
      </c>
      <c r="GN143" s="21">
        <f>EXP(-LN(2)/2)*GN142+(1-EXP(-LN(2)/2))/(LN(2)/2)*GH143*GK143*VLOOKUP('Données projet'!$B$17,Paramètres!$A$1:$I$89,3,0)*0.475*44/12</f>
        <v>0.20178248901721996</v>
      </c>
      <c r="GO143" s="21">
        <f t="shared" si="135"/>
        <v>129.36791765953831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51.690599999999833</v>
      </c>
      <c r="D144" s="11">
        <f t="shared" si="140"/>
        <v>15.049515930540515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515.18685981469753</v>
      </c>
      <c r="H144" s="67">
        <f t="shared" si="110"/>
        <v>409.57236857902444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1.5961632016114892E-13</v>
      </c>
      <c r="P144" s="13">
        <f t="shared" si="141"/>
        <v>2.2708641912150958E-12</v>
      </c>
      <c r="Q144" s="20">
        <f t="shared" si="108"/>
        <v>4.2330868906469593E-12</v>
      </c>
      <c r="R144" s="59">
        <f t="shared" si="109"/>
        <v>293.33333333333752</v>
      </c>
      <c r="S144" s="59">
        <f ca="1">AVERAGE(OFFSET($R$3,0,0,'Données projet'!$E$9+1,1))-AVERAGE(OFFSET($H$3,0,0,'Données projet'!$E$9+1,1))</f>
        <v>215.77907571824977</v>
      </c>
      <c r="T144" s="59">
        <f t="shared" si="142"/>
        <v>174.69390149594869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69.626533087890223</v>
      </c>
      <c r="AA144" s="21">
        <f>EXP(-LN(2)/25)*AA143+(1-EXP(-LN(2)/25))/(LN(2)/25)*Calculateur!V144*Calculateur!X144*VLOOKUP('Données projet'!$B$9,Paramètres!$A$1:$I$89,3,0)*0.475*44/12</f>
        <v>17.247403840499956</v>
      </c>
      <c r="AB144" s="21">
        <f>EXP(-LN(2)/2)*AB143+(1-EXP(-LN(2)/2))/(LN(2)/2)*V144*Y144*VLOOKUP('Données projet'!$B$9,Paramètres!$A$1:$I$89,3,0)*0.475*44/12</f>
        <v>4.8046720914966828E-4</v>
      </c>
      <c r="AC144" s="22">
        <f t="shared" si="111"/>
        <v>86.874417395599323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-1.0197709343628959E-13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171.701352621833</v>
      </c>
      <c r="AO144" s="59">
        <f t="shared" si="144"/>
        <v>195.58435749168586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21.383550093838149</v>
      </c>
      <c r="AV144" s="21">
        <f>EXP(-LN(2)/25)*AV143+(1-EXP(-LN(2)/25))/(LN(2)/25)*Calculateur!AQ144*Calculateur!AS144*VLOOKUP('Données projet'!$B$10,Paramètres!$A$1:$I$89,3,0)*0.475*44/12</f>
        <v>4.1819529788969474</v>
      </c>
      <c r="AW144" s="21">
        <f>EXP(-LN(2)/2)*AW143+(1-EXP(-LN(2)/2))/(LN(2)/2)*AQ144*AT144*VLOOKUP('Données projet'!$B$10,Paramètres!$A$1:$I$89,3,0)*0.475*44/12</f>
        <v>5.751836577575865E-11</v>
      </c>
      <c r="AX144" s="21">
        <f t="shared" si="114"/>
        <v>25.565503072792616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-1.1823431123048067E-13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348.29124901999882</v>
      </c>
      <c r="BJ144" s="59">
        <f t="shared" si="146"/>
        <v>284.30034973939053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64.932488517323719</v>
      </c>
      <c r="BQ144" s="21">
        <f>EXP(-LN(2)/25)*BQ143+(1-EXP(-LN(2)/25))/(LN(2)/25)*Calculateur!BL144*Calculateur!BN144*VLOOKUP('Données projet'!$B$11,Paramètres!$A$1:$I$89,3,0)*0.475*44/12</f>
        <v>14.33415819922395</v>
      </c>
      <c r="BR144" s="21">
        <f>EXP(-LN(2)/2)*BR143+(1-EXP(-LN(2)/2))/(LN(2)/2)*BL144*BO144*VLOOKUP('Données projet'!$B$11,Paramètres!$A$1:$I$89,3,0)*0.475*44/12</f>
        <v>5.5559430576047129E-8</v>
      </c>
      <c r="BS144" s="22">
        <f t="shared" si="117"/>
        <v>79.266646772107094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-2.2737367544323206E-13</v>
      </c>
      <c r="BZ144" s="13">
        <f>BY144*VLOOKUP('Données projet'!$B$12,Paramètres!$A$1:$I$89,3,0)*VLOOKUP('Données projet'!$B$12,Paramètres!$A$1:$I$89,5,0)</f>
        <v>-1.3596945791505279E-13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185.82627135915504</v>
      </c>
      <c r="CE144" s="59">
        <f t="shared" si="148"/>
        <v>155.46126452522037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51.122069417218384</v>
      </c>
      <c r="CL144" s="21">
        <f>EXP(-LN(2)/25)*CL143+(1-EXP(-LN(2)/25))/(LN(2)/25)*Calculateur!CG144*Calculateur!CI144*VLOOKUP('Données projet'!$B$12,Paramètres!$A$1:$I$89,3,0)*0.475*44/12</f>
        <v>12.792546964996724</v>
      </c>
      <c r="CM144" s="21">
        <f>EXP(-LN(2)/2)*CM143+(1-EXP(-LN(2)/2))/(LN(2)/2)*CG144*CJ144*VLOOKUP('Données projet'!$B$12,Paramètres!$A$1:$I$89,3,0)*0.475*44/12</f>
        <v>7.3074394848618148E-4</v>
      </c>
      <c r="CN144" s="22">
        <f t="shared" si="120"/>
        <v>63.915347126163596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0.91538461538461458</v>
      </c>
      <c r="CT144" s="12">
        <f>IF('Données projet'!$A$140&gt;35,CT143+CS144-DB143,IF(A144&lt;'Données projet'!$A$140,$CQ$205^A144,IF(A144='Données projet'!$A$140,'Données projet'!$B$140,CT143+CS144-DB143)))</f>
        <v>107.06923076923069</v>
      </c>
      <c r="CU144" s="17">
        <f>CT144*VLOOKUP('Données projet'!$B$13,Paramètres!$A$1:$I$89,3,0)*VLOOKUP('Données projet'!$B$13,Paramètres!$A$1:$I$89,5,0)</f>
        <v>123.34375384615373</v>
      </c>
      <c r="CV144" s="13">
        <f t="shared" si="149"/>
        <v>32.453623152093193</v>
      </c>
      <c r="CW144" s="20">
        <f t="shared" si="121"/>
        <v>271.34709827194672</v>
      </c>
      <c r="CX144" s="59">
        <f t="shared" si="122"/>
        <v>564.68043160528009</v>
      </c>
      <c r="CY144" s="59">
        <f ca="1">AVERAGE(OFFSET($CX$3,0,0,'Données projet'!$E$13+1,1))-AVERAGE(OFFSET($H$3,0,0,'Données projet'!$E$13+1,1))</f>
        <v>150.78964413039063</v>
      </c>
      <c r="CZ144" s="59">
        <f t="shared" si="150"/>
        <v>131.90332435966184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7.6881204775151009</v>
      </c>
      <c r="DG144" s="21">
        <f>EXP(-LN(2)/25)*DG143+(1-EXP(-LN(2)/25))/(LN(2)/25)*Calculateur!DB144*Calculateur!DD144*VLOOKUP('Données projet'!$B$13,Paramètres!$A$1:$I$89,3,0)*0.475*44/12</f>
        <v>3.0752296041082938</v>
      </c>
      <c r="DH144" s="21">
        <f>EXP(-LN(2)/2)*DH143+(1-EXP(-LN(2)/2))/(LN(2)/2)*DB144*DE144*VLOOKUP('Données projet'!$B$13,Paramètres!$A$1:$I$89,3,0)*0.475*44/12</f>
        <v>0.9379773345773772</v>
      </c>
      <c r="DI144" s="22">
        <f t="shared" si="123"/>
        <v>11.701327416200773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-1.4210854715202004E-14</v>
      </c>
      <c r="DP144" s="17">
        <f>DO144*VLOOKUP('Données projet'!$B$14,Paramètres!$A$1:$I$89,3,0)*VLOOKUP('Données projet'!$B$14,Paramètres!$A$1:$I$89,5,0)</f>
        <v>-1.4853185348329136E-14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110.10595934547638</v>
      </c>
      <c r="DU144" s="59">
        <f t="shared" si="152"/>
        <v>131.10971921141493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11.897279282366322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11.897279282366322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7.3375000000000012</v>
      </c>
      <c r="EJ144" s="12">
        <f>IF('Données projet'!$A$192&gt;35,EJ143+EI144-ER143,IF(A144&lt;'Données projet'!$A$192,$EG$205^A144,IF(A144='Données projet'!$A$192,'Données projet'!$B$192,EJ143+EI144-ER143)))</f>
        <v>357.90749999999986</v>
      </c>
      <c r="EK144" s="17">
        <f>EJ144*VLOOKUP('Données projet'!$B$15,Paramètres!$A$1:$I$89,3,0)*VLOOKUP('Données projet'!$B$15,Paramètres!$A$1:$I$89,5,0)</f>
        <v>362.91820499999989</v>
      </c>
      <c r="EL144" s="13">
        <f t="shared" si="153"/>
        <v>84.216866829050204</v>
      </c>
      <c r="EM144" s="20">
        <f t="shared" si="127"/>
        <v>778.76025010226238</v>
      </c>
      <c r="EN144" s="59">
        <f t="shared" si="128"/>
        <v>1072.0935834355957</v>
      </c>
      <c r="EO144" s="59">
        <f ca="1">AVERAGE(OFFSET($EN$3,0,0,'Données projet'!$E$15+1,1))-AVERAGE(OFFSET($H$3,0,0,'Données projet'!$E$15+1,1))</f>
        <v>420.38735944595965</v>
      </c>
      <c r="EP144" s="59">
        <f t="shared" si="154"/>
        <v>200.0823542414671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24.404400889740547</v>
      </c>
      <c r="EW144" s="21">
        <f>EXP(-LN(2)/25)*EW143+(1-EXP(-LN(2)/25))/(LN(2)/25)*Calculateur!ER144*Calculateur!ET144*VLOOKUP('Données projet'!$B$15,Paramètres!$A$1:$I$89,3,0)*0.475*44/12</f>
        <v>18.73084413604041</v>
      </c>
      <c r="EX144" s="21">
        <f>EXP(-LN(2)/2)*EX143+(1-EXP(-LN(2)/2))/(LN(2)/2)*ER144*EU144*VLOOKUP('Données projet'!$B$15,Paramètres!$A$1:$I$89,3,0)*0.475*44/12</f>
        <v>0.21222359198178459</v>
      </c>
      <c r="EY144" s="22">
        <f t="shared" si="129"/>
        <v>43.347468617762743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2.5579538487363607E-13</v>
      </c>
      <c r="FF144" s="17">
        <f>FE144*VLOOKUP('Données projet'!$B$16,Paramètres!$A$1:$I$89,3,0)*VLOOKUP('Données projet'!$B$16,Paramètres!$A$1:$I$89,5,0)</f>
        <v>2.7533815227798186E-13</v>
      </c>
      <c r="FG144" s="13">
        <f t="shared" si="155"/>
        <v>3.6763598146902537E-12</v>
      </c>
      <c r="FH144" s="20">
        <f t="shared" si="130"/>
        <v>6.88254062580301E-12</v>
      </c>
      <c r="FI144" s="59">
        <f t="shared" si="131"/>
        <v>293.33333333334019</v>
      </c>
      <c r="FJ144" s="59">
        <f ca="1">AVERAGE(OFFSET($FI$3,0,0,'Données projet'!$E$16+1,1))-AVERAGE(OFFSET($H$3,0,0,'Données projet'!$E$16+1,1))</f>
        <v>415.8741608506952</v>
      </c>
      <c r="FK144" s="59">
        <f t="shared" si="156"/>
        <v>259.15848913719356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108.08408534665529</v>
      </c>
      <c r="FR144" s="21">
        <f>EXP(-LN(2)/25)*FR143+(1-EXP(-LN(2)/25))/(LN(2)/25)*Calculateur!FM144*Calculateur!FO144*VLOOKUP('Données projet'!$B$16,Paramètres!$A$1:$I$89,3,0)*0.475*44/12</f>
        <v>20.643977297260388</v>
      </c>
      <c r="FS144" s="21">
        <f>EXP(-LN(2)/2)*FS143+(1-EXP(-LN(2)/2))/(LN(2)/2)*FM144*FP144*VLOOKUP('Données projet'!$B$16,Paramètres!$A$1:$I$89,3,0)*0.475*44/12</f>
        <v>0.17900076136919188</v>
      </c>
      <c r="FT144" s="22">
        <f t="shared" si="132"/>
        <v>128.90706340528487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2.5579538487363607E-13</v>
      </c>
      <c r="GA144" s="17">
        <f>FZ144*VLOOKUP('Données projet'!$B$17,Paramètres!$A$1:$I$89,3,0)*VLOOKUP('Données projet'!$B$17,Paramètres!$A$1:$I$89,5,0)</f>
        <v>2.1947244022157976E-13</v>
      </c>
      <c r="GB144" s="13">
        <f t="shared" si="157"/>
        <v>3.0088145886933343E-12</v>
      </c>
      <c r="GC144" s="20">
        <f t="shared" si="133"/>
        <v>5.6225999086934742E-12</v>
      </c>
      <c r="GD144" s="59">
        <f t="shared" si="134"/>
        <v>293.33333333333894</v>
      </c>
      <c r="GE144" s="59">
        <f ca="1">AVERAGE(OFFSET($GD$3,0,0,'Données projet'!$E$17+1,1))-AVERAGE(OFFSET($H$3,0,0,'Données projet'!$E$17+1,1))</f>
        <v>322.39807389980882</v>
      </c>
      <c r="GF144" s="59">
        <f t="shared" si="158"/>
        <v>202.59410055732792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106.18979062537925</v>
      </c>
      <c r="GM144" s="21">
        <f>EXP(-LN(2)/25)*GM143+(1-EXP(-LN(2)/25))/(LN(2)/25)*Calculateur!GH144*Calculateur!GJ144*VLOOKUP('Données projet'!$B$17,Paramètres!$A$1:$I$89,3,0)*0.475*44/12</f>
        <v>20.282168460233923</v>
      </c>
      <c r="GN144" s="21">
        <f>EXP(-LN(2)/2)*GN143+(1-EXP(-LN(2)/2))/(LN(2)/2)*GH144*GK144*VLOOKUP('Données projet'!$B$17,Paramètres!$A$1:$I$89,3,0)*0.475*44/12</f>
        <v>0.1426817663087763</v>
      </c>
      <c r="GO144" s="21">
        <f t="shared" si="135"/>
        <v>126.61464085192195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52.057199999999831</v>
      </c>
      <c r="D145" s="11">
        <f t="shared" si="140"/>
        <v>15.14378740464754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518.74446417622539</v>
      </c>
      <c r="H145" s="67">
        <f t="shared" si="110"/>
        <v>410.37505306309413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1.5961632016114892E-13</v>
      </c>
      <c r="P145" s="13">
        <f t="shared" si="141"/>
        <v>2.2708641912150958E-12</v>
      </c>
      <c r="Q145" s="20">
        <f t="shared" si="108"/>
        <v>4.2330868906469593E-12</v>
      </c>
      <c r="R145" s="59">
        <f t="shared" si="109"/>
        <v>293.33333333333752</v>
      </c>
      <c r="S145" s="59">
        <f ca="1">AVERAGE(OFFSET($R$3,0,0,'Données projet'!$E$9+1,1))-AVERAGE(OFFSET($H$3,0,0,'Données projet'!$E$9+1,1))</f>
        <v>215.77907571824977</v>
      </c>
      <c r="T145" s="59">
        <f t="shared" si="142"/>
        <v>174.69390149594869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68.261199242028511</v>
      </c>
      <c r="AA145" s="21">
        <f>EXP(-LN(2)/25)*AA144+(1-EXP(-LN(2)/25))/(LN(2)/25)*Calculateur!V145*Calculateur!X145*VLOOKUP('Données projet'!$B$9,Paramètres!$A$1:$I$89,3,0)*0.475*44/12</f>
        <v>16.775772675479935</v>
      </c>
      <c r="AB145" s="21">
        <f>EXP(-LN(2)/2)*AB144+(1-EXP(-LN(2)/2))/(LN(2)/2)*V145*Y145*VLOOKUP('Données projet'!$B$9,Paramètres!$A$1:$I$89,3,0)*0.475*44/12</f>
        <v>3.397416217275057E-4</v>
      </c>
      <c r="AC145" s="22">
        <f t="shared" si="111"/>
        <v>85.037311659130182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-1.0197709343628959E-13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171.701352621833</v>
      </c>
      <c r="AO145" s="59">
        <f t="shared" si="144"/>
        <v>195.58435749168586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20.964231719175682</v>
      </c>
      <c r="AV145" s="21">
        <f>EXP(-LN(2)/25)*AV144+(1-EXP(-LN(2)/25))/(LN(2)/25)*Calculateur!AQ145*Calculateur!AS145*VLOOKUP('Données projet'!$B$10,Paramètres!$A$1:$I$89,3,0)*0.475*44/12</f>
        <v>4.0675972547696615</v>
      </c>
      <c r="AW145" s="21">
        <f>EXP(-LN(2)/2)*AW144+(1-EXP(-LN(2)/2))/(LN(2)/2)*AQ145*AT145*VLOOKUP('Données projet'!$B$10,Paramètres!$A$1:$I$89,3,0)*0.475*44/12</f>
        <v>4.0671626482807179E-11</v>
      </c>
      <c r="AX145" s="21">
        <f t="shared" si="114"/>
        <v>25.031828973986016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-1.1823431123048067E-13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348.29124901999882</v>
      </c>
      <c r="BJ145" s="59">
        <f t="shared" si="146"/>
        <v>284.30034973939053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63.659202022406333</v>
      </c>
      <c r="BQ145" s="21">
        <f>EXP(-LN(2)/25)*BQ144+(1-EXP(-LN(2)/25))/(LN(2)/25)*Calculateur!BL145*Calculateur!BN145*VLOOKUP('Données projet'!$B$11,Paramètres!$A$1:$I$89,3,0)*0.475*44/12</f>
        <v>13.942189889465553</v>
      </c>
      <c r="BR145" s="21">
        <f>EXP(-LN(2)/2)*BR144+(1-EXP(-LN(2)/2))/(LN(2)/2)*BL145*BO145*VLOOKUP('Données projet'!$B$11,Paramètres!$A$1:$I$89,3,0)*0.475*44/12</f>
        <v>3.9286450119186135E-8</v>
      </c>
      <c r="BS145" s="22">
        <f t="shared" si="117"/>
        <v>77.601391951158334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-2.2737367544323206E-13</v>
      </c>
      <c r="BZ145" s="13">
        <f>BY145*VLOOKUP('Données projet'!$B$12,Paramètres!$A$1:$I$89,3,0)*VLOOKUP('Données projet'!$B$12,Paramètres!$A$1:$I$89,5,0)</f>
        <v>-1.3596945791505279E-13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185.82627135915504</v>
      </c>
      <c r="CE145" s="59">
        <f t="shared" si="148"/>
        <v>155.46126452522037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50.119596817330169</v>
      </c>
      <c r="CL145" s="21">
        <f>EXP(-LN(2)/25)*CL144+(1-EXP(-LN(2)/25))/(LN(2)/25)*Calculateur!CG145*Calculateur!CI145*VLOOKUP('Données projet'!$B$12,Paramètres!$A$1:$I$89,3,0)*0.475*44/12</f>
        <v>12.442734095508081</v>
      </c>
      <c r="CM145" s="21">
        <f>EXP(-LN(2)/2)*CM144+(1-EXP(-LN(2)/2))/(LN(2)/2)*CG145*CJ145*VLOOKUP('Données projet'!$B$12,Paramètres!$A$1:$I$89,3,0)*0.475*44/12</f>
        <v>5.1671400128561207E-4</v>
      </c>
      <c r="CN145" s="22">
        <f t="shared" si="120"/>
        <v>62.562847626839535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0.91538461538461458</v>
      </c>
      <c r="CT145" s="12">
        <f>IF('Données projet'!$A$140&gt;35,CT144+CS145-DB144,IF(A145&lt;'Données projet'!$A$140,$CQ$205^A145,IF(A145='Données projet'!$A$140,'Données projet'!$B$140,CT144+CS145-DB144)))</f>
        <v>107.9846153846153</v>
      </c>
      <c r="CU145" s="17">
        <f>CT145*VLOOKUP('Données projet'!$B$13,Paramètres!$A$1:$I$89,3,0)*VLOOKUP('Données projet'!$B$13,Paramètres!$A$1:$I$89,5,0)</f>
        <v>124.39827692307681</v>
      </c>
      <c r="CV145" s="13">
        <f t="shared" si="149"/>
        <v>32.698666184297018</v>
      </c>
      <c r="CW145" s="20">
        <f t="shared" si="121"/>
        <v>273.61050924534271</v>
      </c>
      <c r="CX145" s="59">
        <f t="shared" si="122"/>
        <v>566.94384257867603</v>
      </c>
      <c r="CY145" s="59">
        <f ca="1">AVERAGE(OFFSET($CX$3,0,0,'Données projet'!$E$13+1,1))-AVERAGE(OFFSET($H$3,0,0,'Données projet'!$E$13+1,1))</f>
        <v>150.78964413039063</v>
      </c>
      <c r="CZ145" s="59">
        <f t="shared" si="150"/>
        <v>131.90332435966184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7.5373611242414924</v>
      </c>
      <c r="DG145" s="21">
        <f>EXP(-LN(2)/25)*DG144+(1-EXP(-LN(2)/25))/(LN(2)/25)*Calculateur!DB145*Calculateur!DD145*VLOOKUP('Données projet'!$B$13,Paramètres!$A$1:$I$89,3,0)*0.475*44/12</f>
        <v>2.9911372888646564</v>
      </c>
      <c r="DH145" s="21">
        <f>EXP(-LN(2)/2)*DH144+(1-EXP(-LN(2)/2))/(LN(2)/2)*DB145*DE145*VLOOKUP('Données projet'!$B$13,Paramètres!$A$1:$I$89,3,0)*0.475*44/12</f>
        <v>0.6632501338789466</v>
      </c>
      <c r="DI145" s="22">
        <f t="shared" si="123"/>
        <v>11.191748546985096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-1.4210854715202004E-14</v>
      </c>
      <c r="DP145" s="17">
        <f>DO145*VLOOKUP('Données projet'!$B$14,Paramètres!$A$1:$I$89,3,0)*VLOOKUP('Données projet'!$B$14,Paramètres!$A$1:$I$89,5,0)</f>
        <v>-1.4853185348329136E-14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110.10595934547638</v>
      </c>
      <c r="DU145" s="59">
        <f t="shared" si="152"/>
        <v>131.10971921141493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11.571947554739289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11.571947554739289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7.3375000000000012</v>
      </c>
      <c r="EJ145" s="12">
        <f>IF('Données projet'!$A$192&gt;35,EJ144+EI145-ER144,IF(A145&lt;'Données projet'!$A$192,$EG$205^A145,IF(A145='Données projet'!$A$192,'Données projet'!$B$192,EJ144+EI145-ER144)))</f>
        <v>365.24499999999983</v>
      </c>
      <c r="EK145" s="17">
        <f>EJ145*VLOOKUP('Données projet'!$B$15,Paramètres!$A$1:$I$89,3,0)*VLOOKUP('Données projet'!$B$15,Paramètres!$A$1:$I$89,5,0)</f>
        <v>370.35842999999988</v>
      </c>
      <c r="EL145" s="13">
        <f t="shared" si="153"/>
        <v>85.740630179938449</v>
      </c>
      <c r="EM145" s="20">
        <f t="shared" si="127"/>
        <v>794.37252981339236</v>
      </c>
      <c r="EN145" s="59">
        <f t="shared" si="128"/>
        <v>1087.7058631467257</v>
      </c>
      <c r="EO145" s="59">
        <f ca="1">AVERAGE(OFFSET($EN$3,0,0,'Données projet'!$E$15+1,1))-AVERAGE(OFFSET($H$3,0,0,'Données projet'!$E$15+1,1))</f>
        <v>420.38735944595965</v>
      </c>
      <c r="EP145" s="59">
        <f t="shared" si="154"/>
        <v>200.0823542414671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23.925845473507486</v>
      </c>
      <c r="EW145" s="21">
        <f>EXP(-LN(2)/25)*EW144+(1-EXP(-LN(2)/25))/(LN(2)/25)*Calculateur!ER145*Calculateur!ET145*VLOOKUP('Données projet'!$B$15,Paramètres!$A$1:$I$89,3,0)*0.475*44/12</f>
        <v>18.218648218128102</v>
      </c>
      <c r="EX145" s="21">
        <f>EXP(-LN(2)/2)*EX144+(1-EXP(-LN(2)/2))/(LN(2)/2)*ER145*EU145*VLOOKUP('Données projet'!$B$15,Paramètres!$A$1:$I$89,3,0)*0.475*44/12</f>
        <v>0.15006474101808689</v>
      </c>
      <c r="EY145" s="22">
        <f t="shared" si="129"/>
        <v>42.294558432653673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2.5579538487363607E-13</v>
      </c>
      <c r="FF145" s="17">
        <f>FE145*VLOOKUP('Données projet'!$B$16,Paramètres!$A$1:$I$89,3,0)*VLOOKUP('Données projet'!$B$16,Paramètres!$A$1:$I$89,5,0)</f>
        <v>2.7533815227798186E-13</v>
      </c>
      <c r="FG145" s="13">
        <f t="shared" si="155"/>
        <v>3.6763598146902537E-12</v>
      </c>
      <c r="FH145" s="20">
        <f t="shared" si="130"/>
        <v>6.88254062580301E-12</v>
      </c>
      <c r="FI145" s="59">
        <f t="shared" si="131"/>
        <v>293.33333333334019</v>
      </c>
      <c r="FJ145" s="59">
        <f ca="1">AVERAGE(OFFSET($FI$3,0,0,'Données projet'!$E$16+1,1))-AVERAGE(OFFSET($H$3,0,0,'Données projet'!$E$16+1,1))</f>
        <v>415.8741608506952</v>
      </c>
      <c r="FK145" s="59">
        <f t="shared" si="156"/>
        <v>259.15848913719356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105.96462235778991</v>
      </c>
      <c r="FR145" s="21">
        <f>EXP(-LN(2)/25)*FR144+(1-EXP(-LN(2)/25))/(LN(2)/25)*Calculateur!FM145*Calculateur!FO145*VLOOKUP('Données projet'!$B$16,Paramètres!$A$1:$I$89,3,0)*0.475*44/12</f>
        <v>20.07946665244722</v>
      </c>
      <c r="FS145" s="21">
        <f>EXP(-LN(2)/2)*FS144+(1-EXP(-LN(2)/2))/(LN(2)/2)*FM145*FP145*VLOOKUP('Données projet'!$B$16,Paramètres!$A$1:$I$89,3,0)*0.475*44/12</f>
        <v>0.12657265220171057</v>
      </c>
      <c r="FT145" s="22">
        <f t="shared" si="132"/>
        <v>126.17066166243885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2.5579538487363607E-13</v>
      </c>
      <c r="GA145" s="17">
        <f>FZ145*VLOOKUP('Données projet'!$B$17,Paramètres!$A$1:$I$89,3,0)*VLOOKUP('Données projet'!$B$17,Paramètres!$A$1:$I$89,5,0)</f>
        <v>2.1947244022157976E-13</v>
      </c>
      <c r="GB145" s="13">
        <f t="shared" si="157"/>
        <v>3.0088145886933343E-12</v>
      </c>
      <c r="GC145" s="20">
        <f t="shared" si="133"/>
        <v>5.6225999086934742E-12</v>
      </c>
      <c r="GD145" s="59">
        <f t="shared" si="134"/>
        <v>293.33333333333894</v>
      </c>
      <c r="GE145" s="59">
        <f ca="1">AVERAGE(OFFSET($GD$3,0,0,'Données projet'!$E$17+1,1))-AVERAGE(OFFSET($H$3,0,0,'Données projet'!$E$17+1,1))</f>
        <v>322.39807389980882</v>
      </c>
      <c r="GF145" s="59">
        <f t="shared" si="158"/>
        <v>202.59410055732792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104.1074736005924</v>
      </c>
      <c r="GM145" s="21">
        <f>EXP(-LN(2)/25)*GM144+(1-EXP(-LN(2)/25))/(LN(2)/25)*Calculateur!GH145*Calculateur!GJ145*VLOOKUP('Données projet'!$B$17,Paramètres!$A$1:$I$89,3,0)*0.475*44/12</f>
        <v>19.727551497095941</v>
      </c>
      <c r="GN145" s="21">
        <f>EXP(-LN(2)/2)*GN144+(1-EXP(-LN(2)/2))/(LN(2)/2)*GH145*GK145*VLOOKUP('Données projet'!$B$17,Paramètres!$A$1:$I$89,3,0)*0.475*44/12</f>
        <v>0.10089124450860999</v>
      </c>
      <c r="GO145" s="21">
        <f t="shared" si="135"/>
        <v>123.93591634219696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52.423799999999829</v>
      </c>
      <c r="D146" s="11">
        <f t="shared" si="140"/>
        <v>15.237981633689431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522.30147226005738</v>
      </c>
      <c r="H146" s="67">
        <f t="shared" si="110"/>
        <v>411.17760301200877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1.5961632016114892E-13</v>
      </c>
      <c r="P146" s="13">
        <f t="shared" si="141"/>
        <v>2.2708641912150958E-12</v>
      </c>
      <c r="Q146" s="20">
        <f t="shared" si="108"/>
        <v>4.2330868906469593E-12</v>
      </c>
      <c r="R146" s="59">
        <f t="shared" si="109"/>
        <v>293.33333333333752</v>
      </c>
      <c r="S146" s="59">
        <f ca="1">AVERAGE(OFFSET($R$3,0,0,'Données projet'!$E$9+1,1))-AVERAGE(OFFSET($H$3,0,0,'Données projet'!$E$9+1,1))</f>
        <v>215.77907571824977</v>
      </c>
      <c r="T146" s="59">
        <f t="shared" si="142"/>
        <v>174.69390149594869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66.922638760112733</v>
      </c>
      <c r="AA146" s="21">
        <f>EXP(-LN(2)/25)*AA145+(1-EXP(-LN(2)/25))/(LN(2)/25)*Calculateur!V146*Calculateur!X146*VLOOKUP('Données projet'!$B$9,Paramètres!$A$1:$I$89,3,0)*0.475*44/12</f>
        <v>16.317038289469394</v>
      </c>
      <c r="AB146" s="21">
        <f>EXP(-LN(2)/2)*AB145+(1-EXP(-LN(2)/2))/(LN(2)/2)*V146*Y146*VLOOKUP('Données projet'!$B$9,Paramètres!$A$1:$I$89,3,0)*0.475*44/12</f>
        <v>2.4023360457483419E-4</v>
      </c>
      <c r="AC146" s="22">
        <f t="shared" si="111"/>
        <v>83.239917283186699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-1.0197709343628959E-13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171.701352621833</v>
      </c>
      <c r="AO146" s="59">
        <f t="shared" si="144"/>
        <v>195.58435749168586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20.553135922081392</v>
      </c>
      <c r="AV146" s="21">
        <f>EXP(-LN(2)/25)*AV145+(1-EXP(-LN(2)/25))/(LN(2)/25)*Calculateur!AQ146*Calculateur!AS146*VLOOKUP('Données projet'!$B$10,Paramètres!$A$1:$I$89,3,0)*0.475*44/12</f>
        <v>3.9563685939323423</v>
      </c>
      <c r="AW146" s="21">
        <f>EXP(-LN(2)/2)*AW145+(1-EXP(-LN(2)/2))/(LN(2)/2)*AQ146*AT146*VLOOKUP('Données projet'!$B$10,Paramètres!$A$1:$I$89,3,0)*0.475*44/12</f>
        <v>2.8759182887879328E-11</v>
      </c>
      <c r="AX146" s="21">
        <f t="shared" si="114"/>
        <v>24.509504516042494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-1.1823431123048067E-13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348.29124901999882</v>
      </c>
      <c r="BJ146" s="59">
        <f t="shared" si="146"/>
        <v>284.30034973939053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62.410883899026203</v>
      </c>
      <c r="BQ146" s="21">
        <f>EXP(-LN(2)/25)*BQ145+(1-EXP(-LN(2)/25))/(LN(2)/25)*Calculateur!BL146*Calculateur!BN146*VLOOKUP('Données projet'!$B$11,Paramètres!$A$1:$I$89,3,0)*0.475*44/12</f>
        <v>13.560939973750216</v>
      </c>
      <c r="BR146" s="21">
        <f>EXP(-LN(2)/2)*BR145+(1-EXP(-LN(2)/2))/(LN(2)/2)*BL146*BO146*VLOOKUP('Données projet'!$B$11,Paramètres!$A$1:$I$89,3,0)*0.475*44/12</f>
        <v>2.7779715288023564E-8</v>
      </c>
      <c r="BS146" s="22">
        <f t="shared" si="117"/>
        <v>75.971823900556132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-2.2737367544323206E-13</v>
      </c>
      <c r="BZ146" s="13">
        <f>BY146*VLOOKUP('Données projet'!$B$12,Paramètres!$A$1:$I$89,3,0)*VLOOKUP('Données projet'!$B$12,Paramètres!$A$1:$I$89,5,0)</f>
        <v>-1.3596945791505279E-13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185.82627135915504</v>
      </c>
      <c r="CE146" s="59">
        <f t="shared" si="148"/>
        <v>155.46126452522037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49.136782093677851</v>
      </c>
      <c r="CL146" s="21">
        <f>EXP(-LN(2)/25)*CL145+(1-EXP(-LN(2)/25))/(LN(2)/25)*Calculateur!CG146*Calculateur!CI146*VLOOKUP('Données projet'!$B$12,Paramètres!$A$1:$I$89,3,0)*0.475*44/12</f>
        <v>12.102486877331465</v>
      </c>
      <c r="CM146" s="21">
        <f>EXP(-LN(2)/2)*CM145+(1-EXP(-LN(2)/2))/(LN(2)/2)*CG146*CJ146*VLOOKUP('Données projet'!$B$12,Paramètres!$A$1:$I$89,3,0)*0.475*44/12</f>
        <v>3.6537197424309074E-4</v>
      </c>
      <c r="CN146" s="22">
        <f t="shared" si="120"/>
        <v>61.239634342983557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0.91538461538461458</v>
      </c>
      <c r="CT146" s="12">
        <f>IF('Données projet'!$A$140&gt;35,CT145+CS146-DB145,IF(A146&lt;'Données projet'!$A$140,$CQ$205^A146,IF(A146='Données projet'!$A$140,'Données projet'!$B$140,CT145+CS146-DB145)))</f>
        <v>108.89999999999991</v>
      </c>
      <c r="CU146" s="17">
        <f>CT146*VLOOKUP('Données projet'!$B$13,Paramètres!$A$1:$I$89,3,0)*VLOOKUP('Données projet'!$B$13,Paramètres!$A$1:$I$89,5,0)</f>
        <v>125.45279999999988</v>
      </c>
      <c r="CV146" s="13">
        <f t="shared" si="149"/>
        <v>32.943467543398782</v>
      </c>
      <c r="CW146" s="20">
        <f t="shared" si="121"/>
        <v>275.87349930475267</v>
      </c>
      <c r="CX146" s="59">
        <f t="shared" si="122"/>
        <v>569.20683263808598</v>
      </c>
      <c r="CY146" s="59">
        <f ca="1">AVERAGE(OFFSET($CX$3,0,0,'Données projet'!$E$13+1,1))-AVERAGE(OFFSET($H$3,0,0,'Données projet'!$E$13+1,1))</f>
        <v>150.78964413039063</v>
      </c>
      <c r="CZ146" s="59">
        <f t="shared" si="150"/>
        <v>131.90332435966184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7.3895580699314536</v>
      </c>
      <c r="DG146" s="21">
        <f>EXP(-LN(2)/25)*DG145+(1-EXP(-LN(2)/25))/(LN(2)/25)*Calculateur!DB146*Calculateur!DD146*VLOOKUP('Données projet'!$B$13,Paramètres!$A$1:$I$89,3,0)*0.475*44/12</f>
        <v>2.9093444824035788</v>
      </c>
      <c r="DH146" s="21">
        <f>EXP(-LN(2)/2)*DH145+(1-EXP(-LN(2)/2))/(LN(2)/2)*DB146*DE146*VLOOKUP('Données projet'!$B$13,Paramètres!$A$1:$I$89,3,0)*0.475*44/12</f>
        <v>0.46898866728868865</v>
      </c>
      <c r="DI146" s="22">
        <f t="shared" si="123"/>
        <v>10.767891219623721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-1.4210854715202004E-14</v>
      </c>
      <c r="DP146" s="17">
        <f>DO146*VLOOKUP('Données projet'!$B$14,Paramètres!$A$1:$I$89,3,0)*VLOOKUP('Données projet'!$B$14,Paramètres!$A$1:$I$89,5,0)</f>
        <v>-1.4853185348329136E-14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110.10595934547638</v>
      </c>
      <c r="DU146" s="59">
        <f t="shared" si="152"/>
        <v>131.10971921141493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11.25551204031267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11.25551204031267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7.3375000000000012</v>
      </c>
      <c r="EJ146" s="12">
        <f>IF('Données projet'!$A$192&gt;35,EJ145+EI146-ER145,IF(A146&lt;'Données projet'!$A$192,$EG$205^A146,IF(A146='Données projet'!$A$192,'Données projet'!$B$192,EJ145+EI146-ER145)))</f>
        <v>372.58249999999981</v>
      </c>
      <c r="EK146" s="17">
        <f>EJ146*VLOOKUP('Données projet'!$B$15,Paramètres!$A$1:$I$89,3,0)*VLOOKUP('Données projet'!$B$15,Paramètres!$A$1:$I$89,5,0)</f>
        <v>377.79865499999983</v>
      </c>
      <c r="EL146" s="13">
        <f t="shared" si="153"/>
        <v>87.260834288615982</v>
      </c>
      <c r="EM146" s="20">
        <f t="shared" si="127"/>
        <v>809.97861051100574</v>
      </c>
      <c r="EN146" s="59">
        <f t="shared" si="128"/>
        <v>1103.3119438443391</v>
      </c>
      <c r="EO146" s="59">
        <f ca="1">AVERAGE(OFFSET($EN$3,0,0,'Données projet'!$E$15+1,1))-AVERAGE(OFFSET($H$3,0,0,'Données projet'!$E$15+1,1))</f>
        <v>420.38735944595965</v>
      </c>
      <c r="EP146" s="59">
        <f t="shared" si="154"/>
        <v>200.0823542414671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23.456674237096774</v>
      </c>
      <c r="EW146" s="21">
        <f>EXP(-LN(2)/25)*EW145+(1-EXP(-LN(2)/25))/(LN(2)/25)*Calculateur!ER146*Calculateur!ET146*VLOOKUP('Données projet'!$B$15,Paramètres!$A$1:$I$89,3,0)*0.475*44/12</f>
        <v>17.720458324526319</v>
      </c>
      <c r="EX146" s="21">
        <f>EXP(-LN(2)/2)*EX145+(1-EXP(-LN(2)/2))/(LN(2)/2)*ER146*EU146*VLOOKUP('Données projet'!$B$15,Paramètres!$A$1:$I$89,3,0)*0.475*44/12</f>
        <v>0.10611179599089229</v>
      </c>
      <c r="EY146" s="22">
        <f t="shared" si="129"/>
        <v>41.283244357613988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2.5579538487363607E-13</v>
      </c>
      <c r="FF146" s="17">
        <f>FE146*VLOOKUP('Données projet'!$B$16,Paramètres!$A$1:$I$89,3,0)*VLOOKUP('Données projet'!$B$16,Paramètres!$A$1:$I$89,5,0)</f>
        <v>2.7533815227798186E-13</v>
      </c>
      <c r="FG146" s="13">
        <f t="shared" si="155"/>
        <v>3.6763598146902537E-12</v>
      </c>
      <c r="FH146" s="20">
        <f t="shared" si="130"/>
        <v>6.88254062580301E-12</v>
      </c>
      <c r="FI146" s="59">
        <f t="shared" si="131"/>
        <v>293.33333333334019</v>
      </c>
      <c r="FJ146" s="59">
        <f ca="1">AVERAGE(OFFSET($FI$3,0,0,'Données projet'!$E$16+1,1))-AVERAGE(OFFSET($H$3,0,0,'Données projet'!$E$16+1,1))</f>
        <v>415.8741608506952</v>
      </c>
      <c r="FK146" s="59">
        <f t="shared" si="156"/>
        <v>259.15848913719356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103.8867207453914</v>
      </c>
      <c r="FR146" s="21">
        <f>EXP(-LN(2)/25)*FR145+(1-EXP(-LN(2)/25))/(LN(2)/25)*Calculateur!FM146*Calculateur!FO146*VLOOKUP('Données projet'!$B$16,Paramètres!$A$1:$I$89,3,0)*0.475*44/12</f>
        <v>19.530392580902792</v>
      </c>
      <c r="FS146" s="21">
        <f>EXP(-LN(2)/2)*FS145+(1-EXP(-LN(2)/2))/(LN(2)/2)*FM146*FP146*VLOOKUP('Données projet'!$B$16,Paramètres!$A$1:$I$89,3,0)*0.475*44/12</f>
        <v>8.950038068459594E-2</v>
      </c>
      <c r="FT146" s="22">
        <f t="shared" si="132"/>
        <v>123.50661370697878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2.5579538487363607E-13</v>
      </c>
      <c r="GA146" s="17">
        <f>FZ146*VLOOKUP('Données projet'!$B$17,Paramètres!$A$1:$I$89,3,0)*VLOOKUP('Données projet'!$B$17,Paramètres!$A$1:$I$89,5,0)</f>
        <v>2.1947244022157976E-13</v>
      </c>
      <c r="GB146" s="13">
        <f t="shared" si="157"/>
        <v>3.0088145886933343E-12</v>
      </c>
      <c r="GC146" s="20">
        <f t="shared" si="133"/>
        <v>5.6225999086934742E-12</v>
      </c>
      <c r="GD146" s="59">
        <f t="shared" si="134"/>
        <v>293.33333333333894</v>
      </c>
      <c r="GE146" s="59">
        <f ca="1">AVERAGE(OFFSET($GD$3,0,0,'Données projet'!$E$17+1,1))-AVERAGE(OFFSET($H$3,0,0,'Données projet'!$E$17+1,1))</f>
        <v>322.39807389980882</v>
      </c>
      <c r="GF146" s="59">
        <f t="shared" si="158"/>
        <v>202.59410055732792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102.06598954257365</v>
      </c>
      <c r="GM146" s="21">
        <f>EXP(-LN(2)/25)*GM145+(1-EXP(-LN(2)/25))/(LN(2)/25)*Calculateur!GH146*Calculateur!GJ146*VLOOKUP('Données projet'!$B$17,Paramètres!$A$1:$I$89,3,0)*0.475*44/12</f>
        <v>19.188100563981006</v>
      </c>
      <c r="GN146" s="21">
        <f>EXP(-LN(2)/2)*GN145+(1-EXP(-LN(2)/2))/(LN(2)/2)*GH146*GK146*VLOOKUP('Données projet'!$B$17,Paramètres!$A$1:$I$89,3,0)*0.475*44/12</f>
        <v>7.1340883154388149E-2</v>
      </c>
      <c r="GO146" s="21">
        <f t="shared" si="135"/>
        <v>121.32543098970905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52.790399999999828</v>
      </c>
      <c r="D147" s="11">
        <f t="shared" si="140"/>
        <v>15.332099220482348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525.85788871951161</v>
      </c>
      <c r="H147" s="67">
        <f t="shared" si="110"/>
        <v>411.98001947567309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1.5961632016114892E-13</v>
      </c>
      <c r="P147" s="13">
        <f t="shared" si="141"/>
        <v>2.2708641912150958E-12</v>
      </c>
      <c r="Q147" s="20">
        <f t="shared" si="108"/>
        <v>4.2330868906469593E-12</v>
      </c>
      <c r="R147" s="59">
        <f t="shared" si="109"/>
        <v>293.33333333333752</v>
      </c>
      <c r="S147" s="59">
        <f ca="1">AVERAGE(OFFSET($R$3,0,0,'Données projet'!$E$9+1,1))-AVERAGE(OFFSET($H$3,0,0,'Données projet'!$E$9+1,1))</f>
        <v>215.77907571824977</v>
      </c>
      <c r="T147" s="59">
        <f t="shared" si="142"/>
        <v>174.69390149594869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65.61032663280605</v>
      </c>
      <c r="AA147" s="21">
        <f>EXP(-LN(2)/25)*AA146+(1-EXP(-LN(2)/25))/(LN(2)/25)*Calculateur!V147*Calculateur!X147*VLOOKUP('Données projet'!$B$9,Paramètres!$A$1:$I$89,3,0)*0.475*44/12</f>
        <v>15.870848019368104</v>
      </c>
      <c r="AB147" s="21">
        <f>EXP(-LN(2)/2)*AB146+(1-EXP(-LN(2)/2))/(LN(2)/2)*V147*Y147*VLOOKUP('Données projet'!$B$9,Paramètres!$A$1:$I$89,3,0)*0.475*44/12</f>
        <v>1.6987081086375288E-4</v>
      </c>
      <c r="AC147" s="22">
        <f t="shared" si="111"/>
        <v>81.481344522985026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-1.0197709343628959E-13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171.701352621833</v>
      </c>
      <c r="AO147" s="59">
        <f t="shared" si="144"/>
        <v>195.58435749168586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20.150101462824445</v>
      </c>
      <c r="AV147" s="21">
        <f>EXP(-LN(2)/25)*AV146+(1-EXP(-LN(2)/25))/(LN(2)/25)*Calculateur!AQ147*Calculateur!AS147*VLOOKUP('Données projet'!$B$10,Paramètres!$A$1:$I$89,3,0)*0.475*44/12</f>
        <v>3.8481814866748802</v>
      </c>
      <c r="AW147" s="21">
        <f>EXP(-LN(2)/2)*AW146+(1-EXP(-LN(2)/2))/(LN(2)/2)*AQ147*AT147*VLOOKUP('Données projet'!$B$10,Paramètres!$A$1:$I$89,3,0)*0.475*44/12</f>
        <v>2.0335813241403593E-11</v>
      </c>
      <c r="AX147" s="21">
        <f t="shared" si="114"/>
        <v>23.998282949519663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-1.1823431123048067E-13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348.29124901999882</v>
      </c>
      <c r="BJ147" s="59">
        <f t="shared" si="146"/>
        <v>284.30034973939053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61.187044532646688</v>
      </c>
      <c r="BQ147" s="21">
        <f>EXP(-LN(2)/25)*BQ146+(1-EXP(-LN(2)/25))/(LN(2)/25)*Calculateur!BL147*Calculateur!BN147*VLOOKUP('Données projet'!$B$11,Paramètres!$A$1:$I$89,3,0)*0.475*44/12</f>
        <v>13.190115357029176</v>
      </c>
      <c r="BR147" s="21">
        <f>EXP(-LN(2)/2)*BR146+(1-EXP(-LN(2)/2))/(LN(2)/2)*BL147*BO147*VLOOKUP('Données projet'!$B$11,Paramètres!$A$1:$I$89,3,0)*0.475*44/12</f>
        <v>1.9643225059593067E-8</v>
      </c>
      <c r="BS147" s="22">
        <f t="shared" si="117"/>
        <v>74.37715990931909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-2.2737367544323206E-13</v>
      </c>
      <c r="BZ147" s="13">
        <f>BY147*VLOOKUP('Données projet'!$B$12,Paramètres!$A$1:$I$89,3,0)*VLOOKUP('Données projet'!$B$12,Paramètres!$A$1:$I$89,5,0)</f>
        <v>-1.3596945791505279E-13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185.82627135915504</v>
      </c>
      <c r="CE147" s="59">
        <f t="shared" si="148"/>
        <v>155.46126452522037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48.173239767298568</v>
      </c>
      <c r="CL147" s="21">
        <f>EXP(-LN(2)/25)*CL146+(1-EXP(-LN(2)/25))/(LN(2)/25)*Calculateur!CG147*Calculateur!CI147*VLOOKUP('Données projet'!$B$12,Paramètres!$A$1:$I$89,3,0)*0.475*44/12</f>
        <v>11.771543737228711</v>
      </c>
      <c r="CM147" s="21">
        <f>EXP(-LN(2)/2)*CM146+(1-EXP(-LN(2)/2))/(LN(2)/2)*CG147*CJ147*VLOOKUP('Données projet'!$B$12,Paramètres!$A$1:$I$89,3,0)*0.475*44/12</f>
        <v>2.5835700064280603E-4</v>
      </c>
      <c r="CN147" s="22">
        <f t="shared" si="120"/>
        <v>59.945041861527919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0.91538461538461458</v>
      </c>
      <c r="CT147" s="12">
        <f>IF('Données projet'!$A$140&gt;35,CT146+CS147-DB146,IF(A147&lt;'Données projet'!$A$140,$CQ$205^A147,IF(A147='Données projet'!$A$140,'Données projet'!$B$140,CT146+CS147-DB146)))</f>
        <v>109.81538461538452</v>
      </c>
      <c r="CU147" s="17">
        <f>CT147*VLOOKUP('Données projet'!$B$13,Paramètres!$A$1:$I$89,3,0)*VLOOKUP('Données projet'!$B$13,Paramètres!$A$1:$I$89,5,0)</f>
        <v>126.50732307692296</v>
      </c>
      <c r="CV147" s="13">
        <f t="shared" si="149"/>
        <v>33.188029496242699</v>
      </c>
      <c r="CW147" s="20">
        <f t="shared" si="121"/>
        <v>278.13607239826348</v>
      </c>
      <c r="CX147" s="59">
        <f t="shared" si="122"/>
        <v>571.46940573159679</v>
      </c>
      <c r="CY147" s="59">
        <f ca="1">AVERAGE(OFFSET($CX$3,0,0,'Données projet'!$E$13+1,1))-AVERAGE(OFFSET($H$3,0,0,'Données projet'!$E$13+1,1))</f>
        <v>150.78964413039063</v>
      </c>
      <c r="CZ147" s="59">
        <f t="shared" si="150"/>
        <v>131.90332435966184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7.2446533433654725</v>
      </c>
      <c r="DG147" s="21">
        <f>EXP(-LN(2)/25)*DG146+(1-EXP(-LN(2)/25))/(LN(2)/25)*Calculateur!DB147*Calculateur!DD147*VLOOKUP('Données projet'!$B$13,Paramètres!$A$1:$I$89,3,0)*0.475*44/12</f>
        <v>2.8297883045364758</v>
      </c>
      <c r="DH147" s="21">
        <f>EXP(-LN(2)/2)*DH146+(1-EXP(-LN(2)/2))/(LN(2)/2)*DB147*DE147*VLOOKUP('Données projet'!$B$13,Paramètres!$A$1:$I$89,3,0)*0.475*44/12</f>
        <v>0.33162506693947336</v>
      </c>
      <c r="DI147" s="22">
        <f t="shared" si="123"/>
        <v>10.406066714841423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-1.4210854715202004E-14</v>
      </c>
      <c r="DP147" s="17">
        <f>DO147*VLOOKUP('Données projet'!$B$14,Paramètres!$A$1:$I$89,3,0)*VLOOKUP('Données projet'!$B$14,Paramètres!$A$1:$I$89,5,0)</f>
        <v>-1.4853185348329136E-14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110.10595934547638</v>
      </c>
      <c r="DU147" s="59">
        <f t="shared" si="152"/>
        <v>131.10971921141493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10.947729471668668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10.947729471668668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379.92</v>
      </c>
      <c r="EH147" s="12">
        <f>VLOOKUP(A147,'Données projet'!$A$191:$I$211,9,0)</f>
        <v>7.3375000000000012</v>
      </c>
      <c r="EI147" s="12">
        <f t="array" ref="EI147">INDEX(EH:EH,MIN(IF(ISNUMBER(EH147:EH343),ROW(EH147:EH343),"")))</f>
        <v>7.3375000000000012</v>
      </c>
      <c r="EJ147" s="12">
        <f>IF('Données projet'!$A$192&gt;35,EJ146+EI147-ER146,IF(A147&lt;'Données projet'!$A$192,$EG$205^A147,IF(A147='Données projet'!$A$192,'Données projet'!$B$192,EJ146+EI147-ER146)))</f>
        <v>379.91999999999979</v>
      </c>
      <c r="EK147" s="17">
        <f>EJ147*VLOOKUP('Données projet'!$B$15,Paramètres!$A$1:$I$89,3,0)*VLOOKUP('Données projet'!$B$15,Paramètres!$A$1:$I$89,5,0)</f>
        <v>385.23887999999982</v>
      </c>
      <c r="EL147" s="13">
        <f t="shared" si="153"/>
        <v>88.777557329023793</v>
      </c>
      <c r="EM147" s="20">
        <f t="shared" si="127"/>
        <v>825.57862834804939</v>
      </c>
      <c r="EN147" s="59">
        <f t="shared" si="128"/>
        <v>1118.9119616813828</v>
      </c>
      <c r="EO147" s="59">
        <f ca="1">AVERAGE(OFFSET($EN$3,0,0,'Données projet'!$E$15+1,1))-AVERAGE(OFFSET($H$3,0,0,'Données projet'!$E$15+1,1))</f>
        <v>420.38735944595965</v>
      </c>
      <c r="EP147" s="59">
        <f t="shared" si="154"/>
        <v>200.0823542414671</v>
      </c>
      <c r="EQ147" s="15">
        <f>IF(ISNA(VLOOKUP(A147,'Données projet'!$A$191:$I$211,3,0)),0,VLOOKUP(A147,'Données projet'!$A$191:$I$211,3,0))</f>
        <v>10</v>
      </c>
      <c r="ER147" s="15">
        <f>IF(ISNA(VLOOKUP(A147,'Données projet'!$A$191:$I$211,4,0)),0,VLOOKUP(A147,'Données projet'!$A$191:$I$211,4,0))</f>
        <v>60.949999999999989</v>
      </c>
      <c r="ES147" s="16">
        <f>IF(ISNA(VLOOKUP(A147,'Données projet'!$A$191:$I$211,5,0)),0%,VLOOKUP(A147,'Données projet'!$A$191:$I$211,5,0)*VLOOKUP('Données projet'!$B$15,Paramètres!$A$1:$I$89,7,0))</f>
        <v>0.15049999999999999</v>
      </c>
      <c r="ET147" s="16">
        <f>IF(ISNA(VLOOKUP(A147,'Données projet'!$A$191:$I$211,6,0)),0%,VLOOKUP(A147,'Données projet'!$A$191:$I$211,6,0)*VLOOKUP('Données projet'!$B$15,Paramètres!$A$1:$I$89,7,0))</f>
        <v>8.6000000000000007E-2</v>
      </c>
      <c r="EU147" s="16">
        <f>IF(ISNA(VLOOKUP(A147,'Données projet'!$A$191:$I$211,7,0)),0%,VLOOKUP(A147,'Données projet'!$A$191:$I$211,7,0))</f>
        <v>0.1</v>
      </c>
      <c r="EV147" s="21">
        <f>EXP(-LN(2)/35)*EV146+(1-EXP(-LN(2)/35))/(LN(2)/35)*ER147*ES147*VLOOKUP('Données projet'!$B$15,Paramètres!$A$1:$I$89,3,0)*0.475*44/12</f>
        <v>33.279121647327884</v>
      </c>
      <c r="EW147" s="21">
        <f>EXP(-LN(2)/25)*EW146+(1-EXP(-LN(2)/25))/(LN(2)/25)*Calculateur!ER147*Calculateur!ET147*VLOOKUP('Données projet'!$B$15,Paramètres!$A$1:$I$89,3,0)*0.475*44/12</f>
        <v>23.088424422837178</v>
      </c>
      <c r="EX147" s="21">
        <f>EXP(-LN(2)/2)*EX146+(1-EXP(-LN(2)/2))/(LN(2)/2)*ER147*EU147*VLOOKUP('Données projet'!$B$15,Paramètres!$A$1:$I$89,3,0)*0.475*44/12</f>
        <v>5.9063400666521613</v>
      </c>
      <c r="EY147" s="22">
        <f t="shared" si="129"/>
        <v>62.273886136817225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2.5579538487363607E-13</v>
      </c>
      <c r="FF147" s="17">
        <f>FE147*VLOOKUP('Données projet'!$B$16,Paramètres!$A$1:$I$89,3,0)*VLOOKUP('Données projet'!$B$16,Paramètres!$A$1:$I$89,5,0)</f>
        <v>2.7533815227798186E-13</v>
      </c>
      <c r="FG147" s="13">
        <f t="shared" si="155"/>
        <v>3.6763598146902537E-12</v>
      </c>
      <c r="FH147" s="20">
        <f t="shared" si="130"/>
        <v>6.88254062580301E-12</v>
      </c>
      <c r="FI147" s="59">
        <f t="shared" si="131"/>
        <v>293.33333333334019</v>
      </c>
      <c r="FJ147" s="59">
        <f ca="1">AVERAGE(OFFSET($FI$3,0,0,'Données projet'!$E$16+1,1))-AVERAGE(OFFSET($H$3,0,0,'Données projet'!$E$16+1,1))</f>
        <v>415.8741608506952</v>
      </c>
      <c r="FK147" s="59">
        <f t="shared" si="156"/>
        <v>259.15848913719356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101.8495655162172</v>
      </c>
      <c r="FR147" s="21">
        <f>EXP(-LN(2)/25)*FR146+(1-EXP(-LN(2)/25))/(LN(2)/25)*Calculateur!FM147*Calculateur!FO147*VLOOKUP('Données projet'!$B$16,Paramètres!$A$1:$I$89,3,0)*0.475*44/12</f>
        <v>18.996332968719297</v>
      </c>
      <c r="FS147" s="21">
        <f>EXP(-LN(2)/2)*FS146+(1-EXP(-LN(2)/2))/(LN(2)/2)*FM147*FP147*VLOOKUP('Données projet'!$B$16,Paramètres!$A$1:$I$89,3,0)*0.475*44/12</f>
        <v>6.3286326100855286E-2</v>
      </c>
      <c r="FT147" s="22">
        <f t="shared" si="132"/>
        <v>120.90918481103735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2.5579538487363607E-13</v>
      </c>
      <c r="GA147" s="17">
        <f>FZ147*VLOOKUP('Données projet'!$B$17,Paramètres!$A$1:$I$89,3,0)*VLOOKUP('Données projet'!$B$17,Paramètres!$A$1:$I$89,5,0)</f>
        <v>2.1947244022157976E-13</v>
      </c>
      <c r="GB147" s="13">
        <f t="shared" si="157"/>
        <v>3.0088145886933343E-12</v>
      </c>
      <c r="GC147" s="20">
        <f t="shared" si="133"/>
        <v>5.6225999086934742E-12</v>
      </c>
      <c r="GD147" s="59">
        <f t="shared" si="134"/>
        <v>293.33333333333894</v>
      </c>
      <c r="GE147" s="59">
        <f ca="1">AVERAGE(OFFSET($GD$3,0,0,'Données projet'!$E$17+1,1))-AVERAGE(OFFSET($H$3,0,0,'Données projet'!$E$17+1,1))</f>
        <v>322.39807389980882</v>
      </c>
      <c r="GF147" s="59">
        <f t="shared" si="158"/>
        <v>202.59410055732792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100.06453774175031</v>
      </c>
      <c r="GM147" s="21">
        <f>EXP(-LN(2)/25)*GM146+(1-EXP(-LN(2)/25))/(LN(2)/25)*Calculateur!GH147*Calculateur!GJ147*VLOOKUP('Données projet'!$B$17,Paramètres!$A$1:$I$89,3,0)*0.475*44/12</f>
        <v>18.663400945000593</v>
      </c>
      <c r="GN147" s="21">
        <f>EXP(-LN(2)/2)*GN146+(1-EXP(-LN(2)/2))/(LN(2)/2)*GH147*GK147*VLOOKUP('Données projet'!$B$17,Paramètres!$A$1:$I$89,3,0)*0.475*44/12</f>
        <v>5.0445622254304996E-2</v>
      </c>
      <c r="GO147" s="21">
        <f t="shared" si="135"/>
        <v>118.7783843090052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53.156999999999826</v>
      </c>
      <c r="D148" s="11">
        <f t="shared" si="140"/>
        <v>15.426140758986101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529.41371813954049</v>
      </c>
      <c r="H148" s="67">
        <f t="shared" si="110"/>
        <v>412.78230348856715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1.5961632016114892E-13</v>
      </c>
      <c r="P148" s="13">
        <f t="shared" si="141"/>
        <v>2.2708641912150958E-12</v>
      </c>
      <c r="Q148" s="20">
        <f t="shared" si="108"/>
        <v>4.2330868906469593E-12</v>
      </c>
      <c r="R148" s="59">
        <f t="shared" si="109"/>
        <v>293.33333333333752</v>
      </c>
      <c r="S148" s="59">
        <f ca="1">AVERAGE(OFFSET($R$3,0,0,'Données projet'!$E$9+1,1))-AVERAGE(OFFSET($H$3,0,0,'Données projet'!$E$9+1,1))</f>
        <v>215.77907571824977</v>
      </c>
      <c r="T148" s="59">
        <f t="shared" si="142"/>
        <v>174.69390149594869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64.32374814588448</v>
      </c>
      <c r="AA148" s="21">
        <f>EXP(-LN(2)/25)*AA147+(1-EXP(-LN(2)/25))/(LN(2)/25)*Calculateur!V148*Calculateur!X148*VLOOKUP('Données projet'!$B$9,Paramètres!$A$1:$I$89,3,0)*0.475*44/12</f>
        <v>15.43685884566686</v>
      </c>
      <c r="AB148" s="21">
        <f>EXP(-LN(2)/2)*AB147+(1-EXP(-LN(2)/2))/(LN(2)/2)*V148*Y148*VLOOKUP('Données projet'!$B$9,Paramètres!$A$1:$I$89,3,0)*0.475*44/12</f>
        <v>1.2011680228741711E-4</v>
      </c>
      <c r="AC148" s="22">
        <f t="shared" si="111"/>
        <v>79.760727108353635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-1.0197709343628959E-13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171.701352621833</v>
      </c>
      <c r="AO148" s="59">
        <f t="shared" si="144"/>
        <v>195.58435749168586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19.754970263486779</v>
      </c>
      <c r="AV148" s="21">
        <f>EXP(-LN(2)/25)*AV147+(1-EXP(-LN(2)/25))/(LN(2)/25)*Calculateur!AQ148*Calculateur!AS148*VLOOKUP('Données projet'!$B$10,Paramètres!$A$1:$I$89,3,0)*0.475*44/12</f>
        <v>3.7429527615546863</v>
      </c>
      <c r="AW148" s="21">
        <f>EXP(-LN(2)/2)*AW147+(1-EXP(-LN(2)/2))/(LN(2)/2)*AQ148*AT148*VLOOKUP('Données projet'!$B$10,Paramètres!$A$1:$I$89,3,0)*0.475*44/12</f>
        <v>1.4379591443939667E-11</v>
      </c>
      <c r="AX148" s="21">
        <f t="shared" si="114"/>
        <v>23.497923025055844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-1.1823431123048067E-13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348.29124901999882</v>
      </c>
      <c r="BJ148" s="59">
        <f t="shared" si="146"/>
        <v>284.30034973939053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59.987203909773569</v>
      </c>
      <c r="BQ148" s="21">
        <f>EXP(-LN(2)/25)*BQ147+(1-EXP(-LN(2)/25))/(LN(2)/25)*Calculateur!BL148*Calculateur!BN148*VLOOKUP('Données projet'!$B$11,Paramètres!$A$1:$I$89,3,0)*0.475*44/12</f>
        <v>12.829430958953193</v>
      </c>
      <c r="BR148" s="21">
        <f>EXP(-LN(2)/2)*BR147+(1-EXP(-LN(2)/2))/(LN(2)/2)*BL148*BO148*VLOOKUP('Données projet'!$B$11,Paramètres!$A$1:$I$89,3,0)*0.475*44/12</f>
        <v>1.3889857644011782E-8</v>
      </c>
      <c r="BS148" s="22">
        <f t="shared" si="117"/>
        <v>72.816634882616626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-2.2737367544323206E-13</v>
      </c>
      <c r="BZ148" s="13">
        <f>BY148*VLOOKUP('Données projet'!$B$12,Paramètres!$A$1:$I$89,3,0)*VLOOKUP('Données projet'!$B$12,Paramètres!$A$1:$I$89,5,0)</f>
        <v>-1.3596945791505279E-13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185.82627135915504</v>
      </c>
      <c r="CE148" s="59">
        <f t="shared" si="148"/>
        <v>155.46126452522037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47.228591918236795</v>
      </c>
      <c r="CL148" s="21">
        <f>EXP(-LN(2)/25)*CL147+(1-EXP(-LN(2)/25))/(LN(2)/25)*Calculateur!CG148*Calculateur!CI148*VLOOKUP('Données projet'!$B$12,Paramètres!$A$1:$I$89,3,0)*0.475*44/12</f>
        <v>11.44965025469561</v>
      </c>
      <c r="CM148" s="21">
        <f>EXP(-LN(2)/2)*CM147+(1-EXP(-LN(2)/2))/(LN(2)/2)*CG148*CJ148*VLOOKUP('Données projet'!$B$12,Paramètres!$A$1:$I$89,3,0)*0.475*44/12</f>
        <v>1.8268598712154537E-4</v>
      </c>
      <c r="CN148" s="22">
        <f t="shared" si="120"/>
        <v>58.678424858919527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0.91538461538461458</v>
      </c>
      <c r="CT148" s="12">
        <f>IF('Données projet'!$A$140&gt;35,CT147+CS148-DB147,IF(A148&lt;'Données projet'!$A$140,$CQ$205^A148,IF(A148='Données projet'!$A$140,'Données projet'!$B$140,CT147+CS148-DB147)))</f>
        <v>110.73076923076913</v>
      </c>
      <c r="CU148" s="17">
        <f>CT148*VLOOKUP('Données projet'!$B$13,Paramètres!$A$1:$I$89,3,0)*VLOOKUP('Données projet'!$B$13,Paramètres!$A$1:$I$89,5,0)</f>
        <v>127.56184615384602</v>
      </c>
      <c r="CV148" s="13">
        <f t="shared" si="149"/>
        <v>33.432354269700404</v>
      </c>
      <c r="CW148" s="20">
        <f t="shared" si="121"/>
        <v>280.39823240434333</v>
      </c>
      <c r="CX148" s="59">
        <f t="shared" si="122"/>
        <v>573.73156573767665</v>
      </c>
      <c r="CY148" s="59">
        <f ca="1">AVERAGE(OFFSET($CX$3,0,0,'Données projet'!$E$13+1,1))-AVERAGE(OFFSET($H$3,0,0,'Données projet'!$E$13+1,1))</f>
        <v>150.78964413039063</v>
      </c>
      <c r="CZ148" s="59">
        <f t="shared" si="150"/>
        <v>131.90332435966184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7.1025901101042948</v>
      </c>
      <c r="DG148" s="21">
        <f>EXP(-LN(2)/25)*DG147+(1-EXP(-LN(2)/25))/(LN(2)/25)*Calculateur!DB148*Calculateur!DD148*VLOOKUP('Données projet'!$B$13,Paramètres!$A$1:$I$89,3,0)*0.475*44/12</f>
        <v>2.7524075945368267</v>
      </c>
      <c r="DH148" s="21">
        <f>EXP(-LN(2)/2)*DH147+(1-EXP(-LN(2)/2))/(LN(2)/2)*DB148*DE148*VLOOKUP('Données projet'!$B$13,Paramètres!$A$1:$I$89,3,0)*0.475*44/12</f>
        <v>0.23449433364434438</v>
      </c>
      <c r="DI148" s="22">
        <f t="shared" si="123"/>
        <v>10.089492038285465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-1.4210854715202004E-14</v>
      </c>
      <c r="DP148" s="17">
        <f>DO148*VLOOKUP('Données projet'!$B$14,Paramètres!$A$1:$I$89,3,0)*VLOOKUP('Données projet'!$B$14,Paramètres!$A$1:$I$89,5,0)</f>
        <v>-1.4853185348329136E-14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110.10595934547638</v>
      </c>
      <c r="DU148" s="59">
        <f t="shared" si="152"/>
        <v>131.10971921141493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10.648363233549816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10.648363233549816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7.5191666666666634</v>
      </c>
      <c r="EJ148" s="12">
        <f>IF('Données projet'!$A$192&gt;35,EJ147+EI148-ER147,IF(A148&lt;'Données projet'!$A$192,$EG$205^A148,IF(A148='Données projet'!$A$192,'Données projet'!$B$192,EJ147+EI148-ER147)))</f>
        <v>326.48916666666645</v>
      </c>
      <c r="EK148" s="17">
        <f>EJ148*VLOOKUP('Données projet'!$B$15,Paramètres!$A$1:$I$89,3,0)*VLOOKUP('Données projet'!$B$15,Paramètres!$A$1:$I$89,5,0)</f>
        <v>331.06001499999979</v>
      </c>
      <c r="EL148" s="13">
        <f t="shared" si="153"/>
        <v>77.650034289681813</v>
      </c>
      <c r="EM148" s="20">
        <f t="shared" si="127"/>
        <v>711.83666917952871</v>
      </c>
      <c r="EN148" s="59">
        <f t="shared" si="128"/>
        <v>1005.1700025128621</v>
      </c>
      <c r="EO148" s="59">
        <f ca="1">AVERAGE(OFFSET($EN$3,0,0,'Données projet'!$E$15+1,1))-AVERAGE(OFFSET($H$3,0,0,'Données projet'!$E$15+1,1))</f>
        <v>420.38735944595965</v>
      </c>
      <c r="EP148" s="59">
        <f t="shared" si="154"/>
        <v>200.0823542414671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32.626538370083701</v>
      </c>
      <c r="EW148" s="21">
        <f>EXP(-LN(2)/25)*EW147+(1-EXP(-LN(2)/25))/(LN(2)/25)*Calculateur!ER148*Calculateur!ET148*VLOOKUP('Données projet'!$B$15,Paramètres!$A$1:$I$89,3,0)*0.475*44/12</f>
        <v>22.457070242827225</v>
      </c>
      <c r="EX148" s="21">
        <f>EXP(-LN(2)/2)*EX147+(1-EXP(-LN(2)/2))/(LN(2)/2)*ER148*EU148*VLOOKUP('Données projet'!$B$15,Paramètres!$A$1:$I$89,3,0)*0.475*44/12</f>
        <v>4.1764131131235489</v>
      </c>
      <c r="EY148" s="22">
        <f t="shared" si="129"/>
        <v>59.260021726034473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2.5579538487363607E-13</v>
      </c>
      <c r="FF148" s="17">
        <f>FE148*VLOOKUP('Données projet'!$B$16,Paramètres!$A$1:$I$89,3,0)*VLOOKUP('Données projet'!$B$16,Paramètres!$A$1:$I$89,5,0)</f>
        <v>2.7533815227798186E-13</v>
      </c>
      <c r="FG148" s="13">
        <f t="shared" si="155"/>
        <v>3.6763598146902537E-12</v>
      </c>
      <c r="FH148" s="20">
        <f t="shared" si="130"/>
        <v>6.88254062580301E-12</v>
      </c>
      <c r="FI148" s="59">
        <f t="shared" si="131"/>
        <v>293.33333333334019</v>
      </c>
      <c r="FJ148" s="59">
        <f ca="1">AVERAGE(OFFSET($FI$3,0,0,'Données projet'!$E$16+1,1))-AVERAGE(OFFSET($H$3,0,0,'Données projet'!$E$16+1,1))</f>
        <v>415.8741608506952</v>
      </c>
      <c r="FK148" s="59">
        <f t="shared" si="156"/>
        <v>259.15848913719356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99.852357658545088</v>
      </c>
      <c r="FR148" s="21">
        <f>EXP(-LN(2)/25)*FR147+(1-EXP(-LN(2)/25))/(LN(2)/25)*Calculateur!FM148*Calculateur!FO148*VLOOKUP('Données projet'!$B$16,Paramètres!$A$1:$I$89,3,0)*0.475*44/12</f>
        <v>18.476877244715933</v>
      </c>
      <c r="FS148" s="21">
        <f>EXP(-LN(2)/2)*FS147+(1-EXP(-LN(2)/2))/(LN(2)/2)*FM148*FP148*VLOOKUP('Données projet'!$B$16,Paramètres!$A$1:$I$89,3,0)*0.475*44/12</f>
        <v>4.475019034229797E-2</v>
      </c>
      <c r="FT148" s="22">
        <f t="shared" si="132"/>
        <v>118.37398509360332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2.5579538487363607E-13</v>
      </c>
      <c r="GA148" s="17">
        <f>FZ148*VLOOKUP('Données projet'!$B$17,Paramètres!$A$1:$I$89,3,0)*VLOOKUP('Données projet'!$B$17,Paramètres!$A$1:$I$89,5,0)</f>
        <v>2.1947244022157976E-13</v>
      </c>
      <c r="GB148" s="13">
        <f t="shared" si="157"/>
        <v>3.0088145886933343E-12</v>
      </c>
      <c r="GC148" s="20">
        <f t="shared" si="133"/>
        <v>5.6225999086934742E-12</v>
      </c>
      <c r="GD148" s="59">
        <f t="shared" si="134"/>
        <v>293.33333333333894</v>
      </c>
      <c r="GE148" s="59">
        <f ca="1">AVERAGE(OFFSET($GD$3,0,0,'Données projet'!$E$17+1,1))-AVERAGE(OFFSET($H$3,0,0,'Données projet'!$E$17+1,1))</f>
        <v>322.39807389980882</v>
      </c>
      <c r="GF148" s="59">
        <f t="shared" si="158"/>
        <v>202.59410055732792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98.102333189976065</v>
      </c>
      <c r="GM148" s="21">
        <f>EXP(-LN(2)/25)*GM147+(1-EXP(-LN(2)/25))/(LN(2)/25)*Calculateur!GH148*Calculateur!GJ148*VLOOKUP('Données projet'!$B$17,Paramètres!$A$1:$I$89,3,0)*0.475*44/12</f>
        <v>18.153049264693951</v>
      </c>
      <c r="GN148" s="21">
        <f>EXP(-LN(2)/2)*GN147+(1-EXP(-LN(2)/2))/(LN(2)/2)*GH148*GK148*VLOOKUP('Données projet'!$B$17,Paramètres!$A$1:$I$89,3,0)*0.475*44/12</f>
        <v>3.5670441577194074E-2</v>
      </c>
      <c r="GO148" s="21">
        <f t="shared" si="135"/>
        <v>116.29105289624721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53.523599999999824</v>
      </c>
      <c r="D149" s="11">
        <f t="shared" si="140"/>
        <v>15.520106834494438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532.9689650382013</v>
      </c>
      <c r="H149" s="67">
        <f t="shared" si="110"/>
        <v>413.58445607007747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1.5961632016114892E-13</v>
      </c>
      <c r="P149" s="13">
        <f t="shared" si="141"/>
        <v>2.2708641912150958E-12</v>
      </c>
      <c r="Q149" s="20">
        <f t="shared" si="108"/>
        <v>4.2330868906469593E-12</v>
      </c>
      <c r="R149" s="59">
        <f t="shared" si="109"/>
        <v>293.33333333333752</v>
      </c>
      <c r="S149" s="59">
        <f ca="1">AVERAGE(OFFSET($R$3,0,0,'Données projet'!$E$9+1,1))-AVERAGE(OFFSET($H$3,0,0,'Données projet'!$E$9+1,1))</f>
        <v>215.77907571824977</v>
      </c>
      <c r="T149" s="59">
        <f t="shared" si="142"/>
        <v>174.69390149594869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63.062398678356054</v>
      </c>
      <c r="AA149" s="21">
        <f>EXP(-LN(2)/25)*AA148+(1-EXP(-LN(2)/25))/(LN(2)/25)*Calculateur!V149*Calculateur!X149*VLOOKUP('Données projet'!$B$9,Paramètres!$A$1:$I$89,3,0)*0.475*44/12</f>
        <v>15.014737128742974</v>
      </c>
      <c r="AB149" s="21">
        <f>EXP(-LN(2)/2)*AB148+(1-EXP(-LN(2)/2))/(LN(2)/2)*V149*Y149*VLOOKUP('Données projet'!$B$9,Paramètres!$A$1:$I$89,3,0)*0.475*44/12</f>
        <v>8.4935405431876452E-5</v>
      </c>
      <c r="AC149" s="22">
        <f t="shared" si="111"/>
        <v>78.077220742504451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-1.0197709343628959E-13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171.701352621833</v>
      </c>
      <c r="AO149" s="59">
        <f t="shared" si="144"/>
        <v>195.58435749168586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19.367587345961891</v>
      </c>
      <c r="AV149" s="21">
        <f>EXP(-LN(2)/25)*AV148+(1-EXP(-LN(2)/25))/(LN(2)/25)*Calculateur!AQ149*Calculateur!AS149*VLOOKUP('Données projet'!$B$10,Paramètres!$A$1:$I$89,3,0)*0.475*44/12</f>
        <v>3.6406015214566421</v>
      </c>
      <c r="AW149" s="21">
        <f>EXP(-LN(2)/2)*AW148+(1-EXP(-LN(2)/2))/(LN(2)/2)*AQ149*AT149*VLOOKUP('Données projet'!$B$10,Paramètres!$A$1:$I$89,3,0)*0.475*44/12</f>
        <v>1.0167906620701798E-11</v>
      </c>
      <c r="AX149" s="21">
        <f t="shared" si="114"/>
        <v>23.0081888674287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-1.1823431123048067E-13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348.29124901999882</v>
      </c>
      <c r="BJ149" s="59">
        <f t="shared" si="146"/>
        <v>284.30034973939053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58.810891429684474</v>
      </c>
      <c r="BQ149" s="21">
        <f>EXP(-LN(2)/25)*BQ148+(1-EXP(-LN(2)/25))/(LN(2)/25)*Calculateur!BL149*Calculateur!BN149*VLOOKUP('Données projet'!$B$11,Paramètres!$A$1:$I$89,3,0)*0.475*44/12</f>
        <v>12.478609494710165</v>
      </c>
      <c r="BR149" s="21">
        <f>EXP(-LN(2)/2)*BR148+(1-EXP(-LN(2)/2))/(LN(2)/2)*BL149*BO149*VLOOKUP('Données projet'!$B$11,Paramètres!$A$1:$I$89,3,0)*0.475*44/12</f>
        <v>9.8216125297965337E-9</v>
      </c>
      <c r="BS149" s="22">
        <f t="shared" si="117"/>
        <v>71.289500934216264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-2.2737367544323206E-13</v>
      </c>
      <c r="BZ149" s="13">
        <f>BY149*VLOOKUP('Données projet'!$B$12,Paramètres!$A$1:$I$89,3,0)*VLOOKUP('Données projet'!$B$12,Paramètres!$A$1:$I$89,5,0)</f>
        <v>-1.3596945791505279E-13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185.82627135915504</v>
      </c>
      <c r="CE149" s="59">
        <f t="shared" si="148"/>
        <v>155.46126452522037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46.302468037316828</v>
      </c>
      <c r="CL149" s="21">
        <f>EXP(-LN(2)/25)*CL148+(1-EXP(-LN(2)/25))/(LN(2)/25)*Calculateur!CG149*Calculateur!CI149*VLOOKUP('Données projet'!$B$12,Paramètres!$A$1:$I$89,3,0)*0.475*44/12</f>
        <v>11.136558966370021</v>
      </c>
      <c r="CM149" s="21">
        <f>EXP(-LN(2)/2)*CM148+(1-EXP(-LN(2)/2))/(LN(2)/2)*CG149*CJ149*VLOOKUP('Données projet'!$B$12,Paramètres!$A$1:$I$89,3,0)*0.475*44/12</f>
        <v>1.2917850032140302E-4</v>
      </c>
      <c r="CN149" s="22">
        <f t="shared" si="120"/>
        <v>57.439156182187169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0.91538461538461458</v>
      </c>
      <c r="CT149" s="12">
        <f>IF('Données projet'!$A$140&gt;35,CT148+CS149-DB148,IF(A149&lt;'Données projet'!$A$140,$CQ$205^A149,IF(A149='Données projet'!$A$140,'Données projet'!$B$140,CT148+CS149-DB148)))</f>
        <v>111.64615384615374</v>
      </c>
      <c r="CU149" s="17">
        <f>CT149*VLOOKUP('Données projet'!$B$13,Paramètres!$A$1:$I$89,3,0)*VLOOKUP('Données projet'!$B$13,Paramètres!$A$1:$I$89,5,0)</f>
        <v>128.6163692307691</v>
      </c>
      <c r="CV149" s="13">
        <f t="shared" si="149"/>
        <v>33.676444051700102</v>
      </c>
      <c r="CW149" s="20">
        <f t="shared" si="121"/>
        <v>282.65998313363383</v>
      </c>
      <c r="CX149" s="59">
        <f t="shared" si="122"/>
        <v>575.99331646696714</v>
      </c>
      <c r="CY149" s="59">
        <f ca="1">AVERAGE(OFFSET($CX$3,0,0,'Données projet'!$E$13+1,1))-AVERAGE(OFFSET($H$3,0,0,'Données projet'!$E$13+1,1))</f>
        <v>150.78964413039063</v>
      </c>
      <c r="CZ149" s="59">
        <f t="shared" si="150"/>
        <v>131.90332435966184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6.9633126501973521</v>
      </c>
      <c r="DG149" s="21">
        <f>EXP(-LN(2)/25)*DG148+(1-EXP(-LN(2)/25))/(LN(2)/25)*Calculateur!DB149*Calculateur!DD149*VLOOKUP('Données projet'!$B$13,Paramètres!$A$1:$I$89,3,0)*0.475*44/12</f>
        <v>2.6771428641213926</v>
      </c>
      <c r="DH149" s="21">
        <f>EXP(-LN(2)/2)*DH148+(1-EXP(-LN(2)/2))/(LN(2)/2)*DB149*DE149*VLOOKUP('Données projet'!$B$13,Paramètres!$A$1:$I$89,3,0)*0.475*44/12</f>
        <v>0.16581253346973671</v>
      </c>
      <c r="DI149" s="22">
        <f t="shared" si="123"/>
        <v>9.8062680477884818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-1.4210854715202004E-14</v>
      </c>
      <c r="DP149" s="17">
        <f>DO149*VLOOKUP('Données projet'!$B$14,Paramètres!$A$1:$I$89,3,0)*VLOOKUP('Données projet'!$B$14,Paramètres!$A$1:$I$89,5,0)</f>
        <v>-1.4853185348329136E-14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110.10595934547638</v>
      </c>
      <c r="DU149" s="59">
        <f t="shared" si="152"/>
        <v>131.10971921141493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10.35718318095531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10.35718318095531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7.5191666666666634</v>
      </c>
      <c r="EJ149" s="12">
        <f>IF('Données projet'!$A$192&gt;35,EJ148+EI149-ER148,IF(A149&lt;'Données projet'!$A$192,$EG$205^A149,IF(A149='Données projet'!$A$192,'Données projet'!$B$192,EJ148+EI149-ER148)))</f>
        <v>334.0083333333331</v>
      </c>
      <c r="EK149" s="17">
        <f>EJ149*VLOOKUP('Données projet'!$B$15,Paramètres!$A$1:$I$89,3,0)*VLOOKUP('Données projet'!$B$15,Paramètres!$A$1:$I$89,5,0)</f>
        <v>338.6844499999998</v>
      </c>
      <c r="EL149" s="13">
        <f t="shared" si="153"/>
        <v>79.228084167092831</v>
      </c>
      <c r="EM149" s="20">
        <f t="shared" si="127"/>
        <v>727.86433034101958</v>
      </c>
      <c r="EN149" s="59">
        <f t="shared" si="128"/>
        <v>1021.197663674353</v>
      </c>
      <c r="EO149" s="59">
        <f ca="1">AVERAGE(OFFSET($EN$3,0,0,'Données projet'!$E$15+1,1))-AVERAGE(OFFSET($H$3,0,0,'Données projet'!$E$15+1,1))</f>
        <v>420.38735944595965</v>
      </c>
      <c r="EP149" s="59">
        <f t="shared" si="154"/>
        <v>200.0823542414671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31.98675185286978</v>
      </c>
      <c r="EW149" s="21">
        <f>EXP(-LN(2)/25)*EW148+(1-EXP(-LN(2)/25))/(LN(2)/25)*Calculateur!ER149*Calculateur!ET149*VLOOKUP('Données projet'!$B$15,Paramètres!$A$1:$I$89,3,0)*0.475*44/12</f>
        <v>21.842980476071116</v>
      </c>
      <c r="EX149" s="21">
        <f>EXP(-LN(2)/2)*EX148+(1-EXP(-LN(2)/2))/(LN(2)/2)*ER149*EU149*VLOOKUP('Données projet'!$B$15,Paramètres!$A$1:$I$89,3,0)*0.475*44/12</f>
        <v>2.9531700333260811</v>
      </c>
      <c r="EY149" s="22">
        <f t="shared" si="129"/>
        <v>56.782902362266974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2.5579538487363607E-13</v>
      </c>
      <c r="FF149" s="17">
        <f>FE149*VLOOKUP('Données projet'!$B$16,Paramètres!$A$1:$I$89,3,0)*VLOOKUP('Données projet'!$B$16,Paramètres!$A$1:$I$89,5,0)</f>
        <v>2.7533815227798186E-13</v>
      </c>
      <c r="FG149" s="13">
        <f t="shared" si="155"/>
        <v>3.6763598146902537E-12</v>
      </c>
      <c r="FH149" s="20">
        <f t="shared" si="130"/>
        <v>6.88254062580301E-12</v>
      </c>
      <c r="FI149" s="59">
        <f t="shared" si="131"/>
        <v>293.33333333334019</v>
      </c>
      <c r="FJ149" s="59">
        <f ca="1">AVERAGE(OFFSET($FI$3,0,0,'Données projet'!$E$16+1,1))-AVERAGE(OFFSET($H$3,0,0,'Données projet'!$E$16+1,1))</f>
        <v>415.8741608506952</v>
      </c>
      <c r="FK149" s="59">
        <f t="shared" si="156"/>
        <v>259.15848913719356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97.894313828785428</v>
      </c>
      <c r="FR149" s="21">
        <f>EXP(-LN(2)/25)*FR148+(1-EXP(-LN(2)/25))/(LN(2)/25)*Calculateur!FM149*Calculateur!FO149*VLOOKUP('Données projet'!$B$16,Paramètres!$A$1:$I$89,3,0)*0.475*44/12</f>
        <v>17.971626064802432</v>
      </c>
      <c r="FS149" s="21">
        <f>EXP(-LN(2)/2)*FS148+(1-EXP(-LN(2)/2))/(LN(2)/2)*FM149*FP149*VLOOKUP('Données projet'!$B$16,Paramètres!$A$1:$I$89,3,0)*0.475*44/12</f>
        <v>3.1643163050427643E-2</v>
      </c>
      <c r="FT149" s="22">
        <f t="shared" si="132"/>
        <v>115.8975830566383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2.5579538487363607E-13</v>
      </c>
      <c r="GA149" s="17">
        <f>FZ149*VLOOKUP('Données projet'!$B$17,Paramètres!$A$1:$I$89,3,0)*VLOOKUP('Données projet'!$B$17,Paramètres!$A$1:$I$89,5,0)</f>
        <v>2.1947244022157976E-13</v>
      </c>
      <c r="GB149" s="13">
        <f t="shared" si="157"/>
        <v>3.0088145886933343E-12</v>
      </c>
      <c r="GC149" s="20">
        <f t="shared" si="133"/>
        <v>5.6225999086934742E-12</v>
      </c>
      <c r="GD149" s="59">
        <f t="shared" si="134"/>
        <v>293.33333333333894</v>
      </c>
      <c r="GE149" s="59">
        <f ca="1">AVERAGE(OFFSET($GD$3,0,0,'Données projet'!$E$17+1,1))-AVERAGE(OFFSET($H$3,0,0,'Données projet'!$E$17+1,1))</f>
        <v>322.39807389980882</v>
      </c>
      <c r="GF149" s="59">
        <f t="shared" si="158"/>
        <v>202.59410055732792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96.17860627263552</v>
      </c>
      <c r="GM149" s="21">
        <f>EXP(-LN(2)/25)*GM148+(1-EXP(-LN(2)/25))/(LN(2)/25)*Calculateur!GH149*Calculateur!GJ149*VLOOKUP('Données projet'!$B$17,Paramètres!$A$1:$I$89,3,0)*0.475*44/12</f>
        <v>17.656653177923523</v>
      </c>
      <c r="GN149" s="21">
        <f>EXP(-LN(2)/2)*GN148+(1-EXP(-LN(2)/2))/(LN(2)/2)*GH149*GK149*VLOOKUP('Données projet'!$B$17,Paramètres!$A$1:$I$89,3,0)*0.475*44/12</f>
        <v>2.5222811127152498E-2</v>
      </c>
      <c r="GO149" s="21">
        <f t="shared" si="135"/>
        <v>113.8604822616862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53.890199999999822</v>
      </c>
      <c r="D150" s="11">
        <f t="shared" si="140"/>
        <v>15.613998023819924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536.52363386808236</v>
      </c>
      <c r="H150" s="67">
        <f t="shared" si="110"/>
        <v>414.38647822481937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1.5961632016114892E-13</v>
      </c>
      <c r="P150" s="13">
        <f t="shared" si="141"/>
        <v>2.2708641912150958E-12</v>
      </c>
      <c r="Q150" s="20">
        <f t="shared" si="108"/>
        <v>4.2330868906469593E-12</v>
      </c>
      <c r="R150" s="59">
        <f t="shared" si="109"/>
        <v>293.33333333333752</v>
      </c>
      <c r="S150" s="59">
        <f ca="1">AVERAGE(OFFSET($R$3,0,0,'Données projet'!$E$9+1,1))-AVERAGE(OFFSET($H$3,0,0,'Données projet'!$E$9+1,1))</f>
        <v>215.77907571824977</v>
      </c>
      <c r="T150" s="59">
        <f t="shared" si="142"/>
        <v>174.69390149594869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61.825783504538656</v>
      </c>
      <c r="AA150" s="21">
        <f>EXP(-LN(2)/25)*AA149+(1-EXP(-LN(2)/25))/(LN(2)/25)*Calculateur!V150*Calculateur!X150*VLOOKUP('Données projet'!$B$9,Paramètres!$A$1:$I$89,3,0)*0.475*44/12</f>
        <v>14.604158352366788</v>
      </c>
      <c r="AB150" s="21">
        <f>EXP(-LN(2)/2)*AB149+(1-EXP(-LN(2)/2))/(LN(2)/2)*V150*Y150*VLOOKUP('Données projet'!$B$9,Paramètres!$A$1:$I$89,3,0)*0.475*44/12</f>
        <v>6.0058401143708569E-5</v>
      </c>
      <c r="AC150" s="22">
        <f t="shared" si="111"/>
        <v>76.43000191530659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-1.0197709343628959E-13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171.701352621833</v>
      </c>
      <c r="AO150" s="59">
        <f t="shared" si="144"/>
        <v>195.58435749168586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18.987800771169415</v>
      </c>
      <c r="AV150" s="21">
        <f>EXP(-LN(2)/25)*AV149+(1-EXP(-LN(2)/25))/(LN(2)/25)*Calculateur!AQ150*Calculateur!AS150*VLOOKUP('Données projet'!$B$10,Paramètres!$A$1:$I$89,3,0)*0.475*44/12</f>
        <v>3.5410490814014968</v>
      </c>
      <c r="AW150" s="21">
        <f>EXP(-LN(2)/2)*AW149+(1-EXP(-LN(2)/2))/(LN(2)/2)*AQ150*AT150*VLOOKUP('Données projet'!$B$10,Paramètres!$A$1:$I$89,3,0)*0.475*44/12</f>
        <v>7.1897957219698345E-12</v>
      </c>
      <c r="AX150" s="21">
        <f t="shared" si="114"/>
        <v>22.528849852578102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-1.1823431123048067E-13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348.29124901999882</v>
      </c>
      <c r="BJ150" s="59">
        <f t="shared" si="146"/>
        <v>284.30034973939053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57.657645719850159</v>
      </c>
      <c r="BQ150" s="21">
        <f>EXP(-LN(2)/25)*BQ149+(1-EXP(-LN(2)/25))/(LN(2)/25)*Calculateur!BL150*Calculateur!BN150*VLOOKUP('Données projet'!$B$11,Paramètres!$A$1:$I$89,3,0)*0.475*44/12</f>
        <v>12.137381261855761</v>
      </c>
      <c r="BR150" s="21">
        <f>EXP(-LN(2)/2)*BR149+(1-EXP(-LN(2)/2))/(LN(2)/2)*BL150*BO150*VLOOKUP('Données projet'!$B$11,Paramètres!$A$1:$I$89,3,0)*0.475*44/12</f>
        <v>6.9449288220058911E-9</v>
      </c>
      <c r="BS150" s="22">
        <f t="shared" si="117"/>
        <v>69.795026988650847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-2.2737367544323206E-13</v>
      </c>
      <c r="BZ150" s="13">
        <f>BY150*VLOOKUP('Données projet'!$B$12,Paramètres!$A$1:$I$89,3,0)*VLOOKUP('Données projet'!$B$12,Paramètres!$A$1:$I$89,5,0)</f>
        <v>-1.3596945791505279E-13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185.82627135915504</v>
      </c>
      <c r="CE150" s="59">
        <f t="shared" si="148"/>
        <v>155.46126452522037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45.394504880821913</v>
      </c>
      <c r="CL150" s="21">
        <f>EXP(-LN(2)/25)*CL149+(1-EXP(-LN(2)/25))/(LN(2)/25)*Calculateur!CG150*Calculateur!CI150*VLOOKUP('Données projet'!$B$12,Paramètres!$A$1:$I$89,3,0)*0.475*44/12</f>
        <v>10.832029175788451</v>
      </c>
      <c r="CM150" s="21">
        <f>EXP(-LN(2)/2)*CM149+(1-EXP(-LN(2)/2))/(LN(2)/2)*CG150*CJ150*VLOOKUP('Données projet'!$B$12,Paramètres!$A$1:$I$89,3,0)*0.475*44/12</f>
        <v>9.1342993560772684E-5</v>
      </c>
      <c r="CN150" s="22">
        <f t="shared" si="120"/>
        <v>56.226625399603925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0.91538461538461458</v>
      </c>
      <c r="CT150" s="12">
        <f>IF('Données projet'!$A$140&gt;35,CT149+CS150-DB149,IF(A150&lt;'Données projet'!$A$140,$CQ$205^A150,IF(A150='Données projet'!$A$140,'Données projet'!$B$140,CT149+CS150-DB149)))</f>
        <v>112.56153846153835</v>
      </c>
      <c r="CU150" s="17">
        <f>CT150*VLOOKUP('Données projet'!$B$13,Paramètres!$A$1:$I$89,3,0)*VLOOKUP('Données projet'!$B$13,Paramètres!$A$1:$I$89,5,0)</f>
        <v>129.67089230769218</v>
      </c>
      <c r="CV150" s="13">
        <f t="shared" si="149"/>
        <v>33.920300992221065</v>
      </c>
      <c r="CW150" s="20">
        <f t="shared" si="121"/>
        <v>284.92132833068223</v>
      </c>
      <c r="CX150" s="59">
        <f t="shared" si="122"/>
        <v>578.25466166401554</v>
      </c>
      <c r="CY150" s="59">
        <f ca="1">AVERAGE(OFFSET($CX$3,0,0,'Données projet'!$E$13+1,1))-AVERAGE(OFFSET($H$3,0,0,'Données projet'!$E$13+1,1))</f>
        <v>150.78964413039063</v>
      </c>
      <c r="CZ150" s="59">
        <f t="shared" si="150"/>
        <v>131.90332435966184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6.8267663363283226</v>
      </c>
      <c r="DG150" s="21">
        <f>EXP(-LN(2)/25)*DG149+(1-EXP(-LN(2)/25))/(LN(2)/25)*Calculateur!DB150*Calculateur!DD150*VLOOKUP('Données projet'!$B$13,Paramètres!$A$1:$I$89,3,0)*0.475*44/12</f>
        <v>2.6039362517171685</v>
      </c>
      <c r="DH150" s="21">
        <f>EXP(-LN(2)/2)*DH149+(1-EXP(-LN(2)/2))/(LN(2)/2)*DB150*DE150*VLOOKUP('Données projet'!$B$13,Paramètres!$A$1:$I$89,3,0)*0.475*44/12</f>
        <v>0.11724716682217221</v>
      </c>
      <c r="DI150" s="22">
        <f t="shared" si="123"/>
        <v>9.5479497548676644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-1.4210854715202004E-14</v>
      </c>
      <c r="DP150" s="17">
        <f>DO150*VLOOKUP('Données projet'!$B$14,Paramètres!$A$1:$I$89,3,0)*VLOOKUP('Données projet'!$B$14,Paramètres!$A$1:$I$89,5,0)</f>
        <v>-1.4853185348329136E-14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110.10595934547638</v>
      </c>
      <c r="DU150" s="59">
        <f t="shared" si="152"/>
        <v>131.10971921141493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10.073965462211495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10.073965462211495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7.5191666666666634</v>
      </c>
      <c r="EJ150" s="12">
        <f>IF('Données projet'!$A$192&gt;35,EJ149+EI150-ER149,IF(A150&lt;'Données projet'!$A$192,$EG$205^A150,IF(A150='Données projet'!$A$192,'Données projet'!$B$192,EJ149+EI150-ER149)))</f>
        <v>341.52749999999975</v>
      </c>
      <c r="EK150" s="17">
        <f>EJ150*VLOOKUP('Données projet'!$B$15,Paramètres!$A$1:$I$89,3,0)*VLOOKUP('Données projet'!$B$15,Paramètres!$A$1:$I$89,5,0)</f>
        <v>346.3088849999998</v>
      </c>
      <c r="EL150" s="13">
        <f t="shared" si="153"/>
        <v>80.802003987912002</v>
      </c>
      <c r="EM150" s="20">
        <f t="shared" si="127"/>
        <v>743.88479832061319</v>
      </c>
      <c r="EN150" s="59">
        <f t="shared" si="128"/>
        <v>1037.2181316539466</v>
      </c>
      <c r="EO150" s="59">
        <f ca="1">AVERAGE(OFFSET($EN$3,0,0,'Données projet'!$E$15+1,1))-AVERAGE(OFFSET($H$3,0,0,'Données projet'!$E$15+1,1))</f>
        <v>420.38735944595965</v>
      </c>
      <c r="EP150" s="59">
        <f t="shared" si="154"/>
        <v>200.0823542414671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31.359511159027182</v>
      </c>
      <c r="EW150" s="21">
        <f>EXP(-LN(2)/25)*EW149+(1-EXP(-LN(2)/25))/(LN(2)/25)*Calculateur!ER150*Calculateur!ET150*VLOOKUP('Données projet'!$B$15,Paramètres!$A$1:$I$89,3,0)*0.475*44/12</f>
        <v>21.245683026280531</v>
      </c>
      <c r="EX150" s="21">
        <f>EXP(-LN(2)/2)*EX149+(1-EXP(-LN(2)/2))/(LN(2)/2)*ER150*EU150*VLOOKUP('Données projet'!$B$15,Paramètres!$A$1:$I$89,3,0)*0.475*44/12</f>
        <v>2.0882065565617745</v>
      </c>
      <c r="EY150" s="22">
        <f t="shared" si="129"/>
        <v>54.693400741869482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2.5579538487363607E-13</v>
      </c>
      <c r="FF150" s="17">
        <f>FE150*VLOOKUP('Données projet'!$B$16,Paramètres!$A$1:$I$89,3,0)*VLOOKUP('Données projet'!$B$16,Paramètres!$A$1:$I$89,5,0)</f>
        <v>2.7533815227798186E-13</v>
      </c>
      <c r="FG150" s="13">
        <f t="shared" si="155"/>
        <v>3.6763598146902537E-12</v>
      </c>
      <c r="FH150" s="20">
        <f t="shared" si="130"/>
        <v>6.88254062580301E-12</v>
      </c>
      <c r="FI150" s="59">
        <f t="shared" si="131"/>
        <v>293.33333333334019</v>
      </c>
      <c r="FJ150" s="59">
        <f ca="1">AVERAGE(OFFSET($FI$3,0,0,'Données projet'!$E$16+1,1))-AVERAGE(OFFSET($H$3,0,0,'Données projet'!$E$16+1,1))</f>
        <v>415.8741608506952</v>
      </c>
      <c r="FK150" s="59">
        <f t="shared" si="156"/>
        <v>259.15848913719356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95.974666044238546</v>
      </c>
      <c r="FR150" s="21">
        <f>EXP(-LN(2)/25)*FR149+(1-EXP(-LN(2)/25))/(LN(2)/25)*Calculateur!FM150*Calculateur!FO150*VLOOKUP('Données projet'!$B$16,Paramètres!$A$1:$I$89,3,0)*0.475*44/12</f>
        <v>17.480191004973669</v>
      </c>
      <c r="FS150" s="21">
        <f>EXP(-LN(2)/2)*FS149+(1-EXP(-LN(2)/2))/(LN(2)/2)*FM150*FP150*VLOOKUP('Données projet'!$B$16,Paramètres!$A$1:$I$89,3,0)*0.475*44/12</f>
        <v>2.2375095171148985E-2</v>
      </c>
      <c r="FT150" s="22">
        <f t="shared" si="132"/>
        <v>113.47723214438336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2.5579538487363607E-13</v>
      </c>
      <c r="GA150" s="17">
        <f>FZ150*VLOOKUP('Données projet'!$B$17,Paramètres!$A$1:$I$89,3,0)*VLOOKUP('Données projet'!$B$17,Paramètres!$A$1:$I$89,5,0)</f>
        <v>2.1947244022157976E-13</v>
      </c>
      <c r="GB150" s="13">
        <f t="shared" si="157"/>
        <v>3.0088145886933343E-12</v>
      </c>
      <c r="GC150" s="20">
        <f t="shared" si="133"/>
        <v>5.6225999086934742E-12</v>
      </c>
      <c r="GD150" s="59">
        <f t="shared" si="134"/>
        <v>293.33333333333894</v>
      </c>
      <c r="GE150" s="59">
        <f ca="1">AVERAGE(OFFSET($GD$3,0,0,'Données projet'!$E$17+1,1))-AVERAGE(OFFSET($H$3,0,0,'Données projet'!$E$17+1,1))</f>
        <v>322.39807389980882</v>
      </c>
      <c r="GF150" s="59">
        <f t="shared" si="158"/>
        <v>202.59410055732792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94.292602466786462</v>
      </c>
      <c r="GM150" s="21">
        <f>EXP(-LN(2)/25)*GM149+(1-EXP(-LN(2)/25))/(LN(2)/25)*Calculateur!GH150*Calculateur!GJ150*VLOOKUP('Données projet'!$B$17,Paramètres!$A$1:$I$89,3,0)*0.475*44/12</f>
        <v>17.17383106825017</v>
      </c>
      <c r="GN150" s="21">
        <f>EXP(-LN(2)/2)*GN149+(1-EXP(-LN(2)/2))/(LN(2)/2)*GH150*GK150*VLOOKUP('Données projet'!$B$17,Paramètres!$A$1:$I$89,3,0)*0.475*44/12</f>
        <v>1.7835220788597037E-2</v>
      </c>
      <c r="GO150" s="21">
        <f t="shared" si="135"/>
        <v>111.48426875582523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54.256799999999821</v>
      </c>
      <c r="D151" s="11">
        <f t="shared" si="140"/>
        <v>15.707814895473675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540.0777290176901</v>
      </c>
      <c r="H151" s="67">
        <f t="shared" si="110"/>
        <v>415.18837094294963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1.5961632016114892E-13</v>
      </c>
      <c r="P151" s="13">
        <f t="shared" si="141"/>
        <v>2.2708641912150958E-12</v>
      </c>
      <c r="Q151" s="20">
        <f t="shared" si="108"/>
        <v>4.2330868906469593E-12</v>
      </c>
      <c r="R151" s="59">
        <f t="shared" si="109"/>
        <v>293.33333333333752</v>
      </c>
      <c r="S151" s="59">
        <f ca="1">AVERAGE(OFFSET($R$3,0,0,'Données projet'!$E$9+1,1))-AVERAGE(OFFSET($H$3,0,0,'Données projet'!$E$9+1,1))</f>
        <v>215.77907571824977</v>
      </c>
      <c r="T151" s="59">
        <f t="shared" si="142"/>
        <v>174.69390149594869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60.613417600019034</v>
      </c>
      <c r="AA151" s="21">
        <f>EXP(-LN(2)/25)*AA150+(1-EXP(-LN(2)/25))/(LN(2)/25)*Calculateur!V151*Calculateur!X151*VLOOKUP('Données projet'!$B$9,Paramètres!$A$1:$I$89,3,0)*0.475*44/12</f>
        <v>14.204806874222008</v>
      </c>
      <c r="AB151" s="21">
        <f>EXP(-LN(2)/2)*AB150+(1-EXP(-LN(2)/2))/(LN(2)/2)*V151*Y151*VLOOKUP('Données projet'!$B$9,Paramètres!$A$1:$I$89,3,0)*0.475*44/12</f>
        <v>4.2467702715938233E-5</v>
      </c>
      <c r="AC151" s="22">
        <f t="shared" si="111"/>
        <v>74.818266941943762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-1.0197709343628959E-13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171.701352621833</v>
      </c>
      <c r="AO151" s="59">
        <f t="shared" si="144"/>
        <v>195.58435749168586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18.615461579461684</v>
      </c>
      <c r="AV151" s="21">
        <f>EXP(-LN(2)/25)*AV150+(1-EXP(-LN(2)/25))/(LN(2)/25)*Calculateur!AQ151*Calculateur!AS151*VLOOKUP('Données projet'!$B$10,Paramètres!$A$1:$I$89,3,0)*0.475*44/12</f>
        <v>3.4442189080548946</v>
      </c>
      <c r="AW151" s="21">
        <f>EXP(-LN(2)/2)*AW150+(1-EXP(-LN(2)/2))/(LN(2)/2)*AQ151*AT151*VLOOKUP('Données projet'!$B$10,Paramètres!$A$1:$I$89,3,0)*0.475*44/12</f>
        <v>5.0839533103508998E-12</v>
      </c>
      <c r="AX151" s="21">
        <f t="shared" si="114"/>
        <v>22.059680487521664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-1.1823431123048067E-13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348.29124901999882</v>
      </c>
      <c r="BJ151" s="59">
        <f t="shared" si="146"/>
        <v>284.30034973939053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56.527014454975266</v>
      </c>
      <c r="BQ151" s="21">
        <f>EXP(-LN(2)/25)*BQ150+(1-EXP(-LN(2)/25))/(LN(2)/25)*Calculateur!BL151*Calculateur!BN151*VLOOKUP('Données projet'!$B$11,Paramètres!$A$1:$I$89,3,0)*0.475*44/12</f>
        <v>11.805483932973175</v>
      </c>
      <c r="BR151" s="21">
        <f>EXP(-LN(2)/2)*BR150+(1-EXP(-LN(2)/2))/(LN(2)/2)*BL151*BO151*VLOOKUP('Données projet'!$B$11,Paramètres!$A$1:$I$89,3,0)*0.475*44/12</f>
        <v>4.9108062648982668E-9</v>
      </c>
      <c r="BS151" s="22">
        <f t="shared" si="117"/>
        <v>68.33249839285925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-2.2737367544323206E-13</v>
      </c>
      <c r="BZ151" s="13">
        <f>BY151*VLOOKUP('Données projet'!$B$12,Paramètres!$A$1:$I$89,3,0)*VLOOKUP('Données projet'!$B$12,Paramètres!$A$1:$I$89,5,0)</f>
        <v>-1.3596945791505279E-13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185.82627135915504</v>
      </c>
      <c r="CE151" s="59">
        <f t="shared" si="148"/>
        <v>155.46126452522037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44.504346328023018</v>
      </c>
      <c r="CL151" s="21">
        <f>EXP(-LN(2)/25)*CL150+(1-EXP(-LN(2)/25))/(LN(2)/25)*Calculateur!CG151*Calculateur!CI151*VLOOKUP('Données projet'!$B$12,Paramètres!$A$1:$I$89,3,0)*0.475*44/12</f>
        <v>10.535826768344858</v>
      </c>
      <c r="CM151" s="21">
        <f>EXP(-LN(2)/2)*CM150+(1-EXP(-LN(2)/2))/(LN(2)/2)*CG151*CJ151*VLOOKUP('Données projet'!$B$12,Paramètres!$A$1:$I$89,3,0)*0.475*44/12</f>
        <v>6.4589250160701508E-5</v>
      </c>
      <c r="CN151" s="22">
        <f t="shared" si="120"/>
        <v>55.040237685618038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0.91538461538461458</v>
      </c>
      <c r="CT151" s="12">
        <f>IF('Données projet'!$A$140&gt;35,CT150+CS151-DB150,IF(A151&lt;'Données projet'!$A$140,$CQ$205^A151,IF(A151='Données projet'!$A$140,'Données projet'!$B$140,CT150+CS151-DB150)))</f>
        <v>113.47692307692296</v>
      </c>
      <c r="CU151" s="17">
        <f>CT151*VLOOKUP('Données projet'!$B$13,Paramètres!$A$1:$I$89,3,0)*VLOOKUP('Données projet'!$B$13,Paramètres!$A$1:$I$89,5,0)</f>
        <v>130.72541538461525</v>
      </c>
      <c r="CV151" s="13">
        <f t="shared" si="149"/>
        <v>34.163927204255288</v>
      </c>
      <c r="CW151" s="20">
        <f t="shared" si="121"/>
        <v>287.18227167561616</v>
      </c>
      <c r="CX151" s="59">
        <f t="shared" si="122"/>
        <v>580.51560500894948</v>
      </c>
      <c r="CY151" s="59">
        <f ca="1">AVERAGE(OFFSET($CX$3,0,0,'Données projet'!$E$13+1,1))-AVERAGE(OFFSET($H$3,0,0,'Données projet'!$E$13+1,1))</f>
        <v>150.78964413039063</v>
      </c>
      <c r="CZ151" s="59">
        <f t="shared" si="150"/>
        <v>131.90332435966184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6.6928976123892365</v>
      </c>
      <c r="DG151" s="21">
        <f>EXP(-LN(2)/25)*DG150+(1-EXP(-LN(2)/25))/(LN(2)/25)*Calculateur!DB151*Calculateur!DD151*VLOOKUP('Données projet'!$B$13,Paramètres!$A$1:$I$89,3,0)*0.475*44/12</f>
        <v>2.5327314779789063</v>
      </c>
      <c r="DH151" s="21">
        <f>EXP(-LN(2)/2)*DH150+(1-EXP(-LN(2)/2))/(LN(2)/2)*DB151*DE151*VLOOKUP('Données projet'!$B$13,Paramètres!$A$1:$I$89,3,0)*0.475*44/12</f>
        <v>8.2906266734868367E-2</v>
      </c>
      <c r="DI151" s="22">
        <f t="shared" si="123"/>
        <v>9.3085353571030112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-1.4210854715202004E-14</v>
      </c>
      <c r="DP151" s="17">
        <f>DO151*VLOOKUP('Données projet'!$B$14,Paramètres!$A$1:$I$89,3,0)*VLOOKUP('Données projet'!$B$14,Paramètres!$A$1:$I$89,5,0)</f>
        <v>-1.4853185348329136E-14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110.10595934547638</v>
      </c>
      <c r="DU151" s="59">
        <f t="shared" si="152"/>
        <v>131.10971921141493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9.7984923468805025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9.7984923468805025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7.5191666666666634</v>
      </c>
      <c r="EJ151" s="12">
        <f>IF('Données projet'!$A$192&gt;35,EJ150+EI151-ER150,IF(A151&lt;'Données projet'!$A$192,$EG$205^A151,IF(A151='Données projet'!$A$192,'Données projet'!$B$192,EJ150+EI151-ER150)))</f>
        <v>349.0466666666664</v>
      </c>
      <c r="EK151" s="17">
        <f>EJ151*VLOOKUP('Données projet'!$B$15,Paramètres!$A$1:$I$89,3,0)*VLOOKUP('Données projet'!$B$15,Paramètres!$A$1:$I$89,5,0)</f>
        <v>353.93331999999975</v>
      </c>
      <c r="EL151" s="13">
        <f t="shared" si="153"/>
        <v>82.371895151305182</v>
      </c>
      <c r="EM151" s="20">
        <f t="shared" si="127"/>
        <v>759.89824972185613</v>
      </c>
      <c r="EN151" s="59">
        <f t="shared" si="128"/>
        <v>1053.2315830551895</v>
      </c>
      <c r="EO151" s="59">
        <f ca="1">AVERAGE(OFFSET($EN$3,0,0,'Données projet'!$E$15+1,1))-AVERAGE(OFFSET($H$3,0,0,'Données projet'!$E$15+1,1))</f>
        <v>420.38735944595965</v>
      </c>
      <c r="EP151" s="59">
        <f t="shared" si="154"/>
        <v>200.0823542414671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30.744570272611792</v>
      </c>
      <c r="EW151" s="21">
        <f>EXP(-LN(2)/25)*EW150+(1-EXP(-LN(2)/25))/(LN(2)/25)*Calculateur!ER151*Calculateur!ET151*VLOOKUP('Données projet'!$B$15,Paramètres!$A$1:$I$89,3,0)*0.475*44/12</f>
        <v>20.664718706664978</v>
      </c>
      <c r="EX151" s="21">
        <f>EXP(-LN(2)/2)*EX150+(1-EXP(-LN(2)/2))/(LN(2)/2)*ER151*EU151*VLOOKUP('Données projet'!$B$15,Paramètres!$A$1:$I$89,3,0)*0.475*44/12</f>
        <v>1.4765850166630405</v>
      </c>
      <c r="EY151" s="22">
        <f t="shared" si="129"/>
        <v>52.885873995939804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2.5579538487363607E-13</v>
      </c>
      <c r="FF151" s="17">
        <f>FE151*VLOOKUP('Données projet'!$B$16,Paramètres!$A$1:$I$89,3,0)*VLOOKUP('Données projet'!$B$16,Paramètres!$A$1:$I$89,5,0)</f>
        <v>2.7533815227798186E-13</v>
      </c>
      <c r="FG151" s="13">
        <f t="shared" si="155"/>
        <v>3.6763598146902537E-12</v>
      </c>
      <c r="FH151" s="20">
        <f t="shared" si="130"/>
        <v>6.88254062580301E-12</v>
      </c>
      <c r="FI151" s="59">
        <f t="shared" si="131"/>
        <v>293.33333333334019</v>
      </c>
      <c r="FJ151" s="59">
        <f ca="1">AVERAGE(OFFSET($FI$3,0,0,'Données projet'!$E$16+1,1))-AVERAGE(OFFSET($H$3,0,0,'Données projet'!$E$16+1,1))</f>
        <v>415.8741608506952</v>
      </c>
      <c r="FK151" s="59">
        <f t="shared" si="156"/>
        <v>259.15848913719356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94.092661381877093</v>
      </c>
      <c r="FR151" s="21">
        <f>EXP(-LN(2)/25)*FR150+(1-EXP(-LN(2)/25))/(LN(2)/25)*Calculateur!FM151*Calculateur!FO151*VLOOKUP('Données projet'!$B$16,Paramètres!$A$1:$I$89,3,0)*0.475*44/12</f>
        <v>17.002194262699369</v>
      </c>
      <c r="FS151" s="21">
        <f>EXP(-LN(2)/2)*FS150+(1-EXP(-LN(2)/2))/(LN(2)/2)*FM151*FP151*VLOOKUP('Données projet'!$B$16,Paramètres!$A$1:$I$89,3,0)*0.475*44/12</f>
        <v>1.5821581525213822E-2</v>
      </c>
      <c r="FT151" s="22">
        <f t="shared" si="132"/>
        <v>111.11067722610167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2.5579538487363607E-13</v>
      </c>
      <c r="GA151" s="17">
        <f>FZ151*VLOOKUP('Données projet'!$B$17,Paramètres!$A$1:$I$89,3,0)*VLOOKUP('Données projet'!$B$17,Paramètres!$A$1:$I$89,5,0)</f>
        <v>2.1947244022157976E-13</v>
      </c>
      <c r="GB151" s="13">
        <f t="shared" si="157"/>
        <v>3.0088145886933343E-12</v>
      </c>
      <c r="GC151" s="20">
        <f t="shared" si="133"/>
        <v>5.6225999086934742E-12</v>
      </c>
      <c r="GD151" s="59">
        <f t="shared" si="134"/>
        <v>293.33333333333894</v>
      </c>
      <c r="GE151" s="59">
        <f ca="1">AVERAGE(OFFSET($GD$3,0,0,'Données projet'!$E$17+1,1))-AVERAGE(OFFSET($H$3,0,0,'Données projet'!$E$17+1,1))</f>
        <v>322.39807389980882</v>
      </c>
      <c r="GF151" s="59">
        <f t="shared" si="158"/>
        <v>202.59410055732792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92.443582045221362</v>
      </c>
      <c r="GM151" s="21">
        <f>EXP(-LN(2)/25)*GM150+(1-EXP(-LN(2)/25))/(LN(2)/25)*Calculateur!GH151*Calculateur!GJ151*VLOOKUP('Données projet'!$B$17,Paramètres!$A$1:$I$89,3,0)*0.475*44/12</f>
        <v>16.704211754556344</v>
      </c>
      <c r="GN151" s="21">
        <f>EXP(-LN(2)/2)*GN150+(1-EXP(-LN(2)/2))/(LN(2)/2)*GH151*GK151*VLOOKUP('Données projet'!$B$17,Paramètres!$A$1:$I$89,3,0)*0.475*44/12</f>
        <v>1.2611405563576249E-2</v>
      </c>
      <c r="GO151" s="21">
        <f t="shared" si="135"/>
        <v>109.16040520534128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54.623399999999819</v>
      </c>
      <c r="D152" s="11">
        <f t="shared" si="140"/>
        <v>15.801558009840136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543.63125481279963</v>
      </c>
      <c r="H152" s="67">
        <f t="shared" si="110"/>
        <v>415.99013520047123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1.5961632016114892E-13</v>
      </c>
      <c r="P152" s="13">
        <f t="shared" si="141"/>
        <v>2.2708641912150958E-12</v>
      </c>
      <c r="Q152" s="20">
        <f t="shared" si="108"/>
        <v>4.2330868906469593E-12</v>
      </c>
      <c r="R152" s="59">
        <f t="shared" si="109"/>
        <v>293.33333333333752</v>
      </c>
      <c r="S152" s="59">
        <f ca="1">AVERAGE(OFFSET($R$3,0,0,'Données projet'!$E$9+1,1))-AVERAGE(OFFSET($H$3,0,0,'Données projet'!$E$9+1,1))</f>
        <v>215.77907571824977</v>
      </c>
      <c r="T152" s="59">
        <f t="shared" si="142"/>
        <v>174.69390149594869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59.424825451416858</v>
      </c>
      <c r="AA152" s="21">
        <f>EXP(-LN(2)/25)*AA151+(1-EXP(-LN(2)/25))/(LN(2)/25)*Calculateur!V152*Calculateur!X152*VLOOKUP('Données projet'!$B$9,Paramètres!$A$1:$I$89,3,0)*0.475*44/12</f>
        <v>13.816375683248079</v>
      </c>
      <c r="AB152" s="21">
        <f>EXP(-LN(2)/2)*AB151+(1-EXP(-LN(2)/2))/(LN(2)/2)*V152*Y152*VLOOKUP('Données projet'!$B$9,Paramètres!$A$1:$I$89,3,0)*0.475*44/12</f>
        <v>3.0029200571854288E-5</v>
      </c>
      <c r="AC152" s="22">
        <f t="shared" si="111"/>
        <v>73.241231163865507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-1.0197709343628959E-13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171.701352621833</v>
      </c>
      <c r="AO152" s="59">
        <f t="shared" si="144"/>
        <v>195.58435749168586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18.250423732198858</v>
      </c>
      <c r="AV152" s="21">
        <f>EXP(-LN(2)/25)*AV151+(1-EXP(-LN(2)/25))/(LN(2)/25)*Calculateur!AQ152*Calculateur!AS152*VLOOKUP('Données projet'!$B$10,Paramètres!$A$1:$I$89,3,0)*0.475*44/12</f>
        <v>3.3500365608905329</v>
      </c>
      <c r="AW152" s="21">
        <f>EXP(-LN(2)/2)*AW151+(1-EXP(-LN(2)/2))/(LN(2)/2)*AQ152*AT152*VLOOKUP('Données projet'!$B$10,Paramètres!$A$1:$I$89,3,0)*0.475*44/12</f>
        <v>3.5948978609849181E-12</v>
      </c>
      <c r="AX152" s="21">
        <f t="shared" si="114"/>
        <v>21.600460293092986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-1.1823431123048067E-13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348.29124901999882</v>
      </c>
      <c r="BJ152" s="59">
        <f t="shared" si="146"/>
        <v>284.30034973939053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55.418554179587588</v>
      </c>
      <c r="BQ152" s="21">
        <f>EXP(-LN(2)/25)*BQ151+(1-EXP(-LN(2)/25))/(LN(2)/25)*Calculateur!BL152*Calculateur!BN152*VLOOKUP('Données projet'!$B$11,Paramètres!$A$1:$I$89,3,0)*0.475*44/12</f>
        <v>11.482662354002604</v>
      </c>
      <c r="BR152" s="21">
        <f>EXP(-LN(2)/2)*BR151+(1-EXP(-LN(2)/2))/(LN(2)/2)*BL152*BO152*VLOOKUP('Données projet'!$B$11,Paramètres!$A$1:$I$89,3,0)*0.475*44/12</f>
        <v>3.4724644110029456E-9</v>
      </c>
      <c r="BS152" s="22">
        <f t="shared" si="117"/>
        <v>66.901216537062652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-2.2737367544323206E-13</v>
      </c>
      <c r="BZ152" s="13">
        <f>BY152*VLOOKUP('Données projet'!$B$12,Paramètres!$A$1:$I$89,3,0)*VLOOKUP('Données projet'!$B$12,Paramètres!$A$1:$I$89,5,0)</f>
        <v>-1.3596945791505279E-13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185.82627135915504</v>
      </c>
      <c r="CE152" s="59">
        <f t="shared" si="148"/>
        <v>155.46126452522037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43.631643241501401</v>
      </c>
      <c r="CL152" s="21">
        <f>EXP(-LN(2)/25)*CL151+(1-EXP(-LN(2)/25))/(LN(2)/25)*Calculateur!CG152*Calculateur!CI152*VLOOKUP('Données projet'!$B$12,Paramètres!$A$1:$I$89,3,0)*0.475*44/12</f>
        <v>10.247724031309419</v>
      </c>
      <c r="CM152" s="21">
        <f>EXP(-LN(2)/2)*CM151+(1-EXP(-LN(2)/2))/(LN(2)/2)*CG152*CJ152*VLOOKUP('Données projet'!$B$12,Paramètres!$A$1:$I$89,3,0)*0.475*44/12</f>
        <v>4.5671496780386342E-5</v>
      </c>
      <c r="CN152" s="22">
        <f t="shared" si="120"/>
        <v>53.879412944307596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0.91538461538461458</v>
      </c>
      <c r="CT152" s="12">
        <f>IF('Données projet'!$A$140&gt;35,CT151+CS152-DB151,IF(A152&lt;'Données projet'!$A$140,$CQ$205^A152,IF(A152='Données projet'!$A$140,'Données projet'!$B$140,CT151+CS152-DB151)))</f>
        <v>114.39230769230757</v>
      </c>
      <c r="CU152" s="17">
        <f>CT152*VLOOKUP('Données projet'!$B$13,Paramètres!$A$1:$I$89,3,0)*VLOOKUP('Données projet'!$B$13,Paramètres!$A$1:$I$89,5,0)</f>
        <v>131.77993846153831</v>
      </c>
      <c r="CV152" s="13">
        <f t="shared" si="149"/>
        <v>34.407324764736678</v>
      </c>
      <c r="CW152" s="20">
        <f t="shared" si="121"/>
        <v>289.4428167857622</v>
      </c>
      <c r="CX152" s="59">
        <f t="shared" si="122"/>
        <v>582.77615011909552</v>
      </c>
      <c r="CY152" s="59">
        <f ca="1">AVERAGE(OFFSET($CX$3,0,0,'Données projet'!$E$13+1,1))-AVERAGE(OFFSET($H$3,0,0,'Données projet'!$E$13+1,1))</f>
        <v>150.78964413039063</v>
      </c>
      <c r="CZ152" s="59">
        <f t="shared" si="150"/>
        <v>131.90332435966184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6.5616539724747369</v>
      </c>
      <c r="DG152" s="21">
        <f>EXP(-LN(2)/25)*DG151+(1-EXP(-LN(2)/25))/(LN(2)/25)*Calculateur!DB152*Calculateur!DD152*VLOOKUP('Données projet'!$B$13,Paramètres!$A$1:$I$89,3,0)*0.475*44/12</f>
        <v>2.4634738025230134</v>
      </c>
      <c r="DH152" s="21">
        <f>EXP(-LN(2)/2)*DH151+(1-EXP(-LN(2)/2))/(LN(2)/2)*DB152*DE152*VLOOKUP('Données projet'!$B$13,Paramètres!$A$1:$I$89,3,0)*0.475*44/12</f>
        <v>5.8623583411086116E-2</v>
      </c>
      <c r="DI152" s="22">
        <f t="shared" si="123"/>
        <v>9.0837513584088363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-1.4210854715202004E-14</v>
      </c>
      <c r="DP152" s="17">
        <f>DO152*VLOOKUP('Données projet'!$B$14,Paramètres!$A$1:$I$89,3,0)*VLOOKUP('Données projet'!$B$14,Paramètres!$A$1:$I$89,5,0)</f>
        <v>-1.4853185348329136E-14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110.10595934547638</v>
      </c>
      <c r="DU152" s="59">
        <f t="shared" si="152"/>
        <v>131.10971921141493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9.5305520583747381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9.5305520583747381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7.5191666666666634</v>
      </c>
      <c r="EJ152" s="12">
        <f>IF('Données projet'!$A$192&gt;35,EJ151+EI152-ER151,IF(A152&lt;'Données projet'!$A$192,$EG$205^A152,IF(A152='Données projet'!$A$192,'Données projet'!$B$192,EJ151+EI152-ER151)))</f>
        <v>356.56583333333305</v>
      </c>
      <c r="EK152" s="17">
        <f>EJ152*VLOOKUP('Données projet'!$B$15,Paramètres!$A$1:$I$89,3,0)*VLOOKUP('Données projet'!$B$15,Paramètres!$A$1:$I$89,5,0)</f>
        <v>361.5577549999997</v>
      </c>
      <c r="EL152" s="13">
        <f t="shared" si="153"/>
        <v>83.937854438215282</v>
      </c>
      <c r="EM152" s="20">
        <f t="shared" si="127"/>
        <v>775.904853104891</v>
      </c>
      <c r="EN152" s="59">
        <f t="shared" si="128"/>
        <v>1069.2381864382244</v>
      </c>
      <c r="EO152" s="59">
        <f ca="1">AVERAGE(OFFSET($EN$3,0,0,'Données projet'!$E$15+1,1))-AVERAGE(OFFSET($H$3,0,0,'Données projet'!$E$15+1,1))</f>
        <v>420.38735944595965</v>
      </c>
      <c r="EP152" s="59">
        <f t="shared" si="154"/>
        <v>200.0823542414671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30.141688001902104</v>
      </c>
      <c r="EW152" s="21">
        <f>EXP(-LN(2)/25)*EW151+(1-EXP(-LN(2)/25))/(LN(2)/25)*Calculateur!ER152*Calculateur!ET152*VLOOKUP('Données projet'!$B$15,Paramètres!$A$1:$I$89,3,0)*0.475*44/12</f>
        <v>20.099640886920898</v>
      </c>
      <c r="EX152" s="21">
        <f>EXP(-LN(2)/2)*EX151+(1-EXP(-LN(2)/2))/(LN(2)/2)*ER152*EU152*VLOOKUP('Données projet'!$B$15,Paramètres!$A$1:$I$89,3,0)*0.475*44/12</f>
        <v>1.0441032782808872</v>
      </c>
      <c r="EY152" s="22">
        <f t="shared" si="129"/>
        <v>51.285432167103892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2.5579538487363607E-13</v>
      </c>
      <c r="FF152" s="17">
        <f>FE152*VLOOKUP('Données projet'!$B$16,Paramètres!$A$1:$I$89,3,0)*VLOOKUP('Données projet'!$B$16,Paramètres!$A$1:$I$89,5,0)</f>
        <v>2.7533815227798186E-13</v>
      </c>
      <c r="FG152" s="13">
        <f t="shared" si="155"/>
        <v>3.6763598146902537E-12</v>
      </c>
      <c r="FH152" s="20">
        <f t="shared" si="130"/>
        <v>6.88254062580301E-12</v>
      </c>
      <c r="FI152" s="59">
        <f t="shared" si="131"/>
        <v>293.33333333334019</v>
      </c>
      <c r="FJ152" s="59">
        <f ca="1">AVERAGE(OFFSET($FI$3,0,0,'Données projet'!$E$16+1,1))-AVERAGE(OFFSET($H$3,0,0,'Données projet'!$E$16+1,1))</f>
        <v>415.8741608506952</v>
      </c>
      <c r="FK152" s="59">
        <f t="shared" si="156"/>
        <v>259.15848913719356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92.247561683035045</v>
      </c>
      <c r="FR152" s="21">
        <f>EXP(-LN(2)/25)*FR151+(1-EXP(-LN(2)/25))/(LN(2)/25)*Calculateur!FM152*Calculateur!FO152*VLOOKUP('Données projet'!$B$16,Paramètres!$A$1:$I$89,3,0)*0.475*44/12</f>
        <v>16.537268366479317</v>
      </c>
      <c r="FS152" s="21">
        <f>EXP(-LN(2)/2)*FS151+(1-EXP(-LN(2)/2))/(LN(2)/2)*FM152*FP152*VLOOKUP('Données projet'!$B$16,Paramètres!$A$1:$I$89,3,0)*0.475*44/12</f>
        <v>1.1187547585574492E-2</v>
      </c>
      <c r="FT152" s="22">
        <f t="shared" si="132"/>
        <v>108.79601759709995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2.5579538487363607E-13</v>
      </c>
      <c r="GA152" s="17">
        <f>FZ152*VLOOKUP('Données projet'!$B$17,Paramètres!$A$1:$I$89,3,0)*VLOOKUP('Données projet'!$B$17,Paramètres!$A$1:$I$89,5,0)</f>
        <v>2.1947244022157976E-13</v>
      </c>
      <c r="GB152" s="13">
        <f t="shared" si="157"/>
        <v>3.0088145886933343E-12</v>
      </c>
      <c r="GC152" s="20">
        <f t="shared" si="133"/>
        <v>5.6225999086934742E-12</v>
      </c>
      <c r="GD152" s="59">
        <f t="shared" si="134"/>
        <v>293.33333333333894</v>
      </c>
      <c r="GE152" s="59">
        <f ca="1">AVERAGE(OFFSET($GD$3,0,0,'Données projet'!$E$17+1,1))-AVERAGE(OFFSET($H$3,0,0,'Données projet'!$E$17+1,1))</f>
        <v>322.39807389980882</v>
      </c>
      <c r="GF152" s="59">
        <f t="shared" si="158"/>
        <v>202.59410055732792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90.630819786332054</v>
      </c>
      <c r="GM152" s="21">
        <f>EXP(-LN(2)/25)*GM151+(1-EXP(-LN(2)/25))/(LN(2)/25)*Calculateur!GH152*Calculateur!GJ152*VLOOKUP('Données projet'!$B$17,Paramètres!$A$1:$I$89,3,0)*0.475*44/12</f>
        <v>16.247434205691683</v>
      </c>
      <c r="GN152" s="21">
        <f>EXP(-LN(2)/2)*GN151+(1-EXP(-LN(2)/2))/(LN(2)/2)*GH152*GK152*VLOOKUP('Données projet'!$B$17,Paramètres!$A$1:$I$89,3,0)*0.475*44/12</f>
        <v>8.9176103942985186E-3</v>
      </c>
      <c r="GO152" s="21">
        <f t="shared" si="135"/>
        <v>106.88717160241802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54.989999999999817</v>
      </c>
      <c r="D153" s="11">
        <f t="shared" si="140"/>
        <v>15.895227919346972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547.18421551776476</v>
      </c>
      <c r="H153" s="67">
        <f t="shared" si="110"/>
        <v>416.791771959529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1.5961632016114892E-13</v>
      </c>
      <c r="P153" s="13">
        <f t="shared" si="141"/>
        <v>2.2708641912150958E-12</v>
      </c>
      <c r="Q153" s="20">
        <f t="shared" si="108"/>
        <v>4.2330868906469593E-12</v>
      </c>
      <c r="R153" s="59">
        <f t="shared" si="109"/>
        <v>293.33333333333752</v>
      </c>
      <c r="S153" s="59">
        <f ca="1">AVERAGE(OFFSET($R$3,0,0,'Données projet'!$E$9+1,1))-AVERAGE(OFFSET($H$3,0,0,'Données projet'!$E$9+1,1))</f>
        <v>215.77907571824977</v>
      </c>
      <c r="T153" s="59">
        <f t="shared" si="142"/>
        <v>174.69390149594869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58.259540869879146</v>
      </c>
      <c r="AA153" s="21">
        <f>EXP(-LN(2)/25)*AA152+(1-EXP(-LN(2)/25))/(LN(2)/25)*Calculateur!V153*Calculateur!X153*VLOOKUP('Données projet'!$B$9,Paramètres!$A$1:$I$89,3,0)*0.475*44/12</f>
        <v>13.438566163618042</v>
      </c>
      <c r="AB153" s="21">
        <f>EXP(-LN(2)/2)*AB152+(1-EXP(-LN(2)/2))/(LN(2)/2)*V153*Y153*VLOOKUP('Données projet'!$B$9,Paramètres!$A$1:$I$89,3,0)*0.475*44/12</f>
        <v>2.123385135796912E-5</v>
      </c>
      <c r="AC153" s="22">
        <f t="shared" si="111"/>
        <v>71.698128267348551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-1.0197709343628959E-13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171.701352621833</v>
      </c>
      <c r="AO153" s="59">
        <f t="shared" si="144"/>
        <v>195.58435749168586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17.892544054469756</v>
      </c>
      <c r="AV153" s="21">
        <f>EXP(-LN(2)/25)*AV152+(1-EXP(-LN(2)/25))/(LN(2)/25)*Calculateur!AQ153*Calculateur!AS153*VLOOKUP('Données projet'!$B$10,Paramètres!$A$1:$I$89,3,0)*0.475*44/12</f>
        <v>3.2584296349622153</v>
      </c>
      <c r="AW153" s="21">
        <f>EXP(-LN(2)/2)*AW152+(1-EXP(-LN(2)/2))/(LN(2)/2)*AQ153*AT153*VLOOKUP('Données projet'!$B$10,Paramètres!$A$1:$I$89,3,0)*0.475*44/12</f>
        <v>2.5419766551754503E-12</v>
      </c>
      <c r="AX153" s="21">
        <f t="shared" si="114"/>
        <v>21.150973689434515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-1.1823431123048067E-13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348.29124901999882</v>
      </c>
      <c r="BJ153" s="59">
        <f t="shared" si="146"/>
        <v>284.30034973939053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54.331830134106255</v>
      </c>
      <c r="BQ153" s="21">
        <f>EXP(-LN(2)/25)*BQ152+(1-EXP(-LN(2)/25))/(LN(2)/25)*Calculateur!BL153*Calculateur!BN153*VLOOKUP('Données projet'!$B$11,Paramètres!$A$1:$I$89,3,0)*0.475*44/12</f>
        <v>11.168668348085435</v>
      </c>
      <c r="BR153" s="21">
        <f>EXP(-LN(2)/2)*BR152+(1-EXP(-LN(2)/2))/(LN(2)/2)*BL153*BO153*VLOOKUP('Données projet'!$B$11,Paramètres!$A$1:$I$89,3,0)*0.475*44/12</f>
        <v>2.4554031324491334E-9</v>
      </c>
      <c r="BS153" s="22">
        <f t="shared" si="117"/>
        <v>65.500498484647096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-2.2737367544323206E-13</v>
      </c>
      <c r="BZ153" s="13">
        <f>BY153*VLOOKUP('Données projet'!$B$12,Paramètres!$A$1:$I$89,3,0)*VLOOKUP('Données projet'!$B$12,Paramètres!$A$1:$I$89,5,0)</f>
        <v>-1.3596945791505279E-13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185.82627135915504</v>
      </c>
      <c r="CE153" s="59">
        <f t="shared" si="148"/>
        <v>155.46126452522037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42.776053330210154</v>
      </c>
      <c r="CL153" s="21">
        <f>EXP(-LN(2)/25)*CL152+(1-EXP(-LN(2)/25))/(LN(2)/25)*Calculateur!CG153*Calculateur!CI153*VLOOKUP('Données projet'!$B$12,Paramètres!$A$1:$I$89,3,0)*0.475*44/12</f>
        <v>9.9674994787688771</v>
      </c>
      <c r="CM153" s="21">
        <f>EXP(-LN(2)/2)*CM152+(1-EXP(-LN(2)/2))/(LN(2)/2)*CG153*CJ153*VLOOKUP('Données projet'!$B$12,Paramètres!$A$1:$I$89,3,0)*0.475*44/12</f>
        <v>3.2294625080350754E-5</v>
      </c>
      <c r="CN153" s="22">
        <f t="shared" si="120"/>
        <v>52.743585103604111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115.30769230769231</v>
      </c>
      <c r="CR153" s="12">
        <f>VLOOKUP(A153,'Données projet'!$A$139:$I$159,9,0)</f>
        <v>0.91538461538461458</v>
      </c>
      <c r="CS153" s="12">
        <f t="array" ref="CS153">INDEX(CR:CR,MIN(IF(ISNUMBER(CR153:CR349),ROW(CR153:CR349),"")))</f>
        <v>0.91538461538461458</v>
      </c>
      <c r="CT153" s="12">
        <f>IF('Données projet'!$A$140&gt;35,CT152+CS153-DB152,IF(A153&lt;'Données projet'!$A$140,$CQ$205^A153,IF(A153='Données projet'!$A$140,'Données projet'!$B$140,CT152+CS153-DB152)))</f>
        <v>115.30769230769218</v>
      </c>
      <c r="CU153" s="17">
        <f>CT153*VLOOKUP('Données projet'!$B$13,Paramètres!$A$1:$I$89,3,0)*VLOOKUP('Données projet'!$B$13,Paramètres!$A$1:$I$89,5,0)</f>
        <v>132.83446153846137</v>
      </c>
      <c r="CV153" s="13">
        <f t="shared" si="149"/>
        <v>34.650495715439966</v>
      </c>
      <c r="CW153" s="20">
        <f t="shared" si="121"/>
        <v>291.70296721721144</v>
      </c>
      <c r="CX153" s="59">
        <f t="shared" si="122"/>
        <v>585.03630055054475</v>
      </c>
      <c r="CY153" s="59">
        <f ca="1">AVERAGE(OFFSET($CX$3,0,0,'Données projet'!$E$13+1,1))-AVERAGE(OFFSET($H$3,0,0,'Données projet'!$E$13+1,1))</f>
        <v>150.78964413039063</v>
      </c>
      <c r="CZ153" s="59">
        <f t="shared" si="150"/>
        <v>131.90332435966184</v>
      </c>
      <c r="DA153" s="15">
        <f>IF(ISNA(VLOOKUP(A153,'Données projet'!$A$139:$I$159,3,0)),0,VLOOKUP(A153,'Données projet'!$A$139:$I$159,3,0))</f>
        <v>15</v>
      </c>
      <c r="DB153" s="15">
        <f>IF(ISNA(VLOOKUP(A153,'Données projet'!$A$139:$I$159,4,0)),0,VLOOKUP(A153,'Données projet'!$A$139:$I$159,4,0))</f>
        <v>115.30769230769231</v>
      </c>
      <c r="DC153" s="16">
        <f>IF(ISNA(VLOOKUP(A153,'Données projet'!$A$139:$I$159,5,0)),0%,VLOOKUP(A153,'Données projet'!$A$139:$I$159,5,0)*VLOOKUP('Données projet'!$B$13,Paramètres!$A$1:$I$89,7,0))</f>
        <v>0.18000000000000002</v>
      </c>
      <c r="DD153" s="16">
        <f>IF(ISNA(VLOOKUP(A153,'Données projet'!$A$139:$I$159,6,0)),0%,VLOOKUP(A153,'Données projet'!$A$139:$I$159,6,0)*VLOOKUP('Données projet'!$B$13,Paramètres!$A$1:$I$89,7,0))</f>
        <v>9.0000000000000011E-2</v>
      </c>
      <c r="DE153" s="16">
        <f>IF(ISNA(VLOOKUP(A153,'Données projet'!$A$139:$I$159,7,0)),0%,VLOOKUP(A153,'Données projet'!$A$139:$I$159,7,0))</f>
        <v>0.2</v>
      </c>
      <c r="DF153" s="21">
        <f>EXP(-LN(2)/35)*DF152+(1-EXP(-LN(2)/35))/(LN(2)/35)*DB153*DC153*VLOOKUP('Données projet'!$B$13,Paramètres!$A$1:$I$89,3,0)*0.475*44/12</f>
        <v>23.613797765889689</v>
      </c>
      <c r="DG153" s="21">
        <f>EXP(-LN(2)/25)*DG152+(1-EXP(-LN(2)/25))/(LN(2)/25)*Calculateur!DB153*Calculateur!DD153*VLOOKUP('Données projet'!$B$13,Paramètres!$A$1:$I$89,3,0)*0.475*44/12</f>
        <v>10.952693189427944</v>
      </c>
      <c r="DH153" s="21">
        <f>EXP(-LN(2)/2)*DH152+(1-EXP(-LN(2)/2))/(LN(2)/2)*DB153*DE153*VLOOKUP('Données projet'!$B$13,Paramètres!$A$1:$I$89,3,0)*0.475*44/12</f>
        <v>16.334728787692288</v>
      </c>
      <c r="DI153" s="22">
        <f t="shared" si="123"/>
        <v>50.901219743009918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-1.4210854715202004E-14</v>
      </c>
      <c r="DP153" s="17">
        <f>DO153*VLOOKUP('Données projet'!$B$14,Paramètres!$A$1:$I$89,3,0)*VLOOKUP('Données projet'!$B$14,Paramètres!$A$1:$I$89,5,0)</f>
        <v>-1.4853185348329136E-14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110.10595934547638</v>
      </c>
      <c r="DU153" s="59">
        <f t="shared" si="152"/>
        <v>131.10971921141493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9.2699386111485307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9.2699386111485307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7.5191666666666634</v>
      </c>
      <c r="EJ153" s="12">
        <f>IF('Données projet'!$A$192&gt;35,EJ152+EI153-ER152,IF(A153&lt;'Données projet'!$A$192,$EG$205^A153,IF(A153='Données projet'!$A$192,'Données projet'!$B$192,EJ152+EI153-ER152)))</f>
        <v>364.0849999999997</v>
      </c>
      <c r="EK153" s="17">
        <f>EJ153*VLOOKUP('Données projet'!$B$15,Paramètres!$A$1:$I$89,3,0)*VLOOKUP('Données projet'!$B$15,Paramètres!$A$1:$I$89,5,0)</f>
        <v>369.18218999999971</v>
      </c>
      <c r="EL153" s="13">
        <f t="shared" si="153"/>
        <v>85.499974314579831</v>
      </c>
      <c r="EM153" s="20">
        <f t="shared" si="127"/>
        <v>791.90476951455923</v>
      </c>
      <c r="EN153" s="59">
        <f t="shared" si="128"/>
        <v>1085.2381028478926</v>
      </c>
      <c r="EO153" s="59">
        <f ca="1">AVERAGE(OFFSET($EN$3,0,0,'Données projet'!$E$15+1,1))-AVERAGE(OFFSET($H$3,0,0,'Données projet'!$E$15+1,1))</f>
        <v>420.38735944595965</v>
      </c>
      <c r="EP153" s="59">
        <f t="shared" si="154"/>
        <v>200.0823542414671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29.550627884799155</v>
      </c>
      <c r="EW153" s="21">
        <f>EXP(-LN(2)/25)*EW152+(1-EXP(-LN(2)/25))/(LN(2)/25)*Calculateur!ER153*Calculateur!ET153*VLOOKUP('Données projet'!$B$15,Paramètres!$A$1:$I$89,3,0)*0.475*44/12</f>
        <v>19.550015149873872</v>
      </c>
      <c r="EX153" s="21">
        <f>EXP(-LN(2)/2)*EX152+(1-EXP(-LN(2)/2))/(LN(2)/2)*ER153*EU153*VLOOKUP('Données projet'!$B$15,Paramètres!$A$1:$I$89,3,0)*0.475*44/12</f>
        <v>0.73829250833152027</v>
      </c>
      <c r="EY153" s="22">
        <f t="shared" si="129"/>
        <v>49.838935543004546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2.5579538487363607E-13</v>
      </c>
      <c r="FF153" s="17">
        <f>FE153*VLOOKUP('Données projet'!$B$16,Paramètres!$A$1:$I$89,3,0)*VLOOKUP('Données projet'!$B$16,Paramètres!$A$1:$I$89,5,0)</f>
        <v>2.7533815227798186E-13</v>
      </c>
      <c r="FG153" s="13">
        <f t="shared" si="155"/>
        <v>3.6763598146902537E-12</v>
      </c>
      <c r="FH153" s="20">
        <f t="shared" si="130"/>
        <v>6.88254062580301E-12</v>
      </c>
      <c r="FI153" s="59">
        <f t="shared" si="131"/>
        <v>293.33333333334019</v>
      </c>
      <c r="FJ153" s="59">
        <f ca="1">AVERAGE(OFFSET($FI$3,0,0,'Données projet'!$E$16+1,1))-AVERAGE(OFFSET($H$3,0,0,'Données projet'!$E$16+1,1))</f>
        <v>415.8741608506952</v>
      </c>
      <c r="FK153" s="59">
        <f t="shared" si="156"/>
        <v>259.15848913719356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90.438643263887599</v>
      </c>
      <c r="FR153" s="21">
        <f>EXP(-LN(2)/25)*FR152+(1-EXP(-LN(2)/25))/(LN(2)/25)*Calculateur!FM153*Calculateur!FO153*VLOOKUP('Données projet'!$B$16,Paramètres!$A$1:$I$89,3,0)*0.475*44/12</f>
        <v>16.085055893340794</v>
      </c>
      <c r="FS153" s="21">
        <f>EXP(-LN(2)/2)*FS152+(1-EXP(-LN(2)/2))/(LN(2)/2)*FM153*FP153*VLOOKUP('Données projet'!$B$16,Paramètres!$A$1:$I$89,3,0)*0.475*44/12</f>
        <v>7.9107907626069108E-3</v>
      </c>
      <c r="FT153" s="22">
        <f t="shared" si="132"/>
        <v>106.531609947991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2.5579538487363607E-13</v>
      </c>
      <c r="GA153" s="17">
        <f>FZ153*VLOOKUP('Données projet'!$B$17,Paramètres!$A$1:$I$89,3,0)*VLOOKUP('Données projet'!$B$17,Paramètres!$A$1:$I$89,5,0)</f>
        <v>2.1947244022157976E-13</v>
      </c>
      <c r="GB153" s="13">
        <f t="shared" si="157"/>
        <v>3.0088145886933343E-12</v>
      </c>
      <c r="GC153" s="20">
        <f t="shared" si="133"/>
        <v>5.6225999086934742E-12</v>
      </c>
      <c r="GD153" s="59">
        <f t="shared" si="134"/>
        <v>293.33333333333894</v>
      </c>
      <c r="GE153" s="59">
        <f ca="1">AVERAGE(OFFSET($GD$3,0,0,'Données projet'!$E$17+1,1))-AVERAGE(OFFSET($H$3,0,0,'Données projet'!$E$17+1,1))</f>
        <v>322.39807389980882</v>
      </c>
      <c r="GF153" s="59">
        <f t="shared" si="158"/>
        <v>202.59410055732792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88.853604689663769</v>
      </c>
      <c r="GM153" s="21">
        <f>EXP(-LN(2)/25)*GM152+(1-EXP(-LN(2)/25))/(LN(2)/25)*Calculateur!GH153*Calculateur!GJ153*VLOOKUP('Données projet'!$B$17,Paramètres!$A$1:$I$89,3,0)*0.475*44/12</f>
        <v>15.803147262921613</v>
      </c>
      <c r="GN153" s="21">
        <f>EXP(-LN(2)/2)*GN152+(1-EXP(-LN(2)/2))/(LN(2)/2)*GH153*GK153*VLOOKUP('Données projet'!$B$17,Paramètres!$A$1:$I$89,3,0)*0.475*44/12</f>
        <v>6.3057027817881245E-3</v>
      </c>
      <c r="GO153" s="21">
        <f t="shared" si="135"/>
        <v>104.66305765536717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55.356599999999816</v>
      </c>
      <c r="D154" s="11">
        <f t="shared" si="140"/>
        <v>15.988825168630273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550.73661533679376</v>
      </c>
      <c r="H154" s="67">
        <f t="shared" si="110"/>
        <v>417.59328216869739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1.5961632016114892E-13</v>
      </c>
      <c r="P154" s="13">
        <f t="shared" si="141"/>
        <v>2.2708641912150958E-12</v>
      </c>
      <c r="Q154" s="20">
        <f t="shared" ref="Q154:Q203" si="162">(O154+P154)*0.475*44/12</f>
        <v>4.2330868906469593E-12</v>
      </c>
      <c r="R154" s="59">
        <f t="shared" si="109"/>
        <v>293.33333333333752</v>
      </c>
      <c r="S154" s="59">
        <f ca="1">AVERAGE(OFFSET($R$3,0,0,'Données projet'!$E$9+1,1))-AVERAGE(OFFSET($H$3,0,0,'Données projet'!$E$9+1,1))</f>
        <v>215.77907571824977</v>
      </c>
      <c r="T154" s="59">
        <f t="shared" si="142"/>
        <v>174.69390149594869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57.117106808231974</v>
      </c>
      <c r="AA154" s="21">
        <f>EXP(-LN(2)/25)*AA153+(1-EXP(-LN(2)/25))/(LN(2)/25)*Calculateur!V154*Calculateur!X154*VLOOKUP('Données projet'!$B$9,Paramètres!$A$1:$I$89,3,0)*0.475*44/12</f>
        <v>13.071087865170426</v>
      </c>
      <c r="AB154" s="21">
        <f>EXP(-LN(2)/2)*AB153+(1-EXP(-LN(2)/2))/(LN(2)/2)*V154*Y154*VLOOKUP('Données projet'!$B$9,Paramètres!$A$1:$I$89,3,0)*0.475*44/12</f>
        <v>1.5014600285927146E-5</v>
      </c>
      <c r="AC154" s="22">
        <f t="shared" ref="AC154:AC203" si="163">SUM(Z154:AB154)</f>
        <v>70.188209688002672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-1.0197709343628959E-13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171.701352621833</v>
      </c>
      <c r="AO154" s="59">
        <f t="shared" si="144"/>
        <v>195.58435749168586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17.541682178935872</v>
      </c>
      <c r="AV154" s="21">
        <f>EXP(-LN(2)/25)*AV153+(1-EXP(-LN(2)/25))/(LN(2)/25)*Calculateur!AQ154*Calculateur!AS154*VLOOKUP('Données projet'!$B$10,Paramètres!$A$1:$I$89,3,0)*0.475*44/12</f>
        <v>3.1693277052408062</v>
      </c>
      <c r="AW154" s="21">
        <f>EXP(-LN(2)/2)*AW153+(1-EXP(-LN(2)/2))/(LN(2)/2)*AQ154*AT154*VLOOKUP('Données projet'!$B$10,Paramètres!$A$1:$I$89,3,0)*0.475*44/12</f>
        <v>1.7974489304924592E-12</v>
      </c>
      <c r="AX154" s="21">
        <f t="shared" ref="AX154:AX203" si="166">SUM(AU154:AW154)</f>
        <v>20.711009884178477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-1.1823431123048067E-13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348.29124901999882</v>
      </c>
      <c r="BJ154" s="59">
        <f t="shared" si="146"/>
        <v>284.30034973939053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53.266416084320596</v>
      </c>
      <c r="BQ154" s="21">
        <f>EXP(-LN(2)/25)*BQ153+(1-EXP(-LN(2)/25))/(LN(2)/25)*Calculateur!BL154*Calculateur!BN154*VLOOKUP('Données projet'!$B$11,Paramètres!$A$1:$I$89,3,0)*0.475*44/12</f>
        <v>10.863260524772297</v>
      </c>
      <c r="BR154" s="21">
        <f>EXP(-LN(2)/2)*BR153+(1-EXP(-LN(2)/2))/(LN(2)/2)*BL154*BO154*VLOOKUP('Données projet'!$B$11,Paramètres!$A$1:$I$89,3,0)*0.475*44/12</f>
        <v>1.7362322055014728E-9</v>
      </c>
      <c r="BS154" s="22">
        <f t="shared" ref="BS154:BS203" si="169">SUM(BP154:BR154)</f>
        <v>64.129676610829122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-1.3596945791505279E-13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185.82627135915504</v>
      </c>
      <c r="CE154" s="59">
        <f t="shared" si="148"/>
        <v>155.46126452522037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41.937241015221012</v>
      </c>
      <c r="CL154" s="21">
        <f>EXP(-LN(2)/25)*CL153+(1-EXP(-LN(2)/25))/(LN(2)/25)*Calculateur!CG154*Calculateur!CI154*VLOOKUP('Données projet'!$B$12,Paramètres!$A$1:$I$89,3,0)*0.475*44/12</f>
        <v>9.6949376813539256</v>
      </c>
      <c r="CM154" s="21">
        <f>EXP(-LN(2)/2)*CM153+(1-EXP(-LN(2)/2))/(LN(2)/2)*CG154*CJ154*VLOOKUP('Données projet'!$B$12,Paramètres!$A$1:$I$89,3,0)*0.475*44/12</f>
        <v>2.2835748390193171E-5</v>
      </c>
      <c r="CN154" s="22">
        <f t="shared" ref="CN154:CN203" si="172">SUM(CK154:CM154)</f>
        <v>51.632201532323329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-1.2789769243681803E-13</v>
      </c>
      <c r="CU154" s="17">
        <f>CT154*VLOOKUP('Données projet'!$B$13,Paramètres!$A$1:$I$89,3,0)*VLOOKUP('Données projet'!$B$13,Paramètres!$A$1:$I$89,5,0)</f>
        <v>-1.4733814168721438E-13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150.78964413039063</v>
      </c>
      <c r="CZ154" s="59">
        <f t="shared" si="150"/>
        <v>131.90332435966184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23.150745594695053</v>
      </c>
      <c r="DG154" s="21">
        <f>EXP(-LN(2)/25)*DG153+(1-EXP(-LN(2)/25))/(LN(2)/25)*Calculateur!DB154*Calculateur!DD154*VLOOKUP('Données projet'!$B$13,Paramètres!$A$1:$I$89,3,0)*0.475*44/12</f>
        <v>10.653191218185935</v>
      </c>
      <c r="DH154" s="21">
        <f>EXP(-LN(2)/2)*DH153+(1-EXP(-LN(2)/2))/(LN(2)/2)*DB154*DE154*VLOOKUP('Données projet'!$B$13,Paramètres!$A$1:$I$89,3,0)*0.475*44/12</f>
        <v>11.550397494620331</v>
      </c>
      <c r="DI154" s="22">
        <f t="shared" ref="DI154:DI203" si="175">SUM(DF154:DH154)</f>
        <v>45.354334307501318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-1.4210854715202004E-14</v>
      </c>
      <c r="DP154" s="17">
        <f>DO154*VLOOKUP('Données projet'!$B$14,Paramètres!$A$1:$I$89,3,0)*VLOOKUP('Données projet'!$B$14,Paramètres!$A$1:$I$89,5,0)</f>
        <v>-1.4853185348329136E-14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110.10595934547638</v>
      </c>
      <c r="DU154" s="59">
        <f t="shared" si="152"/>
        <v>131.10971921141493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9.0164516523417895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9.0164516523417895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7.5191666666666634</v>
      </c>
      <c r="EJ154" s="12">
        <f>IF('Données projet'!$A$192&gt;35,EJ153+EI154-ER153,IF(A154&lt;'Données projet'!$A$192,$EG$205^A154,IF(A154='Données projet'!$A$192,'Données projet'!$B$192,EJ153+EI154-ER153)))</f>
        <v>371.60416666666634</v>
      </c>
      <c r="EK154" s="17">
        <f>EJ154*VLOOKUP('Données projet'!$B$15,Paramètres!$A$1:$I$89,3,0)*VLOOKUP('Données projet'!$B$15,Paramètres!$A$1:$I$89,5,0)</f>
        <v>376.80662499999971</v>
      </c>
      <c r="EL154" s="13">
        <f t="shared" ref="EL154:EL203" si="179">EXP(-1.0587+0.8836*LN(EK154)+0.284)</f>
        <v>87.058343208792692</v>
      </c>
      <c r="EM154" s="20">
        <f t="shared" ref="EM154:EM203" si="180">(EK154+EL154)*0.475*44/12</f>
        <v>807.89815296364668</v>
      </c>
      <c r="EN154" s="59">
        <f t="shared" si="128"/>
        <v>1101.2314862969799</v>
      </c>
      <c r="EO154" s="59">
        <f ca="1">AVERAGE(OFFSET($EN$3,0,0,'Données projet'!$E$15+1,1))-AVERAGE(OFFSET($H$3,0,0,'Données projet'!$E$15+1,1))</f>
        <v>420.38735944595965</v>
      </c>
      <c r="EP154" s="59">
        <f t="shared" si="154"/>
        <v>200.0823542414671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28.97115809608152</v>
      </c>
      <c r="EW154" s="21">
        <f>EXP(-LN(2)/25)*EW153+(1-EXP(-LN(2)/25))/(LN(2)/25)*Calculateur!ER154*Calculateur!ET154*VLOOKUP('Données projet'!$B$15,Paramètres!$A$1:$I$89,3,0)*0.475*44/12</f>
        <v>19.015418957509954</v>
      </c>
      <c r="EX154" s="21">
        <f>EXP(-LN(2)/2)*EX153+(1-EXP(-LN(2)/2))/(LN(2)/2)*ER154*EU154*VLOOKUP('Données projet'!$B$15,Paramètres!$A$1:$I$89,3,0)*0.475*44/12</f>
        <v>0.52205163914044361</v>
      </c>
      <c r="EY154" s="22">
        <f t="shared" ref="EY154:EY203" si="181">SUM(EV154:EX154)</f>
        <v>48.508628692731918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2.5579538487363607E-13</v>
      </c>
      <c r="FF154" s="17">
        <f>FE154*VLOOKUP('Données projet'!$B$16,Paramètres!$A$1:$I$89,3,0)*VLOOKUP('Données projet'!$B$16,Paramètres!$A$1:$I$89,5,0)</f>
        <v>2.7533815227798186E-13</v>
      </c>
      <c r="FG154" s="13">
        <f t="shared" ref="FG154:FG203" si="182">EXP(-1.0587+0.8836*LN(FF154)+0.284)</f>
        <v>3.6763598146902537E-12</v>
      </c>
      <c r="FH154" s="20">
        <f t="shared" ref="FH154:FH203" si="183">(FF154+FG154)*0.475*44/12</f>
        <v>6.88254062580301E-12</v>
      </c>
      <c r="FI154" s="59">
        <f t="shared" si="131"/>
        <v>293.33333333334019</v>
      </c>
      <c r="FJ154" s="59">
        <f ca="1">AVERAGE(OFFSET($FI$3,0,0,'Données projet'!$E$16+1,1))-AVERAGE(OFFSET($H$3,0,0,'Données projet'!$E$16+1,1))</f>
        <v>415.8741608506952</v>
      </c>
      <c r="FK154" s="59">
        <f t="shared" si="156"/>
        <v>259.15848913719356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88.665196631608353</v>
      </c>
      <c r="FR154" s="21">
        <f>EXP(-LN(2)/25)*FR153+(1-EXP(-LN(2)/25))/(LN(2)/25)*Calculateur!FM154*Calculateur!FO154*VLOOKUP('Données projet'!$B$16,Paramètres!$A$1:$I$89,3,0)*0.475*44/12</f>
        <v>15.645209194061064</v>
      </c>
      <c r="FS154" s="21">
        <f>EXP(-LN(2)/2)*FS153+(1-EXP(-LN(2)/2))/(LN(2)/2)*FM154*FP154*VLOOKUP('Données projet'!$B$16,Paramètres!$A$1:$I$89,3,0)*0.475*44/12</f>
        <v>5.5937737927872462E-3</v>
      </c>
      <c r="FT154" s="22">
        <f t="shared" ref="FT154:FT203" si="184">SUM(FQ154:FS154)</f>
        <v>104.3159995994622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2.5579538487363607E-13</v>
      </c>
      <c r="GA154" s="17">
        <f>FZ154*VLOOKUP('Données projet'!$B$17,Paramètres!$A$1:$I$89,3,0)*VLOOKUP('Données projet'!$B$17,Paramètres!$A$1:$I$89,5,0)</f>
        <v>2.1947244022157976E-13</v>
      </c>
      <c r="GB154" s="13">
        <f t="shared" ref="GB154:GB203" si="185">EXP(-1.0587+0.8836*LN(GA154)+0.284)</f>
        <v>3.0088145886933343E-12</v>
      </c>
      <c r="GC154" s="20">
        <f t="shared" ref="GC154:GC203" si="186">(GA154+GB154)*0.475*44/12</f>
        <v>5.6225999086934742E-12</v>
      </c>
      <c r="GD154" s="59">
        <f t="shared" si="134"/>
        <v>293.33333333333894</v>
      </c>
      <c r="GE154" s="59">
        <f ca="1">AVERAGE(OFFSET($GD$3,0,0,'Données projet'!$E$17+1,1))-AVERAGE(OFFSET($H$3,0,0,'Données projet'!$E$17+1,1))</f>
        <v>322.39807389980882</v>
      </c>
      <c r="GF154" s="59">
        <f t="shared" si="158"/>
        <v>202.59410055732792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87.111239697046983</v>
      </c>
      <c r="GM154" s="21">
        <f>EXP(-LN(2)/25)*GM153+(1-EXP(-LN(2)/25))/(LN(2)/25)*Calculateur!GH154*Calculateur!GJ154*VLOOKUP('Données projet'!$B$17,Paramètres!$A$1:$I$89,3,0)*0.475*44/12</f>
        <v>15.371009369965625</v>
      </c>
      <c r="GN154" s="21">
        <f>EXP(-LN(2)/2)*GN153+(1-EXP(-LN(2)/2))/(LN(2)/2)*GH154*GK154*VLOOKUP('Données projet'!$B$17,Paramètres!$A$1:$I$89,3,0)*0.475*44/12</f>
        <v>4.4588051971492593E-3</v>
      </c>
      <c r="GO154" s="21">
        <f t="shared" ref="GO154:GO203" si="187">SUM(GL154:GN154)</f>
        <v>102.48670787220975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55.723199999999814</v>
      </c>
      <c r="D155" s="11">
        <f t="shared" si="140"/>
        <v>16.082350294695399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554.28845841519114</v>
      </c>
      <c r="H155" s="67">
        <f t="shared" si="110"/>
        <v>418.39466676326077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1.5961632016114892E-13</v>
      </c>
      <c r="P155" s="13">
        <f t="shared" si="141"/>
        <v>2.2708641912150958E-12</v>
      </c>
      <c r="Q155" s="20">
        <f t="shared" si="162"/>
        <v>4.2330868906469593E-12</v>
      </c>
      <c r="R155" s="59">
        <f t="shared" si="109"/>
        <v>293.33333333333752</v>
      </c>
      <c r="S155" s="59">
        <f ca="1">AVERAGE(OFFSET($R$3,0,0,'Données projet'!$E$9+1,1))-AVERAGE(OFFSET($H$3,0,0,'Données projet'!$E$9+1,1))</f>
        <v>215.77907571824977</v>
      </c>
      <c r="T155" s="59">
        <f t="shared" si="142"/>
        <v>174.69390149594869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55.997075181717733</v>
      </c>
      <c r="AA155" s="21">
        <f>EXP(-LN(2)/25)*AA154+(1-EXP(-LN(2)/25))/(LN(2)/25)*Calculateur!V155*Calculateur!X155*VLOOKUP('Données projet'!$B$9,Paramètres!$A$1:$I$89,3,0)*0.475*44/12</f>
        <v>12.713658280118704</v>
      </c>
      <c r="AB155" s="21">
        <f>EXP(-LN(2)/2)*AB154+(1-EXP(-LN(2)/2))/(LN(2)/2)*V155*Y155*VLOOKUP('Données projet'!$B$9,Paramètres!$A$1:$I$89,3,0)*0.475*44/12</f>
        <v>1.0616925678984562E-5</v>
      </c>
      <c r="AC155" s="22">
        <f t="shared" si="163"/>
        <v>68.710744078762119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-1.0197709343628959E-13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171.701352621833</v>
      </c>
      <c r="AO155" s="59">
        <f t="shared" si="144"/>
        <v>195.58435749168586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17.197700490776594</v>
      </c>
      <c r="AV155" s="21">
        <f>EXP(-LN(2)/25)*AV154+(1-EXP(-LN(2)/25))/(LN(2)/25)*Calculateur!AQ155*Calculateur!AS155*VLOOKUP('Données projet'!$B$10,Paramètres!$A$1:$I$89,3,0)*0.475*44/12</f>
        <v>3.0826622724732959</v>
      </c>
      <c r="AW155" s="21">
        <f>EXP(-LN(2)/2)*AW154+(1-EXP(-LN(2)/2))/(LN(2)/2)*AQ155*AT155*VLOOKUP('Données projet'!$B$10,Paramètres!$A$1:$I$89,3,0)*0.475*44/12</f>
        <v>1.2709883275877254E-12</v>
      </c>
      <c r="AX155" s="21">
        <f t="shared" si="166"/>
        <v>20.280362763251162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-1.1823431123048067E-13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348.29124901999882</v>
      </c>
      <c r="BJ155" s="59">
        <f t="shared" si="146"/>
        <v>284.30034973939053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52.221894154212826</v>
      </c>
      <c r="BQ155" s="21">
        <f>EXP(-LN(2)/25)*BQ154+(1-EXP(-LN(2)/25))/(LN(2)/25)*Calculateur!BL155*Calculateur!BN155*VLOOKUP('Données projet'!$B$11,Paramètres!$A$1:$I$89,3,0)*0.475*44/12</f>
        <v>10.566204094448356</v>
      </c>
      <c r="BR155" s="21">
        <f>EXP(-LN(2)/2)*BR154+(1-EXP(-LN(2)/2))/(LN(2)/2)*BL155*BO155*VLOOKUP('Données projet'!$B$11,Paramètres!$A$1:$I$89,3,0)*0.475*44/12</f>
        <v>1.2277015662245667E-9</v>
      </c>
      <c r="BS155" s="22">
        <f t="shared" si="169"/>
        <v>62.78809824988889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-1.3596945791505279E-13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185.82627135915504</v>
      </c>
      <c r="CE155" s="59">
        <f t="shared" si="148"/>
        <v>155.46126452522037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41.114877298103814</v>
      </c>
      <c r="CL155" s="21">
        <f>EXP(-LN(2)/25)*CL154+(1-EXP(-LN(2)/25))/(LN(2)/25)*Calculateur!CG155*Calculateur!CI155*VLOOKUP('Données projet'!$B$12,Paramètres!$A$1:$I$89,3,0)*0.475*44/12</f>
        <v>9.4298291006226886</v>
      </c>
      <c r="CM155" s="21">
        <f>EXP(-LN(2)/2)*CM154+(1-EXP(-LN(2)/2))/(LN(2)/2)*CG155*CJ155*VLOOKUP('Données projet'!$B$12,Paramètres!$A$1:$I$89,3,0)*0.475*44/12</f>
        <v>1.6147312540175377E-5</v>
      </c>
      <c r="CN155" s="22">
        <f t="shared" si="172"/>
        <v>50.544722546039047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-1.2789769243681803E-13</v>
      </c>
      <c r="CU155" s="17">
        <f>CT155*VLOOKUP('Données projet'!$B$13,Paramètres!$A$1:$I$89,3,0)*VLOOKUP('Données projet'!$B$13,Paramètres!$A$1:$I$89,5,0)</f>
        <v>-1.4733814168721438E-13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150.78964413039063</v>
      </c>
      <c r="CZ155" s="59">
        <f t="shared" si="150"/>
        <v>131.90332435966184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22.696773594143608</v>
      </c>
      <c r="DG155" s="21">
        <f>EXP(-LN(2)/25)*DG154+(1-EXP(-LN(2)/25))/(LN(2)/25)*Calculateur!DB155*Calculateur!DD155*VLOOKUP('Données projet'!$B$13,Paramètres!$A$1:$I$89,3,0)*0.475*44/12</f>
        <v>10.361879144097662</v>
      </c>
      <c r="DH155" s="21">
        <f>EXP(-LN(2)/2)*DH154+(1-EXP(-LN(2)/2))/(LN(2)/2)*DB155*DE155*VLOOKUP('Données projet'!$B$13,Paramètres!$A$1:$I$89,3,0)*0.475*44/12</f>
        <v>8.167364393846146</v>
      </c>
      <c r="DI155" s="22">
        <f t="shared" si="175"/>
        <v>41.226017132087421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-1.4210854715202004E-14</v>
      </c>
      <c r="DP155" s="17">
        <f>DO155*VLOOKUP('Données projet'!$B$14,Paramètres!$A$1:$I$89,3,0)*VLOOKUP('Données projet'!$B$14,Paramètres!$A$1:$I$89,5,0)</f>
        <v>-1.4853185348329136E-14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110.10595934547638</v>
      </c>
      <c r="DU155" s="59">
        <f t="shared" si="152"/>
        <v>131.10971921141493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8.7698963077539176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8.7698963077539176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7.5191666666666634</v>
      </c>
      <c r="EJ155" s="12">
        <f>IF('Données projet'!$A$192&gt;35,EJ154+EI155-ER154,IF(A155&lt;'Données projet'!$A$192,$EG$205^A155,IF(A155='Données projet'!$A$192,'Données projet'!$B$192,EJ154+EI155-ER154)))</f>
        <v>379.12333333333299</v>
      </c>
      <c r="EK155" s="17">
        <f>EJ155*VLOOKUP('Données projet'!$B$15,Paramètres!$A$1:$I$89,3,0)*VLOOKUP('Données projet'!$B$15,Paramètres!$A$1:$I$89,5,0)</f>
        <v>384.43105999999966</v>
      </c>
      <c r="EL155" s="13">
        <f t="shared" si="179"/>
        <v>88.613045766074748</v>
      </c>
      <c r="EM155" s="20">
        <f t="shared" si="180"/>
        <v>823.88515087591293</v>
      </c>
      <c r="EN155" s="59">
        <f t="shared" si="128"/>
        <v>1117.2184842092463</v>
      </c>
      <c r="EO155" s="59">
        <f ca="1">AVERAGE(OFFSET($EN$3,0,0,'Données projet'!$E$15+1,1))-AVERAGE(OFFSET($H$3,0,0,'Données projet'!$E$15+1,1))</f>
        <v>420.38735944595965</v>
      </c>
      <c r="EP155" s="59">
        <f t="shared" si="154"/>
        <v>200.0823542414671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28.403051356478969</v>
      </c>
      <c r="EW155" s="21">
        <f>EXP(-LN(2)/25)*EW154+(1-EXP(-LN(2)/25))/(LN(2)/25)*Calculateur!ER155*Calculateur!ET155*VLOOKUP('Données projet'!$B$15,Paramètres!$A$1:$I$89,3,0)*0.475*44/12</f>
        <v>18.495441326139421</v>
      </c>
      <c r="EX155" s="21">
        <f>EXP(-LN(2)/2)*EX154+(1-EXP(-LN(2)/2))/(LN(2)/2)*ER155*EU155*VLOOKUP('Données projet'!$B$15,Paramètres!$A$1:$I$89,3,0)*0.475*44/12</f>
        <v>0.36914625416576013</v>
      </c>
      <c r="EY155" s="22">
        <f t="shared" si="181"/>
        <v>47.267638936784152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2.5579538487363607E-13</v>
      </c>
      <c r="FF155" s="17">
        <f>FE155*VLOOKUP('Données projet'!$B$16,Paramètres!$A$1:$I$89,3,0)*VLOOKUP('Données projet'!$B$16,Paramètres!$A$1:$I$89,5,0)</f>
        <v>2.7533815227798186E-13</v>
      </c>
      <c r="FG155" s="13">
        <f t="shared" si="182"/>
        <v>3.6763598146902537E-12</v>
      </c>
      <c r="FH155" s="20">
        <f t="shared" si="183"/>
        <v>6.88254062580301E-12</v>
      </c>
      <c r="FI155" s="59">
        <f t="shared" si="131"/>
        <v>293.33333333334019</v>
      </c>
      <c r="FJ155" s="59">
        <f ca="1">AVERAGE(OFFSET($FI$3,0,0,'Données projet'!$E$16+1,1))-AVERAGE(OFFSET($H$3,0,0,'Données projet'!$E$16+1,1))</f>
        <v>415.8741608506952</v>
      </c>
      <c r="FK155" s="59">
        <f t="shared" si="156"/>
        <v>259.15848913719356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86.926526206092461</v>
      </c>
      <c r="FR155" s="21">
        <f>EXP(-LN(2)/25)*FR154+(1-EXP(-LN(2)/25))/(LN(2)/25)*Calculateur!FM155*Calculateur!FO155*VLOOKUP('Données projet'!$B$16,Paramètres!$A$1:$I$89,3,0)*0.475*44/12</f>
        <v>15.21739012590367</v>
      </c>
      <c r="FS155" s="21">
        <f>EXP(-LN(2)/2)*FS154+(1-EXP(-LN(2)/2))/(LN(2)/2)*FM155*FP155*VLOOKUP('Données projet'!$B$16,Paramètres!$A$1:$I$89,3,0)*0.475*44/12</f>
        <v>3.9553953813034554E-3</v>
      </c>
      <c r="FT155" s="22">
        <f t="shared" si="184"/>
        <v>102.14787172737744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2.5579538487363607E-13</v>
      </c>
      <c r="GA155" s="17">
        <f>FZ155*VLOOKUP('Données projet'!$B$17,Paramètres!$A$1:$I$89,3,0)*VLOOKUP('Données projet'!$B$17,Paramètres!$A$1:$I$89,5,0)</f>
        <v>2.1947244022157976E-13</v>
      </c>
      <c r="GB155" s="13">
        <f t="shared" si="185"/>
        <v>3.0088145886933343E-12</v>
      </c>
      <c r="GC155" s="20">
        <f t="shared" si="186"/>
        <v>5.6225999086934742E-12</v>
      </c>
      <c r="GD155" s="59">
        <f t="shared" si="134"/>
        <v>293.33333333333894</v>
      </c>
      <c r="GE155" s="59">
        <f ca="1">AVERAGE(OFFSET($GD$3,0,0,'Données projet'!$E$17+1,1))-AVERAGE(OFFSET($H$3,0,0,'Données projet'!$E$17+1,1))</f>
        <v>322.39807389980882</v>
      </c>
      <c r="GF155" s="59">
        <f t="shared" si="158"/>
        <v>202.59410055732792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85.403041419197692</v>
      </c>
      <c r="GM155" s="21">
        <f>EXP(-LN(2)/25)*GM154+(1-EXP(-LN(2)/25))/(LN(2)/25)*Calculateur!GH155*Calculateur!GJ155*VLOOKUP('Données projet'!$B$17,Paramètres!$A$1:$I$89,3,0)*0.475*44/12</f>
        <v>14.950688310417663</v>
      </c>
      <c r="GN155" s="21">
        <f>EXP(-LN(2)/2)*GN154+(1-EXP(-LN(2)/2))/(LN(2)/2)*GH155*GK155*VLOOKUP('Données projet'!$B$17,Paramètres!$A$1:$I$89,3,0)*0.475*44/12</f>
        <v>3.1528513908940623E-3</v>
      </c>
      <c r="GO155" s="21">
        <f t="shared" si="187"/>
        <v>100.35688258100625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56.089799999999812</v>
      </c>
      <c r="D156" s="11">
        <f t="shared" si="140"/>
        <v>16.175803827073288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557.83974884056431</v>
      </c>
      <c r="H156" s="67">
        <f t="shared" si="110"/>
        <v>419.19592666548567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1.5961632016114892E-13</v>
      </c>
      <c r="P156" s="13">
        <f t="shared" si="141"/>
        <v>2.2708641912150958E-12</v>
      </c>
      <c r="Q156" s="20">
        <f t="shared" si="162"/>
        <v>4.2330868906469593E-12</v>
      </c>
      <c r="R156" s="59">
        <f t="shared" si="109"/>
        <v>293.33333333333752</v>
      </c>
      <c r="S156" s="59">
        <f ca="1">AVERAGE(OFFSET($R$3,0,0,'Données projet'!$E$9+1,1))-AVERAGE(OFFSET($H$3,0,0,'Données projet'!$E$9+1,1))</f>
        <v>215.77907571824977</v>
      </c>
      <c r="T156" s="59">
        <f t="shared" si="142"/>
        <v>174.69390149594869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54.899006692247596</v>
      </c>
      <c r="AA156" s="21">
        <f>EXP(-LN(2)/25)*AA155+(1-EXP(-LN(2)/25))/(LN(2)/25)*Calculateur!V156*Calculateur!X156*VLOOKUP('Données projet'!$B$9,Paramètres!$A$1:$I$89,3,0)*0.475*44/12</f>
        <v>12.366002625866626</v>
      </c>
      <c r="AB156" s="21">
        <f>EXP(-LN(2)/2)*AB155+(1-EXP(-LN(2)/2))/(LN(2)/2)*V156*Y156*VLOOKUP('Données projet'!$B$9,Paramètres!$A$1:$I$89,3,0)*0.475*44/12</f>
        <v>7.5073001429635745E-6</v>
      </c>
      <c r="AC156" s="22">
        <f t="shared" si="163"/>
        <v>67.265016825414364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-1.0197709343628959E-13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171.701352621833</v>
      </c>
      <c r="AO156" s="59">
        <f t="shared" si="144"/>
        <v>195.58435749168586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16.860464073714006</v>
      </c>
      <c r="AV156" s="21">
        <f>EXP(-LN(2)/25)*AV155+(1-EXP(-LN(2)/25))/(LN(2)/25)*Calculateur!AQ156*Calculateur!AS156*VLOOKUP('Données projet'!$B$10,Paramètres!$A$1:$I$89,3,0)*0.475*44/12</f>
        <v>2.9983667105223502</v>
      </c>
      <c r="AW156" s="21">
        <f>EXP(-LN(2)/2)*AW155+(1-EXP(-LN(2)/2))/(LN(2)/2)*AQ156*AT156*VLOOKUP('Données projet'!$B$10,Paramètres!$A$1:$I$89,3,0)*0.475*44/12</f>
        <v>8.9872446524622972E-13</v>
      </c>
      <c r="AX156" s="21">
        <f t="shared" si="166"/>
        <v>19.858830784237256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-1.1823431123048067E-13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348.29124901999882</v>
      </c>
      <c r="BJ156" s="59">
        <f t="shared" si="146"/>
        <v>284.30034973939053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51.197854662059001</v>
      </c>
      <c r="BQ156" s="21">
        <f>EXP(-LN(2)/25)*BQ155+(1-EXP(-LN(2)/25))/(LN(2)/25)*Calculateur!BL156*Calculateur!BN156*VLOOKUP('Données projet'!$B$11,Paramètres!$A$1:$I$89,3,0)*0.475*44/12</f>
        <v>10.277270687833141</v>
      </c>
      <c r="BR156" s="21">
        <f>EXP(-LN(2)/2)*BR155+(1-EXP(-LN(2)/2))/(LN(2)/2)*BL156*BO156*VLOOKUP('Données projet'!$B$11,Paramètres!$A$1:$I$89,3,0)*0.475*44/12</f>
        <v>8.6811610275073639E-10</v>
      </c>
      <c r="BS156" s="22">
        <f t="shared" si="169"/>
        <v>61.475125350760251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-1.3596945791505279E-13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185.82627135915504</v>
      </c>
      <c r="CE156" s="59">
        <f t="shared" si="148"/>
        <v>155.46126452522037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40.30863963188694</v>
      </c>
      <c r="CL156" s="21">
        <f>EXP(-LN(2)/25)*CL155+(1-EXP(-LN(2)/25))/(LN(2)/25)*Calculateur!CG156*Calculateur!CI156*VLOOKUP('Données projet'!$B$12,Paramètres!$A$1:$I$89,3,0)*0.475*44/12</f>
        <v>9.1719699279730005</v>
      </c>
      <c r="CM156" s="21">
        <f>EXP(-LN(2)/2)*CM155+(1-EXP(-LN(2)/2))/(LN(2)/2)*CG156*CJ156*VLOOKUP('Données projet'!$B$12,Paramètres!$A$1:$I$89,3,0)*0.475*44/12</f>
        <v>1.1417874195096586E-5</v>
      </c>
      <c r="CN156" s="22">
        <f t="shared" si="172"/>
        <v>49.480620977734141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-1.2789769243681803E-13</v>
      </c>
      <c r="CU156" s="17">
        <f>CT156*VLOOKUP('Données projet'!$B$13,Paramètres!$A$1:$I$89,3,0)*VLOOKUP('Données projet'!$B$13,Paramètres!$A$1:$I$89,5,0)</f>
        <v>-1.4733814168721438E-13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150.78964413039063</v>
      </c>
      <c r="CZ156" s="59">
        <f t="shared" si="150"/>
        <v>131.90332435966184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22.251703707627396</v>
      </c>
      <c r="DG156" s="21">
        <f>EXP(-LN(2)/25)*DG155+(1-EXP(-LN(2)/25))/(LN(2)/25)*Calculateur!DB156*Calculateur!DD156*VLOOKUP('Données projet'!$B$13,Paramètres!$A$1:$I$89,3,0)*0.475*44/12</f>
        <v>10.07853301399477</v>
      </c>
      <c r="DH156" s="21">
        <f>EXP(-LN(2)/2)*DH155+(1-EXP(-LN(2)/2))/(LN(2)/2)*DB156*DE156*VLOOKUP('Données projet'!$B$13,Paramètres!$A$1:$I$89,3,0)*0.475*44/12</f>
        <v>5.7751987473101662</v>
      </c>
      <c r="DI156" s="22">
        <f t="shared" si="175"/>
        <v>38.105435468932328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-1.4210854715202004E-14</v>
      </c>
      <c r="DP156" s="17">
        <f>DO156*VLOOKUP('Données projet'!$B$14,Paramètres!$A$1:$I$89,3,0)*VLOOKUP('Données projet'!$B$14,Paramètres!$A$1:$I$89,5,0)</f>
        <v>-1.4853185348329136E-14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110.10595934547638</v>
      </c>
      <c r="DU156" s="59">
        <f t="shared" si="152"/>
        <v>131.10971921141493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8.5300830320295837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8.5300830320295837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7.5191666666666634</v>
      </c>
      <c r="EJ156" s="12">
        <f>IF('Données projet'!$A$192&gt;35,EJ155+EI156-ER155,IF(A156&lt;'Données projet'!$A$192,$EG$205^A156,IF(A156='Données projet'!$A$192,'Données projet'!$B$192,EJ155+EI156-ER155)))</f>
        <v>386.64249999999964</v>
      </c>
      <c r="EK156" s="17">
        <f>EJ156*VLOOKUP('Données projet'!$B$15,Paramètres!$A$1:$I$89,3,0)*VLOOKUP('Données projet'!$B$15,Paramètres!$A$1:$I$89,5,0)</f>
        <v>392.05549499999967</v>
      </c>
      <c r="EL156" s="13">
        <f t="shared" si="179"/>
        <v>90.164163082094575</v>
      </c>
      <c r="EM156" s="20">
        <f t="shared" si="180"/>
        <v>839.8659044929808</v>
      </c>
      <c r="EN156" s="59">
        <f t="shared" si="128"/>
        <v>1133.1992378263142</v>
      </c>
      <c r="EO156" s="59">
        <f ca="1">AVERAGE(OFFSET($EN$3,0,0,'Données projet'!$E$15+1,1))-AVERAGE(OFFSET($H$3,0,0,'Données projet'!$E$15+1,1))</f>
        <v>420.38735944595965</v>
      </c>
      <c r="EP156" s="59">
        <f t="shared" si="154"/>
        <v>200.0823542414671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27.846084843529127</v>
      </c>
      <c r="EW156" s="21">
        <f>EXP(-LN(2)/25)*EW155+(1-EXP(-LN(2)/25))/(LN(2)/25)*Calculateur!ER156*Calculateur!ET156*VLOOKUP('Données projet'!$B$15,Paramètres!$A$1:$I$89,3,0)*0.475*44/12</f>
        <v>17.989682510443149</v>
      </c>
      <c r="EX156" s="21">
        <f>EXP(-LN(2)/2)*EX155+(1-EXP(-LN(2)/2))/(LN(2)/2)*ER156*EU156*VLOOKUP('Données projet'!$B$15,Paramètres!$A$1:$I$89,3,0)*0.475*44/12</f>
        <v>0.26102581957022181</v>
      </c>
      <c r="EY156" s="22">
        <f t="shared" si="181"/>
        <v>46.096793173542494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2.5579538487363607E-13</v>
      </c>
      <c r="FF156" s="17">
        <f>FE156*VLOOKUP('Données projet'!$B$16,Paramètres!$A$1:$I$89,3,0)*VLOOKUP('Données projet'!$B$16,Paramètres!$A$1:$I$89,5,0)</f>
        <v>2.7533815227798186E-13</v>
      </c>
      <c r="FG156" s="13">
        <f t="shared" si="182"/>
        <v>3.6763598146902537E-12</v>
      </c>
      <c r="FH156" s="20">
        <f t="shared" si="183"/>
        <v>6.88254062580301E-12</v>
      </c>
      <c r="FI156" s="59">
        <f t="shared" si="131"/>
        <v>293.33333333334019</v>
      </c>
      <c r="FJ156" s="59">
        <f ca="1">AVERAGE(OFFSET($FI$3,0,0,'Données projet'!$E$16+1,1))-AVERAGE(OFFSET($H$3,0,0,'Données projet'!$E$16+1,1))</f>
        <v>415.8741608506952</v>
      </c>
      <c r="FK156" s="59">
        <f t="shared" si="156"/>
        <v>259.15848913719356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85.221950047136687</v>
      </c>
      <c r="FR156" s="21">
        <f>EXP(-LN(2)/25)*FR155+(1-EXP(-LN(2)/25))/(LN(2)/25)*Calculateur!FM156*Calculateur!FO156*VLOOKUP('Données projet'!$B$16,Paramètres!$A$1:$I$89,3,0)*0.475*44/12</f>
        <v>14.801269792663067</v>
      </c>
      <c r="FS156" s="21">
        <f>EXP(-LN(2)/2)*FS155+(1-EXP(-LN(2)/2))/(LN(2)/2)*FM156*FP156*VLOOKUP('Données projet'!$B$16,Paramètres!$A$1:$I$89,3,0)*0.475*44/12</f>
        <v>2.7968868963936231E-3</v>
      </c>
      <c r="FT156" s="22">
        <f t="shared" si="184"/>
        <v>100.02601672669614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2.5579538487363607E-13</v>
      </c>
      <c r="GA156" s="17">
        <f>FZ156*VLOOKUP('Données projet'!$B$17,Paramètres!$A$1:$I$89,3,0)*VLOOKUP('Données projet'!$B$17,Paramètres!$A$1:$I$89,5,0)</f>
        <v>2.1947244022157976E-13</v>
      </c>
      <c r="GB156" s="13">
        <f t="shared" si="185"/>
        <v>3.0088145886933343E-12</v>
      </c>
      <c r="GC156" s="20">
        <f t="shared" si="186"/>
        <v>5.6225999086934742E-12</v>
      </c>
      <c r="GD156" s="59">
        <f t="shared" si="134"/>
        <v>293.33333333333894</v>
      </c>
      <c r="GE156" s="59">
        <f ca="1">AVERAGE(OFFSET($GD$3,0,0,'Données projet'!$E$17+1,1))-AVERAGE(OFFSET($H$3,0,0,'Données projet'!$E$17+1,1))</f>
        <v>322.39807389980882</v>
      </c>
      <c r="GF156" s="59">
        <f t="shared" si="158"/>
        <v>202.59410055732792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83.728339867678955</v>
      </c>
      <c r="GM156" s="21">
        <f>EXP(-LN(2)/25)*GM155+(1-EXP(-LN(2)/25))/(LN(2)/25)*Calculateur!GH156*Calculateur!GJ156*VLOOKUP('Données projet'!$B$17,Paramètres!$A$1:$I$89,3,0)*0.475*44/12</f>
        <v>14.541860952346763</v>
      </c>
      <c r="GN156" s="21">
        <f>EXP(-LN(2)/2)*GN155+(1-EXP(-LN(2)/2))/(LN(2)/2)*GH156*GK156*VLOOKUP('Données projet'!$B$17,Paramètres!$A$1:$I$89,3,0)*0.475*44/12</f>
        <v>2.2294025985746297E-3</v>
      </c>
      <c r="GO156" s="21">
        <f t="shared" si="187"/>
        <v>98.272430222624294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56.45639999999981</v>
      </c>
      <c r="D157" s="11">
        <f t="shared" si="140"/>
        <v>16.269186287972659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561.39049064399808</v>
      </c>
      <c r="H157" s="67">
        <f t="shared" si="110"/>
        <v>419.99706278488537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1.5961632016114892E-13</v>
      </c>
      <c r="P157" s="13">
        <f t="shared" si="141"/>
        <v>2.2708641912150958E-12</v>
      </c>
      <c r="Q157" s="20">
        <f t="shared" si="162"/>
        <v>4.2330868906469593E-12</v>
      </c>
      <c r="R157" s="59">
        <f t="shared" si="109"/>
        <v>293.33333333333752</v>
      </c>
      <c r="S157" s="59">
        <f ca="1">AVERAGE(OFFSET($R$3,0,0,'Données projet'!$E$9+1,1))-AVERAGE(OFFSET($H$3,0,0,'Données projet'!$E$9+1,1))</f>
        <v>215.77907571824977</v>
      </c>
      <c r="T157" s="59">
        <f t="shared" si="142"/>
        <v>174.69390149594869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53.822470656100329</v>
      </c>
      <c r="AA157" s="21">
        <f>EXP(-LN(2)/25)*AA156+(1-EXP(-LN(2)/25))/(LN(2)/25)*Calculateur!V157*Calculateur!X157*VLOOKUP('Données projet'!$B$9,Paramètres!$A$1:$I$89,3,0)*0.475*44/12</f>
        <v>12.027853633762488</v>
      </c>
      <c r="AB157" s="21">
        <f>EXP(-LN(2)/2)*AB156+(1-EXP(-LN(2)/2))/(LN(2)/2)*V157*Y157*VLOOKUP('Données projet'!$B$9,Paramètres!$A$1:$I$89,3,0)*0.475*44/12</f>
        <v>5.3084628394922816E-6</v>
      </c>
      <c r="AC157" s="22">
        <f t="shared" si="163"/>
        <v>65.850329598325658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-1.0197709343628959E-13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171.701352621833</v>
      </c>
      <c r="AO157" s="59">
        <f t="shared" si="144"/>
        <v>195.58435749168586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16.529840657096113</v>
      </c>
      <c r="AV157" s="21">
        <f>EXP(-LN(2)/25)*AV156+(1-EXP(-LN(2)/25))/(LN(2)/25)*Calculateur!AQ157*Calculateur!AS157*VLOOKUP('Données projet'!$B$10,Paramètres!$A$1:$I$89,3,0)*0.475*44/12</f>
        <v>2.9163762151458639</v>
      </c>
      <c r="AW157" s="21">
        <f>EXP(-LN(2)/2)*AW156+(1-EXP(-LN(2)/2))/(LN(2)/2)*AQ157*AT157*VLOOKUP('Données projet'!$B$10,Paramètres!$A$1:$I$89,3,0)*0.475*44/12</f>
        <v>6.3549416379386278E-13</v>
      </c>
      <c r="AX157" s="21">
        <f t="shared" si="166"/>
        <v>19.446216872242612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-1.1823431123048067E-13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348.29124901999882</v>
      </c>
      <c r="BJ157" s="59">
        <f t="shared" si="146"/>
        <v>284.30034973939053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50.193895959743898</v>
      </c>
      <c r="BQ157" s="21">
        <f>EXP(-LN(2)/25)*BQ156+(1-EXP(-LN(2)/25))/(LN(2)/25)*Calculateur!BL157*Calculateur!BN157*VLOOKUP('Données projet'!$B$11,Paramètres!$A$1:$I$89,3,0)*0.475*44/12</f>
        <v>9.9962381804161673</v>
      </c>
      <c r="BR157" s="21">
        <f>EXP(-LN(2)/2)*BR156+(1-EXP(-LN(2)/2))/(LN(2)/2)*BL157*BO157*VLOOKUP('Données projet'!$B$11,Paramètres!$A$1:$I$89,3,0)*0.475*44/12</f>
        <v>6.1385078311228336E-10</v>
      </c>
      <c r="BS157" s="22">
        <f t="shared" si="169"/>
        <v>60.190134140773921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-1.3596945791505279E-13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185.82627135915504</v>
      </c>
      <c r="CE157" s="59">
        <f t="shared" si="148"/>
        <v>155.46126452522037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39.518211794548165</v>
      </c>
      <c r="CL157" s="21">
        <f>EXP(-LN(2)/25)*CL156+(1-EXP(-LN(2)/25))/(LN(2)/25)*Calculateur!CG157*Calculateur!CI157*VLOOKUP('Données projet'!$B$12,Paramètres!$A$1:$I$89,3,0)*0.475*44/12</f>
        <v>8.921161927959643</v>
      </c>
      <c r="CM157" s="21">
        <f>EXP(-LN(2)/2)*CM156+(1-EXP(-LN(2)/2))/(LN(2)/2)*CG157*CJ157*VLOOKUP('Données projet'!$B$12,Paramètres!$A$1:$I$89,3,0)*0.475*44/12</f>
        <v>8.0736562700876885E-6</v>
      </c>
      <c r="CN157" s="22">
        <f t="shared" si="172"/>
        <v>48.439381796164078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-1.2789769243681803E-13</v>
      </c>
      <c r="CU157" s="17">
        <f>CT157*VLOOKUP('Données projet'!$B$13,Paramètres!$A$1:$I$89,3,0)*VLOOKUP('Données projet'!$B$13,Paramètres!$A$1:$I$89,5,0)</f>
        <v>-1.4733814168721438E-13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150.78964413039063</v>
      </c>
      <c r="CZ157" s="59">
        <f t="shared" si="150"/>
        <v>131.90332435966184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21.815361370119941</v>
      </c>
      <c r="DG157" s="21">
        <f>EXP(-LN(2)/25)*DG156+(1-EXP(-LN(2)/25))/(LN(2)/25)*Calculateur!DB157*Calculateur!DD157*VLOOKUP('Données projet'!$B$13,Paramètres!$A$1:$I$89,3,0)*0.475*44/12</f>
        <v>9.8029349987200671</v>
      </c>
      <c r="DH157" s="21">
        <f>EXP(-LN(2)/2)*DH156+(1-EXP(-LN(2)/2))/(LN(2)/2)*DB157*DE157*VLOOKUP('Données projet'!$B$13,Paramètres!$A$1:$I$89,3,0)*0.475*44/12</f>
        <v>4.083682196923073</v>
      </c>
      <c r="DI157" s="22">
        <f t="shared" si="175"/>
        <v>35.701978565763078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-1.4210854715202004E-14</v>
      </c>
      <c r="DP157" s="17">
        <f>DO157*VLOOKUP('Données projet'!$B$14,Paramètres!$A$1:$I$89,3,0)*VLOOKUP('Données projet'!$B$14,Paramètres!$A$1:$I$89,5,0)</f>
        <v>-1.4853185348329136E-14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110.10595934547638</v>
      </c>
      <c r="DU157" s="59">
        <f t="shared" si="152"/>
        <v>131.10971921141493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8.2968274629411631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8.2968274629411631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7.5191666666666634</v>
      </c>
      <c r="EJ157" s="12">
        <f>IF('Données projet'!$A$192&gt;35,EJ156+EI157-ER156,IF(A157&lt;'Données projet'!$A$192,$EG$205^A157,IF(A157='Données projet'!$A$192,'Données projet'!$B$192,EJ156+EI157-ER156)))</f>
        <v>394.16166666666629</v>
      </c>
      <c r="EK157" s="17">
        <f>EJ157*VLOOKUP('Données projet'!$B$15,Paramètres!$A$1:$I$89,3,0)*VLOOKUP('Données projet'!$B$15,Paramètres!$A$1:$I$89,5,0)</f>
        <v>399.67992999999967</v>
      </c>
      <c r="EL157" s="13">
        <f t="shared" si="179"/>
        <v>91.711772917902209</v>
      </c>
      <c r="EM157" s="20">
        <f t="shared" si="180"/>
        <v>855.84054924867905</v>
      </c>
      <c r="EN157" s="59">
        <f t="shared" si="128"/>
        <v>1149.1738825820123</v>
      </c>
      <c r="EO157" s="59">
        <f ca="1">AVERAGE(OFFSET($EN$3,0,0,'Données projet'!$E$15+1,1))-AVERAGE(OFFSET($H$3,0,0,'Données projet'!$E$15+1,1))</f>
        <v>420.38735944595965</v>
      </c>
      <c r="EP157" s="59">
        <f t="shared" si="154"/>
        <v>200.0823542414671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27.300040104182202</v>
      </c>
      <c r="EW157" s="21">
        <f>EXP(-LN(2)/25)*EW156+(1-EXP(-LN(2)/25))/(LN(2)/25)*Calculateur!ER157*Calculateur!ET157*VLOOKUP('Données projet'!$B$15,Paramètres!$A$1:$I$89,3,0)*0.475*44/12</f>
        <v>17.497753696158796</v>
      </c>
      <c r="EX157" s="21">
        <f>EXP(-LN(2)/2)*EX156+(1-EXP(-LN(2)/2))/(LN(2)/2)*ER157*EU157*VLOOKUP('Données projet'!$B$15,Paramètres!$A$1:$I$89,3,0)*0.475*44/12</f>
        <v>0.18457312708288007</v>
      </c>
      <c r="EY157" s="22">
        <f t="shared" si="181"/>
        <v>44.982366927423875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2.5579538487363607E-13</v>
      </c>
      <c r="FF157" s="17">
        <f>FE157*VLOOKUP('Données projet'!$B$16,Paramètres!$A$1:$I$89,3,0)*VLOOKUP('Données projet'!$B$16,Paramètres!$A$1:$I$89,5,0)</f>
        <v>2.7533815227798186E-13</v>
      </c>
      <c r="FG157" s="13">
        <f t="shared" si="182"/>
        <v>3.6763598146902537E-12</v>
      </c>
      <c r="FH157" s="20">
        <f t="shared" si="183"/>
        <v>6.88254062580301E-12</v>
      </c>
      <c r="FI157" s="59">
        <f t="shared" si="131"/>
        <v>293.33333333334019</v>
      </c>
      <c r="FJ157" s="59">
        <f ca="1">AVERAGE(OFFSET($FI$3,0,0,'Données projet'!$E$16+1,1))-AVERAGE(OFFSET($H$3,0,0,'Données projet'!$E$16+1,1))</f>
        <v>415.8741608506952</v>
      </c>
      <c r="FK157" s="59">
        <f t="shared" si="156"/>
        <v>259.15848913719356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83.550799586969248</v>
      </c>
      <c r="FR157" s="21">
        <f>EXP(-LN(2)/25)*FR156+(1-EXP(-LN(2)/25))/(LN(2)/25)*Calculateur!FM157*Calculateur!FO157*VLOOKUP('Données projet'!$B$16,Paramètres!$A$1:$I$89,3,0)*0.475*44/12</f>
        <v>14.396528291817747</v>
      </c>
      <c r="FS157" s="21">
        <f>EXP(-LN(2)/2)*FS156+(1-EXP(-LN(2)/2))/(LN(2)/2)*FM157*FP157*VLOOKUP('Données projet'!$B$16,Paramètres!$A$1:$I$89,3,0)*0.475*44/12</f>
        <v>1.9776976906517277E-3</v>
      </c>
      <c r="FT157" s="22">
        <f t="shared" si="184"/>
        <v>97.949305576477641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2.5579538487363607E-13</v>
      </c>
      <c r="GA157" s="17">
        <f>FZ157*VLOOKUP('Données projet'!$B$17,Paramètres!$A$1:$I$89,3,0)*VLOOKUP('Données projet'!$B$17,Paramètres!$A$1:$I$89,5,0)</f>
        <v>2.1947244022157976E-13</v>
      </c>
      <c r="GB157" s="13">
        <f t="shared" si="185"/>
        <v>3.0088145886933343E-12</v>
      </c>
      <c r="GC157" s="20">
        <f t="shared" si="186"/>
        <v>5.6225999086934742E-12</v>
      </c>
      <c r="GD157" s="59">
        <f t="shared" si="134"/>
        <v>293.33333333333894</v>
      </c>
      <c r="GE157" s="59">
        <f ca="1">AVERAGE(OFFSET($GD$3,0,0,'Données projet'!$E$17+1,1))-AVERAGE(OFFSET($H$3,0,0,'Données projet'!$E$17+1,1))</f>
        <v>322.39807389980882</v>
      </c>
      <c r="GF157" s="59">
        <f t="shared" si="158"/>
        <v>202.59410055732792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82.08647819211842</v>
      </c>
      <c r="GM157" s="21">
        <f>EXP(-LN(2)/25)*GM156+(1-EXP(-LN(2)/25))/(LN(2)/25)*Calculateur!GH157*Calculateur!GJ157*VLOOKUP('Données projet'!$B$17,Paramètres!$A$1:$I$89,3,0)*0.475*44/12</f>
        <v>14.14421299988161</v>
      </c>
      <c r="GN157" s="21">
        <f>EXP(-LN(2)/2)*GN156+(1-EXP(-LN(2)/2))/(LN(2)/2)*GH157*GK157*VLOOKUP('Données projet'!$B$17,Paramètres!$A$1:$I$89,3,0)*0.475*44/12</f>
        <v>1.5764256954470311E-3</v>
      </c>
      <c r="GO157" s="21">
        <f t="shared" si="187"/>
        <v>96.23226761769547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56.822999999999809</v>
      </c>
      <c r="D158" s="11">
        <f t="shared" si="140"/>
        <v>16.362498192428195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564.94068780119858</v>
      </c>
      <c r="H158" s="67">
        <f t="shared" si="110"/>
        <v>420.79807601847875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1.5961632016114892E-13</v>
      </c>
      <c r="P158" s="13">
        <f t="shared" si="141"/>
        <v>2.2708641912150958E-12</v>
      </c>
      <c r="Q158" s="20">
        <f t="shared" si="162"/>
        <v>4.2330868906469593E-12</v>
      </c>
      <c r="R158" s="59">
        <f t="shared" si="109"/>
        <v>293.33333333333752</v>
      </c>
      <c r="S158" s="59">
        <f ca="1">AVERAGE(OFFSET($R$3,0,0,'Données projet'!$E$9+1,1))-AVERAGE(OFFSET($H$3,0,0,'Données projet'!$E$9+1,1))</f>
        <v>215.77907571824977</v>
      </c>
      <c r="T158" s="59">
        <f t="shared" si="142"/>
        <v>174.69390149594869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52.767044834999759</v>
      </c>
      <c r="AA158" s="21">
        <f>EXP(-LN(2)/25)*AA157+(1-EXP(-LN(2)/25))/(LN(2)/25)*Calculateur!V158*Calculateur!X158*VLOOKUP('Données projet'!$B$9,Paramètres!$A$1:$I$89,3,0)*0.475*44/12</f>
        <v>11.69895134362992</v>
      </c>
      <c r="AB158" s="21">
        <f>EXP(-LN(2)/2)*AB157+(1-EXP(-LN(2)/2))/(LN(2)/2)*V158*Y158*VLOOKUP('Données projet'!$B$9,Paramètres!$A$1:$I$89,3,0)*0.475*44/12</f>
        <v>3.7536500714817877E-6</v>
      </c>
      <c r="AC158" s="22">
        <f t="shared" si="163"/>
        <v>64.465999932279757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-1.0197709343628959E-13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171.701352621833</v>
      </c>
      <c r="AO158" s="59">
        <f t="shared" si="144"/>
        <v>195.58435749168586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16.205700564017725</v>
      </c>
      <c r="AV158" s="21">
        <f>EXP(-LN(2)/25)*AV157+(1-EXP(-LN(2)/25))/(LN(2)/25)*Calculateur!AQ158*Calculateur!AS158*VLOOKUP('Données projet'!$B$10,Paramètres!$A$1:$I$89,3,0)*0.475*44/12</f>
        <v>2.8366277541771407</v>
      </c>
      <c r="AW158" s="21">
        <f>EXP(-LN(2)/2)*AW157+(1-EXP(-LN(2)/2))/(LN(2)/2)*AQ158*AT158*VLOOKUP('Données projet'!$B$10,Paramètres!$A$1:$I$89,3,0)*0.475*44/12</f>
        <v>4.4936223262311496E-13</v>
      </c>
      <c r="AX158" s="21">
        <f t="shared" si="166"/>
        <v>19.042328318195313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-1.1823431123048067E-13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348.29124901999882</v>
      </c>
      <c r="BJ158" s="59">
        <f t="shared" si="146"/>
        <v>284.30034973939053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49.209624275226851</v>
      </c>
      <c r="BQ158" s="21">
        <f>EXP(-LN(2)/25)*BQ157+(1-EXP(-LN(2)/25))/(LN(2)/25)*Calculateur!BL158*Calculateur!BN158*VLOOKUP('Données projet'!$B$11,Paramètres!$A$1:$I$89,3,0)*0.475*44/12</f>
        <v>9.7228905216933672</v>
      </c>
      <c r="BR158" s="21">
        <f>EXP(-LN(2)/2)*BR157+(1-EXP(-LN(2)/2))/(LN(2)/2)*BL158*BO158*VLOOKUP('Données projet'!$B$11,Paramètres!$A$1:$I$89,3,0)*0.475*44/12</f>
        <v>4.3405805137536819E-10</v>
      </c>
      <c r="BS158" s="22">
        <f t="shared" si="169"/>
        <v>58.932514797354273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-1.3596945791505279E-13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185.82627135915504</v>
      </c>
      <c r="CE158" s="59">
        <f t="shared" si="148"/>
        <v>155.46126452522037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38.743283764986224</v>
      </c>
      <c r="CL158" s="21">
        <f>EXP(-LN(2)/25)*CL157+(1-EXP(-LN(2)/25))/(LN(2)/25)*Calculateur!CG158*Calculateur!CI158*VLOOKUP('Données projet'!$B$12,Paramètres!$A$1:$I$89,3,0)*0.475*44/12</f>
        <v>8.6772122858960703</v>
      </c>
      <c r="CM158" s="21">
        <f>EXP(-LN(2)/2)*CM157+(1-EXP(-LN(2)/2))/(LN(2)/2)*CG158*CJ158*VLOOKUP('Données projet'!$B$12,Paramètres!$A$1:$I$89,3,0)*0.475*44/12</f>
        <v>5.7089370975482928E-6</v>
      </c>
      <c r="CN158" s="22">
        <f t="shared" si="172"/>
        <v>47.420501759819388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-1.2789769243681803E-13</v>
      </c>
      <c r="CU158" s="17">
        <f>CT158*VLOOKUP('Données projet'!$B$13,Paramètres!$A$1:$I$89,3,0)*VLOOKUP('Données projet'!$B$13,Paramètres!$A$1:$I$89,5,0)</f>
        <v>-1.4733814168721438E-13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150.78964413039063</v>
      </c>
      <c r="CZ158" s="59">
        <f t="shared" si="150"/>
        <v>131.90332435966184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21.38757543970846</v>
      </c>
      <c r="DG158" s="21">
        <f>EXP(-LN(2)/25)*DG157+(1-EXP(-LN(2)/25))/(LN(2)/25)*Calculateur!DB158*Calculateur!DD158*VLOOKUP('Données projet'!$B$13,Paramètres!$A$1:$I$89,3,0)*0.475*44/12</f>
        <v>9.5348732256661197</v>
      </c>
      <c r="DH158" s="21">
        <f>EXP(-LN(2)/2)*DH157+(1-EXP(-LN(2)/2))/(LN(2)/2)*DB158*DE158*VLOOKUP('Données projet'!$B$13,Paramètres!$A$1:$I$89,3,0)*0.475*44/12</f>
        <v>2.8875993736550831</v>
      </c>
      <c r="DI158" s="22">
        <f t="shared" si="175"/>
        <v>33.810048039029667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-1.4210854715202004E-14</v>
      </c>
      <c r="DP158" s="17">
        <f>DO158*VLOOKUP('Données projet'!$B$14,Paramètres!$A$1:$I$89,3,0)*VLOOKUP('Données projet'!$B$14,Paramètres!$A$1:$I$89,5,0)</f>
        <v>-1.4853185348329136E-14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110.10595934547638</v>
      </c>
      <c r="DU158" s="59">
        <f t="shared" si="152"/>
        <v>131.10971921141493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8.0699502796558438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8.0699502796558438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7.5191666666666634</v>
      </c>
      <c r="EJ158" s="12">
        <f>IF('Données projet'!$A$192&gt;35,EJ157+EI158-ER157,IF(A158&lt;'Données projet'!$A$192,$EG$205^A158,IF(A158='Données projet'!$A$192,'Données projet'!$B$192,EJ157+EI158-ER157)))</f>
        <v>401.68083333333294</v>
      </c>
      <c r="EK158" s="17">
        <f>EJ158*VLOOKUP('Données projet'!$B$15,Paramètres!$A$1:$I$89,3,0)*VLOOKUP('Données projet'!$B$15,Paramètres!$A$1:$I$89,5,0)</f>
        <v>407.30436499999962</v>
      </c>
      <c r="EL158" s="13">
        <f t="shared" si="179"/>
        <v>93.255949897998832</v>
      </c>
      <c r="EM158" s="20">
        <f t="shared" si="180"/>
        <v>871.80921511401391</v>
      </c>
      <c r="EN158" s="59">
        <f t="shared" si="128"/>
        <v>1165.1425484473473</v>
      </c>
      <c r="EO158" s="59">
        <f ca="1">AVERAGE(OFFSET($EN$3,0,0,'Données projet'!$E$15+1,1))-AVERAGE(OFFSET($H$3,0,0,'Données projet'!$E$15+1,1))</f>
        <v>420.38735944595965</v>
      </c>
      <c r="EP158" s="59">
        <f t="shared" si="154"/>
        <v>200.0823542414671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26.764702969119465</v>
      </c>
      <c r="EW158" s="21">
        <f>EXP(-LN(2)/25)*EW157+(1-EXP(-LN(2)/25))/(LN(2)/25)*Calculateur!ER158*Calculateur!ET158*VLOOKUP('Données projet'!$B$15,Paramètres!$A$1:$I$89,3,0)*0.475*44/12</f>
        <v>17.019276701170458</v>
      </c>
      <c r="EX158" s="21">
        <f>EXP(-LN(2)/2)*EX157+(1-EXP(-LN(2)/2))/(LN(2)/2)*ER158*EU158*VLOOKUP('Données projet'!$B$15,Paramètres!$A$1:$I$89,3,0)*0.475*44/12</f>
        <v>0.1305129097851109</v>
      </c>
      <c r="EY158" s="22">
        <f t="shared" si="181"/>
        <v>43.914492580075034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2.5579538487363607E-13</v>
      </c>
      <c r="FF158" s="17">
        <f>FE158*VLOOKUP('Données projet'!$B$16,Paramètres!$A$1:$I$89,3,0)*VLOOKUP('Données projet'!$B$16,Paramètres!$A$1:$I$89,5,0)</f>
        <v>2.7533815227798186E-13</v>
      </c>
      <c r="FG158" s="13">
        <f t="shared" si="182"/>
        <v>3.6763598146902537E-12</v>
      </c>
      <c r="FH158" s="20">
        <f t="shared" si="183"/>
        <v>6.88254062580301E-12</v>
      </c>
      <c r="FI158" s="59">
        <f t="shared" si="131"/>
        <v>293.33333333334019</v>
      </c>
      <c r="FJ158" s="59">
        <f ca="1">AVERAGE(OFFSET($FI$3,0,0,'Données projet'!$E$16+1,1))-AVERAGE(OFFSET($H$3,0,0,'Données projet'!$E$16+1,1))</f>
        <v>415.8741608506952</v>
      </c>
      <c r="FK158" s="59">
        <f t="shared" si="156"/>
        <v>259.15848913719356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81.912419368024558</v>
      </c>
      <c r="FR158" s="21">
        <f>EXP(-LN(2)/25)*FR157+(1-EXP(-LN(2)/25))/(LN(2)/25)*Calculateur!FM158*Calculateur!FO158*VLOOKUP('Données projet'!$B$16,Paramètres!$A$1:$I$89,3,0)*0.475*44/12</f>
        <v>14.002854468597471</v>
      </c>
      <c r="FS158" s="21">
        <f>EXP(-LN(2)/2)*FS157+(1-EXP(-LN(2)/2))/(LN(2)/2)*FM158*FP158*VLOOKUP('Données projet'!$B$16,Paramètres!$A$1:$I$89,3,0)*0.475*44/12</f>
        <v>1.3984434481968116E-3</v>
      </c>
      <c r="FT158" s="22">
        <f t="shared" si="184"/>
        <v>95.91667228007023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2.5579538487363607E-13</v>
      </c>
      <c r="GA158" s="17">
        <f>FZ158*VLOOKUP('Données projet'!$B$17,Paramètres!$A$1:$I$89,3,0)*VLOOKUP('Données projet'!$B$17,Paramètres!$A$1:$I$89,5,0)</f>
        <v>2.1947244022157976E-13</v>
      </c>
      <c r="GB158" s="13">
        <f t="shared" si="185"/>
        <v>3.0088145886933343E-12</v>
      </c>
      <c r="GC158" s="20">
        <f t="shared" si="186"/>
        <v>5.6225999086934742E-12</v>
      </c>
      <c r="GD158" s="59">
        <f t="shared" si="134"/>
        <v>293.33333333333894</v>
      </c>
      <c r="GE158" s="59">
        <f ca="1">AVERAGE(OFFSET($GD$3,0,0,'Données projet'!$E$17+1,1))-AVERAGE(OFFSET($H$3,0,0,'Données projet'!$E$17+1,1))</f>
        <v>322.39807389980882</v>
      </c>
      <c r="GF158" s="59">
        <f t="shared" si="158"/>
        <v>202.59410055732792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80.476812422578888</v>
      </c>
      <c r="GM158" s="21">
        <f>EXP(-LN(2)/25)*GM157+(1-EXP(-LN(2)/25))/(LN(2)/25)*Calculateur!GH158*Calculateur!GJ158*VLOOKUP('Données projet'!$B$17,Paramètres!$A$1:$I$89,3,0)*0.475*44/12</f>
        <v>13.757438751588012</v>
      </c>
      <c r="GN158" s="21">
        <f>EXP(-LN(2)/2)*GN157+(1-EXP(-LN(2)/2))/(LN(2)/2)*GH158*GK158*VLOOKUP('Données projet'!$B$17,Paramètres!$A$1:$I$89,3,0)*0.475*44/12</f>
        <v>1.1147012992873148E-3</v>
      </c>
      <c r="GO158" s="21">
        <f t="shared" si="187"/>
        <v>94.235365875466186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57.189599999999807</v>
      </c>
      <c r="D159" s="11">
        <f t="shared" si="140"/>
        <v>16.455740048444671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568.49034423360649</v>
      </c>
      <c r="H159" s="67">
        <f t="shared" si="110"/>
        <v>421.59896725104079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1.5961632016114892E-13</v>
      </c>
      <c r="P159" s="13">
        <f t="shared" si="141"/>
        <v>2.2708641912150958E-12</v>
      </c>
      <c r="Q159" s="20">
        <f t="shared" si="162"/>
        <v>4.2330868906469593E-12</v>
      </c>
      <c r="R159" s="59">
        <f t="shared" si="109"/>
        <v>293.33333333333752</v>
      </c>
      <c r="S159" s="59">
        <f ca="1">AVERAGE(OFFSET($R$3,0,0,'Données projet'!$E$9+1,1))-AVERAGE(OFFSET($H$3,0,0,'Données projet'!$E$9+1,1))</f>
        <v>215.77907571824977</v>
      </c>
      <c r="T159" s="59">
        <f t="shared" si="142"/>
        <v>174.69390149594869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51.732315270504785</v>
      </c>
      <c r="AA159" s="21">
        <f>EXP(-LN(2)/25)*AA158+(1-EXP(-LN(2)/25))/(LN(2)/25)*Calculateur!V159*Calculateur!X159*VLOOKUP('Données projet'!$B$9,Paramètres!$A$1:$I$89,3,0)*0.475*44/12</f>
        <v>11.379042903917247</v>
      </c>
      <c r="AB159" s="21">
        <f>EXP(-LN(2)/2)*AB158+(1-EXP(-LN(2)/2))/(LN(2)/2)*V159*Y159*VLOOKUP('Données projet'!$B$9,Paramètres!$A$1:$I$89,3,0)*0.475*44/12</f>
        <v>2.6542314197461412E-6</v>
      </c>
      <c r="AC159" s="22">
        <f t="shared" si="163"/>
        <v>63.111360828653453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-1.0197709343628959E-13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171.701352621833</v>
      </c>
      <c r="AO159" s="59">
        <f t="shared" si="144"/>
        <v>195.58435749168586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15.887916660458668</v>
      </c>
      <c r="AV159" s="21">
        <f>EXP(-LN(2)/25)*AV158+(1-EXP(-LN(2)/25))/(LN(2)/25)*Calculateur!AQ159*Calculateur!AS159*VLOOKUP('Données projet'!$B$10,Paramètres!$A$1:$I$89,3,0)*0.475*44/12</f>
        <v>2.7590600190673964</v>
      </c>
      <c r="AW159" s="21">
        <f>EXP(-LN(2)/2)*AW158+(1-EXP(-LN(2)/2))/(LN(2)/2)*AQ159*AT159*VLOOKUP('Données projet'!$B$10,Paramètres!$A$1:$I$89,3,0)*0.475*44/12</f>
        <v>3.1774708189693144E-13</v>
      </c>
      <c r="AX159" s="21">
        <f t="shared" si="166"/>
        <v>18.646976679526379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-1.1823431123048067E-13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348.29124901999882</v>
      </c>
      <c r="BJ159" s="59">
        <f t="shared" si="146"/>
        <v>284.30034973939053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48.244653558096736</v>
      </c>
      <c r="BQ159" s="21">
        <f>EXP(-LN(2)/25)*BQ158+(1-EXP(-LN(2)/25))/(LN(2)/25)*Calculateur!BL159*Calculateur!BN159*VLOOKUP('Données projet'!$B$11,Paramètres!$A$1:$I$89,3,0)*0.475*44/12</f>
        <v>9.4570175690730718</v>
      </c>
      <c r="BR159" s="21">
        <f>EXP(-LN(2)/2)*BR158+(1-EXP(-LN(2)/2))/(LN(2)/2)*BL159*BO159*VLOOKUP('Données projet'!$B$11,Paramètres!$A$1:$I$89,3,0)*0.475*44/12</f>
        <v>3.0692539155614168E-10</v>
      </c>
      <c r="BS159" s="22">
        <f t="shared" si="169"/>
        <v>57.701671127476736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-1.3596945791505279E-13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185.82627135915504</v>
      </c>
      <c r="CE159" s="59">
        <f t="shared" si="148"/>
        <v>155.46126452522037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37.983551601424566</v>
      </c>
      <c r="CL159" s="21">
        <f>EXP(-LN(2)/25)*CL158+(1-EXP(-LN(2)/25))/(LN(2)/25)*Calculateur!CG159*Calculateur!CI159*VLOOKUP('Données projet'!$B$12,Paramètres!$A$1:$I$89,3,0)*0.475*44/12</f>
        <v>8.4399334596234805</v>
      </c>
      <c r="CM159" s="21">
        <f>EXP(-LN(2)/2)*CM158+(1-EXP(-LN(2)/2))/(LN(2)/2)*CG159*CJ159*VLOOKUP('Données projet'!$B$12,Paramètres!$A$1:$I$89,3,0)*0.475*44/12</f>
        <v>4.0368281350438443E-6</v>
      </c>
      <c r="CN159" s="22">
        <f t="shared" si="172"/>
        <v>46.423489097876185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-1.2789769243681803E-13</v>
      </c>
      <c r="CU159" s="17">
        <f>CT159*VLOOKUP('Données projet'!$B$13,Paramètres!$A$1:$I$89,3,0)*VLOOKUP('Données projet'!$B$13,Paramètres!$A$1:$I$89,5,0)</f>
        <v>-1.4733814168721438E-13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150.78964413039063</v>
      </c>
      <c r="CZ159" s="59">
        <f t="shared" si="150"/>
        <v>131.90332435966184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20.968178130468694</v>
      </c>
      <c r="DG159" s="21">
        <f>EXP(-LN(2)/25)*DG158+(1-EXP(-LN(2)/25))/(LN(2)/25)*Calculateur!DB159*Calculateur!DD159*VLOOKUP('Données projet'!$B$13,Paramètres!$A$1:$I$89,3,0)*0.475*44/12</f>
        <v>9.2741416158930896</v>
      </c>
      <c r="DH159" s="21">
        <f>EXP(-LN(2)/2)*DH158+(1-EXP(-LN(2)/2))/(LN(2)/2)*DB159*DE159*VLOOKUP('Données projet'!$B$13,Paramètres!$A$1:$I$89,3,0)*0.475*44/12</f>
        <v>2.0418410984615365</v>
      </c>
      <c r="DI159" s="22">
        <f t="shared" si="175"/>
        <v>32.284160844823319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-1.4210854715202004E-14</v>
      </c>
      <c r="DP159" s="17">
        <f>DO159*VLOOKUP('Données projet'!$B$14,Paramètres!$A$1:$I$89,3,0)*VLOOKUP('Données projet'!$B$14,Paramètres!$A$1:$I$89,5,0)</f>
        <v>-1.4853185348329136E-14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110.10595934547638</v>
      </c>
      <c r="DU159" s="59">
        <f t="shared" si="152"/>
        <v>131.10971921141493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7.8492770648784136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7.8492770648784136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>
        <f>VLOOKUP(A159,'Données projet'!$A$191:$I$211,2,0)</f>
        <v>409.2</v>
      </c>
      <c r="EH159" s="12">
        <f>VLOOKUP(A159,'Données projet'!$A$191:$I$211,9,0)</f>
        <v>7.5191666666666634</v>
      </c>
      <c r="EI159" s="12">
        <f t="array" ref="EI159">INDEX(EH:EH,MIN(IF(ISNUMBER(EH159:EH355),ROW(EH159:EH355),"")))</f>
        <v>7.5191666666666634</v>
      </c>
      <c r="EJ159" s="12">
        <f>IF('Données projet'!$A$192&gt;35,EJ158+EI159-ER158,IF(A159&lt;'Données projet'!$A$192,$EG$205^A159,IF(A159='Données projet'!$A$192,'Données projet'!$B$192,EJ158+EI159-ER158)))</f>
        <v>409.19999999999959</v>
      </c>
      <c r="EK159" s="17">
        <f>EJ159*VLOOKUP('Données projet'!$B$15,Paramètres!$A$1:$I$89,3,0)*VLOOKUP('Données projet'!$B$15,Paramètres!$A$1:$I$89,5,0)</f>
        <v>414.92879999999963</v>
      </c>
      <c r="EL159" s="13">
        <f t="shared" si="179"/>
        <v>94.796765693156289</v>
      </c>
      <c r="EM159" s="20">
        <f t="shared" si="180"/>
        <v>887.77202691557977</v>
      </c>
      <c r="EN159" s="59">
        <f t="shared" si="128"/>
        <v>1181.105360248913</v>
      </c>
      <c r="EO159" s="59">
        <f ca="1">AVERAGE(OFFSET($EN$3,0,0,'Données projet'!$E$15+1,1))-AVERAGE(OFFSET($H$3,0,0,'Données projet'!$E$15+1,1))</f>
        <v>420.38735944595965</v>
      </c>
      <c r="EP159" s="59">
        <f t="shared" si="154"/>
        <v>200.0823542414671</v>
      </c>
      <c r="EQ159" s="15">
        <f>IF(ISNA(VLOOKUP(A159,'Données projet'!$A$191:$I$211,3,0)),0,VLOOKUP(A159,'Données projet'!$A$191:$I$211,3,0))</f>
        <v>11</v>
      </c>
      <c r="ER159" s="15">
        <f>IF(ISNA(VLOOKUP(A159,'Données projet'!$A$191:$I$211,4,0)),0,VLOOKUP(A159,'Données projet'!$A$191:$I$211,4,0))</f>
        <v>65.69</v>
      </c>
      <c r="ES159" s="16">
        <f>IF(ISNA(VLOOKUP(A159,'Données projet'!$A$191:$I$211,5,0)),0%,VLOOKUP(A159,'Données projet'!$A$191:$I$211,5,0)*VLOOKUP('Données projet'!$B$15,Paramètres!$A$1:$I$89,7,0))</f>
        <v>0.215</v>
      </c>
      <c r="ET159" s="16">
        <f>IF(ISNA(VLOOKUP(A159,'Données projet'!$A$191:$I$211,6,0)),0%,VLOOKUP(A159,'Données projet'!$A$191:$I$211,6,0)*VLOOKUP('Données projet'!$B$15,Paramètres!$A$1:$I$89,7,0))</f>
        <v>8.6000000000000007E-2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42.071389784715464</v>
      </c>
      <c r="EW159" s="21">
        <f>EXP(-LN(2)/25)*EW158+(1-EXP(-LN(2)/25))/(LN(2)/25)*Calculateur!ER159*Calculateur!ET159*VLOOKUP('Données projet'!$B$15,Paramètres!$A$1:$I$89,3,0)*0.475*44/12</f>
        <v>22.861560310601355</v>
      </c>
      <c r="EX159" s="21">
        <f>EXP(-LN(2)/2)*EX158+(1-EXP(-LN(2)/2))/(LN(2)/2)*ER159*EU159*VLOOKUP('Données projet'!$B$15,Paramètres!$A$1:$I$89,3,0)*0.475*44/12</f>
        <v>9.2286563541440034E-2</v>
      </c>
      <c r="EY159" s="22">
        <f t="shared" si="181"/>
        <v>65.025236658858248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2.5579538487363607E-13</v>
      </c>
      <c r="FF159" s="17">
        <f>FE159*VLOOKUP('Données projet'!$B$16,Paramètres!$A$1:$I$89,3,0)*VLOOKUP('Données projet'!$B$16,Paramètres!$A$1:$I$89,5,0)</f>
        <v>2.7533815227798186E-13</v>
      </c>
      <c r="FG159" s="13">
        <f t="shared" si="182"/>
        <v>3.6763598146902537E-12</v>
      </c>
      <c r="FH159" s="20">
        <f t="shared" si="183"/>
        <v>6.88254062580301E-12</v>
      </c>
      <c r="FI159" s="59">
        <f t="shared" si="131"/>
        <v>293.33333333334019</v>
      </c>
      <c r="FJ159" s="59">
        <f ca="1">AVERAGE(OFFSET($FI$3,0,0,'Données projet'!$E$16+1,1))-AVERAGE(OFFSET($H$3,0,0,'Données projet'!$E$16+1,1))</f>
        <v>415.8741608506952</v>
      </c>
      <c r="FK159" s="59">
        <f t="shared" si="156"/>
        <v>259.15848913719356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80.306166785860114</v>
      </c>
      <c r="FR159" s="21">
        <f>EXP(-LN(2)/25)*FR158+(1-EXP(-LN(2)/25))/(LN(2)/25)*Calculateur!FM159*Calculateur!FO159*VLOOKUP('Données projet'!$B$16,Paramètres!$A$1:$I$89,3,0)*0.475*44/12</f>
        <v>13.619945676775561</v>
      </c>
      <c r="FS159" s="21">
        <f>EXP(-LN(2)/2)*FS158+(1-EXP(-LN(2)/2))/(LN(2)/2)*FM159*FP159*VLOOKUP('Données projet'!$B$16,Paramètres!$A$1:$I$89,3,0)*0.475*44/12</f>
        <v>9.8884884532586385E-4</v>
      </c>
      <c r="FT159" s="22">
        <f t="shared" si="184"/>
        <v>93.927101311480996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2.5579538487363607E-13</v>
      </c>
      <c r="GA159" s="17">
        <f>FZ159*VLOOKUP('Données projet'!$B$17,Paramètres!$A$1:$I$89,3,0)*VLOOKUP('Données projet'!$B$17,Paramètres!$A$1:$I$89,5,0)</f>
        <v>2.1947244022157976E-13</v>
      </c>
      <c r="GB159" s="13">
        <f t="shared" si="185"/>
        <v>3.0088145886933343E-12</v>
      </c>
      <c r="GC159" s="20">
        <f t="shared" si="186"/>
        <v>5.6225999086934742E-12</v>
      </c>
      <c r="GD159" s="59">
        <f t="shared" si="134"/>
        <v>293.33333333333894</v>
      </c>
      <c r="GE159" s="59">
        <f ca="1">AVERAGE(OFFSET($GD$3,0,0,'Données projet'!$E$17+1,1))-AVERAGE(OFFSET($H$3,0,0,'Données projet'!$E$17+1,1))</f>
        <v>322.39807389980882</v>
      </c>
      <c r="GF159" s="59">
        <f t="shared" si="158"/>
        <v>202.59410055732792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78.898711216980857</v>
      </c>
      <c r="GM159" s="21">
        <f>EXP(-LN(2)/25)*GM158+(1-EXP(-LN(2)/25))/(LN(2)/25)*Calculateur!GH159*Calculateur!GJ159*VLOOKUP('Données projet'!$B$17,Paramètres!$A$1:$I$89,3,0)*0.475*44/12</f>
        <v>13.381240865453577</v>
      </c>
      <c r="GN159" s="21">
        <f>EXP(-LN(2)/2)*GN158+(1-EXP(-LN(2)/2))/(LN(2)/2)*GH159*GK159*VLOOKUP('Données projet'!$B$17,Paramètres!$A$1:$I$89,3,0)*0.475*44/12</f>
        <v>7.8821284772351557E-4</v>
      </c>
      <c r="GO159" s="21">
        <f t="shared" si="187"/>
        <v>92.280740295282158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57.556199999999805</v>
      </c>
      <c r="D160" s="11">
        <f t="shared" si="140"/>
        <v>16.548912357137368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572.03946380947991</v>
      </c>
      <c r="H160" s="67">
        <f t="shared" si="110"/>
        <v>422.39973735534721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1.5961632016114892E-13</v>
      </c>
      <c r="P160" s="13">
        <f t="shared" si="141"/>
        <v>2.2708641912150958E-12</v>
      </c>
      <c r="Q160" s="20">
        <f t="shared" si="162"/>
        <v>4.2330868906469593E-12</v>
      </c>
      <c r="R160" s="59">
        <f t="shared" si="109"/>
        <v>293.33333333333752</v>
      </c>
      <c r="S160" s="59">
        <f ca="1">AVERAGE(OFFSET($R$3,0,0,'Données projet'!$E$9+1,1))-AVERAGE(OFFSET($H$3,0,0,'Données projet'!$E$9+1,1))</f>
        <v>215.77907571824977</v>
      </c>
      <c r="T160" s="59">
        <f t="shared" si="142"/>
        <v>174.69390149594869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50.717876121646839</v>
      </c>
      <c r="AA160" s="21">
        <f>EXP(-LN(2)/25)*AA159+(1-EXP(-LN(2)/25))/(LN(2)/25)*Calculateur!V160*Calculateur!X160*VLOOKUP('Données projet'!$B$9,Paramètres!$A$1:$I$89,3,0)*0.475*44/12</f>
        <v>11.06788237731177</v>
      </c>
      <c r="AB160" s="21">
        <f>EXP(-LN(2)/2)*AB159+(1-EXP(-LN(2)/2))/(LN(2)/2)*V160*Y160*VLOOKUP('Données projet'!$B$9,Paramètres!$A$1:$I$89,3,0)*0.475*44/12</f>
        <v>1.8768250357408943E-6</v>
      </c>
      <c r="AC160" s="22">
        <f t="shared" si="163"/>
        <v>61.785760375783646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-1.0197709343628959E-13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171.701352621833</v>
      </c>
      <c r="AO160" s="59">
        <f t="shared" si="144"/>
        <v>195.58435749168586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15.576364305419363</v>
      </c>
      <c r="AV160" s="21">
        <f>EXP(-LN(2)/25)*AV159+(1-EXP(-LN(2)/25))/(LN(2)/25)*Calculateur!AQ160*Calculateur!AS160*VLOOKUP('Données projet'!$B$10,Paramètres!$A$1:$I$89,3,0)*0.475*44/12</f>
        <v>2.6836133777533377</v>
      </c>
      <c r="AW160" s="21">
        <f>EXP(-LN(2)/2)*AW159+(1-EXP(-LN(2)/2))/(LN(2)/2)*AQ160*AT160*VLOOKUP('Données projet'!$B$10,Paramètres!$A$1:$I$89,3,0)*0.475*44/12</f>
        <v>2.2468111631155751E-13</v>
      </c>
      <c r="AX160" s="21">
        <f t="shared" si="166"/>
        <v>18.259977683172924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-1.1823431123048067E-13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348.29124901999882</v>
      </c>
      <c r="BJ160" s="59">
        <f t="shared" si="146"/>
        <v>284.30034973939053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47.298605328155524</v>
      </c>
      <c r="BQ160" s="21">
        <f>EXP(-LN(2)/25)*BQ159+(1-EXP(-LN(2)/25))/(LN(2)/25)*Calculateur!BL160*Calculateur!BN160*VLOOKUP('Données projet'!$B$11,Paramètres!$A$1:$I$89,3,0)*0.475*44/12</f>
        <v>9.1984149263238297</v>
      </c>
      <c r="BR160" s="21">
        <f>EXP(-LN(2)/2)*BR159+(1-EXP(-LN(2)/2))/(LN(2)/2)*BL160*BO160*VLOOKUP('Données projet'!$B$11,Paramètres!$A$1:$I$89,3,0)*0.475*44/12</f>
        <v>2.170290256876841E-10</v>
      </c>
      <c r="BS160" s="22">
        <f t="shared" si="169"/>
        <v>56.49702025469638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-1.3596945791505279E-13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185.82627135915504</v>
      </c>
      <c r="CE160" s="59">
        <f t="shared" si="148"/>
        <v>155.46126452522037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37.238717322199491</v>
      </c>
      <c r="CL160" s="21">
        <f>EXP(-LN(2)/25)*CL159+(1-EXP(-LN(2)/25))/(LN(2)/25)*Calculateur!CG160*Calculateur!CI160*VLOOKUP('Données projet'!$B$12,Paramètres!$A$1:$I$89,3,0)*0.475*44/12</f>
        <v>8.2091430353332662</v>
      </c>
      <c r="CM160" s="21">
        <f>EXP(-LN(2)/2)*CM159+(1-EXP(-LN(2)/2))/(LN(2)/2)*CG160*CJ160*VLOOKUP('Données projet'!$B$12,Paramètres!$A$1:$I$89,3,0)*0.475*44/12</f>
        <v>2.8544685487741464E-6</v>
      </c>
      <c r="CN160" s="22">
        <f t="shared" si="172"/>
        <v>45.447863212001309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-1.2789769243681803E-13</v>
      </c>
      <c r="CU160" s="17">
        <f>CT160*VLOOKUP('Données projet'!$B$13,Paramètres!$A$1:$I$89,3,0)*VLOOKUP('Données projet'!$B$13,Paramètres!$A$1:$I$89,5,0)</f>
        <v>-1.4733814168721438E-13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150.78964413039063</v>
      </c>
      <c r="CZ160" s="59">
        <f t="shared" si="150"/>
        <v>131.90332435966184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20.557004946656022</v>
      </c>
      <c r="DG160" s="21">
        <f>EXP(-LN(2)/25)*DG159+(1-EXP(-LN(2)/25))/(LN(2)/25)*Calculateur!DB160*Calculateur!DD160*VLOOKUP('Données projet'!$B$13,Paramètres!$A$1:$I$89,3,0)*0.475*44/12</f>
        <v>9.0205397257005817</v>
      </c>
      <c r="DH160" s="21">
        <f>EXP(-LN(2)/2)*DH159+(1-EXP(-LN(2)/2))/(LN(2)/2)*DB160*DE160*VLOOKUP('Données projet'!$B$13,Paramètres!$A$1:$I$89,3,0)*0.475*44/12</f>
        <v>1.4437996868275416</v>
      </c>
      <c r="DI160" s="22">
        <f t="shared" si="175"/>
        <v>31.021344359184145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-1.4210854715202004E-14</v>
      </c>
      <c r="DP160" s="17">
        <f>DO160*VLOOKUP('Données projet'!$B$14,Paramètres!$A$1:$I$89,3,0)*VLOOKUP('Données projet'!$B$14,Paramètres!$A$1:$I$89,5,0)</f>
        <v>-1.4853185348329136E-14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110.10595934547638</v>
      </c>
      <c r="DU160" s="59">
        <f t="shared" si="152"/>
        <v>131.10971921141493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7.6346381707637727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7.6346381707637727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7.6783333333333319</v>
      </c>
      <c r="EJ160" s="12">
        <f>IF('Données projet'!$A$192&gt;35,EJ159+EI160-ER159,IF(A160&lt;'Données projet'!$A$192,$EG$205^A160,IF(A160='Données projet'!$A$192,'Données projet'!$B$192,EJ159+EI160-ER159)))</f>
        <v>351.18833333333293</v>
      </c>
      <c r="EK160" s="17">
        <f>EJ160*VLOOKUP('Données projet'!$B$15,Paramètres!$A$1:$I$89,3,0)*VLOOKUP('Données projet'!$B$15,Paramètres!$A$1:$I$89,5,0)</f>
        <v>356.10496999999958</v>
      </c>
      <c r="EL160" s="13">
        <f t="shared" si="179"/>
        <v>82.818320026492003</v>
      </c>
      <c r="EM160" s="20">
        <f t="shared" si="180"/>
        <v>764.45806346280631</v>
      </c>
      <c r="EN160" s="59">
        <f t="shared" si="128"/>
        <v>1057.7913967961397</v>
      </c>
      <c r="EO160" s="59">
        <f ca="1">AVERAGE(OFFSET($EN$3,0,0,'Données projet'!$E$15+1,1))-AVERAGE(OFFSET($H$3,0,0,'Données projet'!$E$15+1,1))</f>
        <v>420.38735944595965</v>
      </c>
      <c r="EP160" s="59">
        <f t="shared" si="154"/>
        <v>200.0823542414671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41.24639549205115</v>
      </c>
      <c r="EW160" s="21">
        <f>EXP(-LN(2)/25)*EW159+(1-EXP(-LN(2)/25))/(LN(2)/25)*Calculateur!ER160*Calculateur!ET160*VLOOKUP('Données projet'!$B$15,Paramètres!$A$1:$I$89,3,0)*0.475*44/12</f>
        <v>22.236409741670755</v>
      </c>
      <c r="EX160" s="21">
        <f>EXP(-LN(2)/2)*EX159+(1-EXP(-LN(2)/2))/(LN(2)/2)*ER160*EU160*VLOOKUP('Données projet'!$B$15,Paramètres!$A$1:$I$89,3,0)*0.475*44/12</f>
        <v>6.5256454892555452E-2</v>
      </c>
      <c r="EY160" s="22">
        <f t="shared" si="181"/>
        <v>63.54806168861446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2.5579538487363607E-13</v>
      </c>
      <c r="FF160" s="17">
        <f>FE160*VLOOKUP('Données projet'!$B$16,Paramètres!$A$1:$I$89,3,0)*VLOOKUP('Données projet'!$B$16,Paramètres!$A$1:$I$89,5,0)</f>
        <v>2.7533815227798186E-13</v>
      </c>
      <c r="FG160" s="13">
        <f t="shared" si="182"/>
        <v>3.6763598146902537E-12</v>
      </c>
      <c r="FH160" s="20">
        <f t="shared" si="183"/>
        <v>6.88254062580301E-12</v>
      </c>
      <c r="FI160" s="59">
        <f t="shared" si="131"/>
        <v>293.33333333334019</v>
      </c>
      <c r="FJ160" s="59">
        <f ca="1">AVERAGE(OFFSET($FI$3,0,0,'Données projet'!$E$16+1,1))-AVERAGE(OFFSET($H$3,0,0,'Données projet'!$E$16+1,1))</f>
        <v>415.8741608506952</v>
      </c>
      <c r="FK160" s="59">
        <f t="shared" si="156"/>
        <v>259.15848913719356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78.731411837114578</v>
      </c>
      <c r="FR160" s="21">
        <f>EXP(-LN(2)/25)*FR159+(1-EXP(-LN(2)/25))/(LN(2)/25)*Calculateur!FM160*Calculateur!FO160*VLOOKUP('Données projet'!$B$16,Paramètres!$A$1:$I$89,3,0)*0.475*44/12</f>
        <v>13.24750754600232</v>
      </c>
      <c r="FS160" s="21">
        <f>EXP(-LN(2)/2)*FS159+(1-EXP(-LN(2)/2))/(LN(2)/2)*FM160*FP160*VLOOKUP('Données projet'!$B$16,Paramètres!$A$1:$I$89,3,0)*0.475*44/12</f>
        <v>6.9922172409840578E-4</v>
      </c>
      <c r="FT160" s="22">
        <f t="shared" si="184"/>
        <v>91.979618604841008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2.5579538487363607E-13</v>
      </c>
      <c r="GA160" s="17">
        <f>FZ160*VLOOKUP('Données projet'!$B$17,Paramètres!$A$1:$I$89,3,0)*VLOOKUP('Données projet'!$B$17,Paramètres!$A$1:$I$89,5,0)</f>
        <v>2.1947244022157976E-13</v>
      </c>
      <c r="GB160" s="13">
        <f t="shared" si="185"/>
        <v>3.0088145886933343E-12</v>
      </c>
      <c r="GC160" s="20">
        <f t="shared" si="186"/>
        <v>5.6225999086934742E-12</v>
      </c>
      <c r="GD160" s="59">
        <f t="shared" si="134"/>
        <v>293.33333333333894</v>
      </c>
      <c r="GE160" s="59">
        <f ca="1">AVERAGE(OFFSET($GD$3,0,0,'Données projet'!$E$17+1,1))-AVERAGE(OFFSET($H$3,0,0,'Données projet'!$E$17+1,1))</f>
        <v>322.39807389980882</v>
      </c>
      <c r="GF160" s="59">
        <f t="shared" si="158"/>
        <v>202.59410055732792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77.351555613477913</v>
      </c>
      <c r="GM160" s="21">
        <f>EXP(-LN(2)/25)*GM159+(1-EXP(-LN(2)/25))/(LN(2)/25)*Calculateur!GH160*Calculateur!GJ160*VLOOKUP('Données projet'!$B$17,Paramètres!$A$1:$I$89,3,0)*0.475*44/12</f>
        <v>13.015330130298876</v>
      </c>
      <c r="GN160" s="21">
        <f>EXP(-LN(2)/2)*GN159+(1-EXP(-LN(2)/2))/(LN(2)/2)*GH160*GK160*VLOOKUP('Données projet'!$B$17,Paramètres!$A$1:$I$89,3,0)*0.475*44/12</f>
        <v>5.5735064964365741E-4</v>
      </c>
      <c r="GO160" s="21">
        <f t="shared" si="187"/>
        <v>90.367443094426434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57.922799999999803</v>
      </c>
      <c r="D161" s="11">
        <f t="shared" si="140"/>
        <v>16.64201561286875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575.58805034495026</v>
      </c>
      <c r="H161" s="67">
        <f t="shared" si="110"/>
        <v>423.20038719241268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1.5961632016114892E-13</v>
      </c>
      <c r="P161" s="13">
        <f t="shared" si="141"/>
        <v>2.2708641912150958E-12</v>
      </c>
      <c r="Q161" s="20">
        <f t="shared" si="162"/>
        <v>4.2330868906469593E-12</v>
      </c>
      <c r="R161" s="59">
        <f t="shared" si="109"/>
        <v>293.33333333333752</v>
      </c>
      <c r="S161" s="59">
        <f ca="1">AVERAGE(OFFSET($R$3,0,0,'Données projet'!$E$9+1,1))-AVERAGE(OFFSET($H$3,0,0,'Données projet'!$E$9+1,1))</f>
        <v>215.77907571824977</v>
      </c>
      <c r="T161" s="59">
        <f t="shared" si="142"/>
        <v>174.69390149594869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49.723329505751217</v>
      </c>
      <c r="AA161" s="21">
        <f>EXP(-LN(2)/25)*AA160+(1-EXP(-LN(2)/25))/(LN(2)/25)*Calculateur!V161*Calculateur!X161*VLOOKUP('Données projet'!$B$9,Paramètres!$A$1:$I$89,3,0)*0.475*44/12</f>
        <v>10.765230551669541</v>
      </c>
      <c r="AB161" s="21">
        <f>EXP(-LN(2)/2)*AB160+(1-EXP(-LN(2)/2))/(LN(2)/2)*V161*Y161*VLOOKUP('Données projet'!$B$9,Paramètres!$A$1:$I$89,3,0)*0.475*44/12</f>
        <v>1.3271157098730708E-6</v>
      </c>
      <c r="AC161" s="22">
        <f t="shared" si="163"/>
        <v>60.488561384536467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-1.0197709343628959E-13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171.701352621833</v>
      </c>
      <c r="AO161" s="59">
        <f t="shared" si="144"/>
        <v>195.58435749168586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15.270921302034205</v>
      </c>
      <c r="AV161" s="21">
        <f>EXP(-LN(2)/25)*AV160+(1-EXP(-LN(2)/25))/(LN(2)/25)*Calculateur!AQ161*Calculateur!AS161*VLOOKUP('Données projet'!$B$10,Paramètres!$A$1:$I$89,3,0)*0.475*44/12</f>
        <v>2.6102298288135786</v>
      </c>
      <c r="AW161" s="21">
        <f>EXP(-LN(2)/2)*AW160+(1-EXP(-LN(2)/2))/(LN(2)/2)*AQ161*AT161*VLOOKUP('Données projet'!$B$10,Paramètres!$A$1:$I$89,3,0)*0.475*44/12</f>
        <v>1.5887354094846575E-13</v>
      </c>
      <c r="AX161" s="21">
        <f t="shared" si="166"/>
        <v>17.881151130847943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-1.1823431123048067E-13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348.29124901999882</v>
      </c>
      <c r="BJ161" s="59">
        <f t="shared" si="146"/>
        <v>284.30034973939053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46.371108526971014</v>
      </c>
      <c r="BQ161" s="21">
        <f>EXP(-LN(2)/25)*BQ160+(1-EXP(-LN(2)/25))/(LN(2)/25)*Calculateur!BL161*Calculateur!BN161*VLOOKUP('Données projet'!$B$11,Paramètres!$A$1:$I$89,3,0)*0.475*44/12</f>
        <v>8.9468837864398871</v>
      </c>
      <c r="BR161" s="21">
        <f>EXP(-LN(2)/2)*BR160+(1-EXP(-LN(2)/2))/(LN(2)/2)*BL161*BO161*VLOOKUP('Données projet'!$B$11,Paramètres!$A$1:$I$89,3,0)*0.475*44/12</f>
        <v>1.5346269577807084E-10</v>
      </c>
      <c r="BS161" s="22">
        <f t="shared" si="169"/>
        <v>55.317992313564361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-1.3596945791505279E-13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185.82627135915504</v>
      </c>
      <c r="CE161" s="59">
        <f t="shared" si="148"/>
        <v>155.46126452522037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36.50848878888597</v>
      </c>
      <c r="CL161" s="21">
        <f>EXP(-LN(2)/25)*CL160+(1-EXP(-LN(2)/25))/(LN(2)/25)*Calculateur!CG161*Calculateur!CI161*VLOOKUP('Données projet'!$B$12,Paramètres!$A$1:$I$89,3,0)*0.475*44/12</f>
        <v>7.9846635873320082</v>
      </c>
      <c r="CM161" s="21">
        <f>EXP(-LN(2)/2)*CM160+(1-EXP(-LN(2)/2))/(LN(2)/2)*CG161*CJ161*VLOOKUP('Données projet'!$B$12,Paramètres!$A$1:$I$89,3,0)*0.475*44/12</f>
        <v>2.0184140675219221E-6</v>
      </c>
      <c r="CN161" s="22">
        <f t="shared" si="172"/>
        <v>44.493154394632043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-1.2789769243681803E-13</v>
      </c>
      <c r="CU161" s="17">
        <f>CT161*VLOOKUP('Données projet'!$B$13,Paramètres!$A$1:$I$89,3,0)*VLOOKUP('Données projet'!$B$13,Paramètres!$A$1:$I$89,5,0)</f>
        <v>-1.4733814168721438E-13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150.78964413039063</v>
      </c>
      <c r="CZ161" s="59">
        <f t="shared" si="150"/>
        <v>131.90332435966184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20.153894618187039</v>
      </c>
      <c r="DG161" s="21">
        <f>EXP(-LN(2)/25)*DG160+(1-EXP(-LN(2)/25))/(LN(2)/25)*Calculateur!DB161*Calculateur!DD161*VLOOKUP('Données projet'!$B$13,Paramètres!$A$1:$I$89,3,0)*0.475*44/12</f>
        <v>8.7738725925317311</v>
      </c>
      <c r="DH161" s="21">
        <f>EXP(-LN(2)/2)*DH160+(1-EXP(-LN(2)/2))/(LN(2)/2)*DB161*DE161*VLOOKUP('Données projet'!$B$13,Paramètres!$A$1:$I$89,3,0)*0.475*44/12</f>
        <v>1.0209205492307682</v>
      </c>
      <c r="DI161" s="22">
        <f t="shared" si="175"/>
        <v>29.948687759949539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-1.4210854715202004E-14</v>
      </c>
      <c r="DP161" s="17">
        <f>DO161*VLOOKUP('Données projet'!$B$14,Paramètres!$A$1:$I$89,3,0)*VLOOKUP('Données projet'!$B$14,Paramètres!$A$1:$I$89,5,0)</f>
        <v>-1.4853185348329136E-14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110.10595934547638</v>
      </c>
      <c r="DU161" s="59">
        <f t="shared" si="152"/>
        <v>131.10971921141493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7.4258685884960656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7.4258685884960656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7.6783333333333319</v>
      </c>
      <c r="EJ161" s="12">
        <f>IF('Données projet'!$A$192&gt;35,EJ160+EI161-ER160,IF(A161&lt;'Données projet'!$A$192,$EG$205^A161,IF(A161='Données projet'!$A$192,'Données projet'!$B$192,EJ160+EI161-ER160)))</f>
        <v>358.86666666666628</v>
      </c>
      <c r="EK161" s="17">
        <f>EJ161*VLOOKUP('Données projet'!$B$15,Paramètres!$A$1:$I$89,3,0)*VLOOKUP('Données projet'!$B$15,Paramètres!$A$1:$I$89,5,0)</f>
        <v>363.89079999999962</v>
      </c>
      <c r="EL161" s="13">
        <f t="shared" si="179"/>
        <v>84.416260050559117</v>
      </c>
      <c r="EM161" s="20">
        <f t="shared" si="180"/>
        <v>780.80146292138977</v>
      </c>
      <c r="EN161" s="59">
        <f t="shared" si="128"/>
        <v>1074.1347962547231</v>
      </c>
      <c r="EO161" s="59">
        <f ca="1">AVERAGE(OFFSET($EN$3,0,0,'Données projet'!$E$15+1,1))-AVERAGE(OFFSET($H$3,0,0,'Données projet'!$E$15+1,1))</f>
        <v>420.38735944595965</v>
      </c>
      <c r="EP161" s="59">
        <f t="shared" si="154"/>
        <v>200.0823542414671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40.437578834269146</v>
      </c>
      <c r="EW161" s="21">
        <f>EXP(-LN(2)/25)*EW160+(1-EXP(-LN(2)/25))/(LN(2)/25)*Calculateur!ER161*Calculateur!ET161*VLOOKUP('Données projet'!$B$15,Paramètres!$A$1:$I$89,3,0)*0.475*44/12</f>
        <v>21.6283539479228</v>
      </c>
      <c r="EX161" s="21">
        <f>EXP(-LN(2)/2)*EX160+(1-EXP(-LN(2)/2))/(LN(2)/2)*ER161*EU161*VLOOKUP('Données projet'!$B$15,Paramètres!$A$1:$I$89,3,0)*0.475*44/12</f>
        <v>4.6143281770720017E-2</v>
      </c>
      <c r="EY161" s="22">
        <f t="shared" si="181"/>
        <v>62.112076063962668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2.5579538487363607E-13</v>
      </c>
      <c r="FF161" s="17">
        <f>FE161*VLOOKUP('Données projet'!$B$16,Paramètres!$A$1:$I$89,3,0)*VLOOKUP('Données projet'!$B$16,Paramètres!$A$1:$I$89,5,0)</f>
        <v>2.7533815227798186E-13</v>
      </c>
      <c r="FG161" s="13">
        <f t="shared" si="182"/>
        <v>3.6763598146902537E-12</v>
      </c>
      <c r="FH161" s="20">
        <f t="shared" si="183"/>
        <v>6.88254062580301E-12</v>
      </c>
      <c r="FI161" s="59">
        <f t="shared" si="131"/>
        <v>293.33333333334019</v>
      </c>
      <c r="FJ161" s="59">
        <f ca="1">AVERAGE(OFFSET($FI$3,0,0,'Données projet'!$E$16+1,1))-AVERAGE(OFFSET($H$3,0,0,'Données projet'!$E$16+1,1))</f>
        <v>415.8741608506952</v>
      </c>
      <c r="FK161" s="59">
        <f t="shared" si="156"/>
        <v>259.15848913719356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77.187536872408259</v>
      </c>
      <c r="FR161" s="21">
        <f>EXP(-LN(2)/25)*FR160+(1-EXP(-LN(2)/25))/(LN(2)/25)*Calculateur!FM161*Calculateur!FO161*VLOOKUP('Données projet'!$B$16,Paramètres!$A$1:$I$89,3,0)*0.475*44/12</f>
        <v>12.885253755500742</v>
      </c>
      <c r="FS161" s="21">
        <f>EXP(-LN(2)/2)*FS160+(1-EXP(-LN(2)/2))/(LN(2)/2)*FM161*FP161*VLOOKUP('Données projet'!$B$16,Paramètres!$A$1:$I$89,3,0)*0.475*44/12</f>
        <v>4.9442442266293192E-4</v>
      </c>
      <c r="FT161" s="22">
        <f t="shared" si="184"/>
        <v>90.07328505233167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2.5579538487363607E-13</v>
      </c>
      <c r="GA161" s="17">
        <f>FZ161*VLOOKUP('Données projet'!$B$17,Paramètres!$A$1:$I$89,3,0)*VLOOKUP('Données projet'!$B$17,Paramètres!$A$1:$I$89,5,0)</f>
        <v>2.1947244022157976E-13</v>
      </c>
      <c r="GB161" s="13">
        <f t="shared" si="185"/>
        <v>3.0088145886933343E-12</v>
      </c>
      <c r="GC161" s="20">
        <f t="shared" si="186"/>
        <v>5.6225999086934742E-12</v>
      </c>
      <c r="GD161" s="59">
        <f t="shared" si="134"/>
        <v>293.33333333333894</v>
      </c>
      <c r="GE161" s="59">
        <f ca="1">AVERAGE(OFFSET($GD$3,0,0,'Données projet'!$E$17+1,1))-AVERAGE(OFFSET($H$3,0,0,'Données projet'!$E$17+1,1))</f>
        <v>322.39807389980882</v>
      </c>
      <c r="GF161" s="59">
        <f t="shared" si="158"/>
        <v>202.59410055732792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75.834738787687911</v>
      </c>
      <c r="GM161" s="21">
        <f>EXP(-LN(2)/25)*GM160+(1-EXP(-LN(2)/25))/(LN(2)/25)*Calculateur!GH161*Calculateur!GJ161*VLOOKUP('Données projet'!$B$17,Paramètres!$A$1:$I$89,3,0)*0.475*44/12</f>
        <v>12.659425243439388</v>
      </c>
      <c r="GN161" s="21">
        <f>EXP(-LN(2)/2)*GN160+(1-EXP(-LN(2)/2))/(LN(2)/2)*GH161*GK161*VLOOKUP('Données projet'!$B$17,Paramètres!$A$1:$I$89,3,0)*0.475*44/12</f>
        <v>3.9410642386175778E-4</v>
      </c>
      <c r="GO161" s="21">
        <f t="shared" si="187"/>
        <v>88.494558137551167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58.289399999999802</v>
      </c>
      <c r="D162" s="11">
        <f t="shared" si="140"/>
        <v>16.735050303381669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579.13610760505003</v>
      </c>
      <c r="H162" s="67">
        <f t="shared" si="110"/>
        <v>424.00091761172268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1.5961632016114892E-13</v>
      </c>
      <c r="P162" s="13">
        <f t="shared" si="141"/>
        <v>2.2708641912150958E-12</v>
      </c>
      <c r="Q162" s="20">
        <f t="shared" si="162"/>
        <v>4.2330868906469593E-12</v>
      </c>
      <c r="R162" s="59">
        <f t="shared" si="109"/>
        <v>293.33333333333752</v>
      </c>
      <c r="S162" s="59">
        <f ca="1">AVERAGE(OFFSET($R$3,0,0,'Données projet'!$E$9+1,1))-AVERAGE(OFFSET($H$3,0,0,'Données projet'!$E$9+1,1))</f>
        <v>215.77907571824977</v>
      </c>
      <c r="T162" s="59">
        <f t="shared" si="142"/>
        <v>174.69390149594869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48.748285342379766</v>
      </c>
      <c r="AA162" s="21">
        <f>EXP(-LN(2)/25)*AA161+(1-EXP(-LN(2)/25))/(LN(2)/25)*Calculateur!V162*Calculateur!X162*VLOOKUP('Données projet'!$B$9,Paramètres!$A$1:$I$89,3,0)*0.475*44/12</f>
        <v>10.470854756115267</v>
      </c>
      <c r="AB162" s="21">
        <f>EXP(-LN(2)/2)*AB161+(1-EXP(-LN(2)/2))/(LN(2)/2)*V162*Y162*VLOOKUP('Données projet'!$B$9,Paramètres!$A$1:$I$89,3,0)*0.475*44/12</f>
        <v>9.3841251787044724E-7</v>
      </c>
      <c r="AC162" s="22">
        <f t="shared" si="163"/>
        <v>59.219141036907551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-1.0197709343628959E-13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171.701352621833</v>
      </c>
      <c r="AO162" s="59">
        <f t="shared" si="144"/>
        <v>195.58435749168586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14.971467849643593</v>
      </c>
      <c r="AV162" s="21">
        <f>EXP(-LN(2)/25)*AV161+(1-EXP(-LN(2)/25))/(LN(2)/25)*Calculateur!AQ162*Calculateur!AS162*VLOOKUP('Données projet'!$B$10,Paramètres!$A$1:$I$89,3,0)*0.475*44/12</f>
        <v>2.5388529568786504</v>
      </c>
      <c r="AW162" s="21">
        <f>EXP(-LN(2)/2)*AW161+(1-EXP(-LN(2)/2))/(LN(2)/2)*AQ162*AT162*VLOOKUP('Données projet'!$B$10,Paramètres!$A$1:$I$89,3,0)*0.475*44/12</f>
        <v>1.1234055815577878E-13</v>
      </c>
      <c r="AX162" s="21">
        <f t="shared" si="166"/>
        <v>17.510320806522358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-1.1823431123048067E-13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348.29124901999882</v>
      </c>
      <c r="BJ162" s="59">
        <f t="shared" si="146"/>
        <v>284.30034973939053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45.461799372340543</v>
      </c>
      <c r="BQ162" s="21">
        <f>EXP(-LN(2)/25)*BQ161+(1-EXP(-LN(2)/25))/(LN(2)/25)*Calculateur!BL162*Calculateur!BN162*VLOOKUP('Données projet'!$B$11,Paramètres!$A$1:$I$89,3,0)*0.475*44/12</f>
        <v>8.7022307788035178</v>
      </c>
      <c r="BR162" s="21">
        <f>EXP(-LN(2)/2)*BR161+(1-EXP(-LN(2)/2))/(LN(2)/2)*BL162*BO162*VLOOKUP('Données projet'!$B$11,Paramètres!$A$1:$I$89,3,0)*0.475*44/12</f>
        <v>1.0851451284384205E-10</v>
      </c>
      <c r="BS162" s="22">
        <f t="shared" si="169"/>
        <v>54.164030151252575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-1.3596945791505279E-13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185.82627135915504</v>
      </c>
      <c r="CE162" s="59">
        <f t="shared" si="148"/>
        <v>155.46126452522037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35.792579591715295</v>
      </c>
      <c r="CL162" s="21">
        <f>EXP(-LN(2)/25)*CL161+(1-EXP(-LN(2)/25))/(LN(2)/25)*Calculateur!CG162*Calculateur!CI162*VLOOKUP('Données projet'!$B$12,Paramètres!$A$1:$I$89,3,0)*0.475*44/12</f>
        <v>7.7663225416412054</v>
      </c>
      <c r="CM162" s="21">
        <f>EXP(-LN(2)/2)*CM161+(1-EXP(-LN(2)/2))/(LN(2)/2)*CG162*CJ162*VLOOKUP('Données projet'!$B$12,Paramètres!$A$1:$I$89,3,0)*0.475*44/12</f>
        <v>1.4272342743870732E-6</v>
      </c>
      <c r="CN162" s="22">
        <f t="shared" si="172"/>
        <v>43.558903560590771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-1.2789769243681803E-13</v>
      </c>
      <c r="CU162" s="17">
        <f>CT162*VLOOKUP('Données projet'!$B$13,Paramètres!$A$1:$I$89,3,0)*VLOOKUP('Données projet'!$B$13,Paramètres!$A$1:$I$89,5,0)</f>
        <v>-1.4733814168721438E-13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150.78964413039063</v>
      </c>
      <c r="CZ162" s="59">
        <f t="shared" si="150"/>
        <v>131.90332435966184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19.758689037386308</v>
      </c>
      <c r="DG162" s="21">
        <f>EXP(-LN(2)/25)*DG161+(1-EXP(-LN(2)/25))/(LN(2)/25)*Calculateur!DB162*Calculateur!DD162*VLOOKUP('Données projet'!$B$13,Paramètres!$A$1:$I$89,3,0)*0.475*44/12</f>
        <v>8.5339505850910449</v>
      </c>
      <c r="DH162" s="21">
        <f>EXP(-LN(2)/2)*DH161+(1-EXP(-LN(2)/2))/(LN(2)/2)*DB162*DE162*VLOOKUP('Données projet'!$B$13,Paramètres!$A$1:$I$89,3,0)*0.475*44/12</f>
        <v>0.72189984341377078</v>
      </c>
      <c r="DI162" s="22">
        <f t="shared" si="175"/>
        <v>29.014539465891122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-1.4210854715202004E-14</v>
      </c>
      <c r="DP162" s="17">
        <f>DO162*VLOOKUP('Données projet'!$B$14,Paramètres!$A$1:$I$89,3,0)*VLOOKUP('Données projet'!$B$14,Paramètres!$A$1:$I$89,5,0)</f>
        <v>-1.4853185348329136E-14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110.10595934547638</v>
      </c>
      <c r="DU162" s="59">
        <f t="shared" si="152"/>
        <v>131.10971921141493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7.2228078214341833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7.2228078214341833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7.6783333333333319</v>
      </c>
      <c r="EJ162" s="12">
        <f>IF('Données projet'!$A$192&gt;35,EJ161+EI162-ER161,IF(A162&lt;'Données projet'!$A$192,$EG$205^A162,IF(A162='Données projet'!$A$192,'Données projet'!$B$192,EJ161+EI162-ER161)))</f>
        <v>366.54499999999962</v>
      </c>
      <c r="EK162" s="17">
        <f>EJ162*VLOOKUP('Données projet'!$B$15,Paramètres!$A$1:$I$89,3,0)*VLOOKUP('Données projet'!$B$15,Paramètres!$A$1:$I$89,5,0)</f>
        <v>371.67662999999965</v>
      </c>
      <c r="EL162" s="13">
        <f t="shared" si="179"/>
        <v>86.010225033473873</v>
      </c>
      <c r="EM162" s="20">
        <f t="shared" si="180"/>
        <v>797.13793918329975</v>
      </c>
      <c r="EN162" s="59">
        <f t="shared" si="128"/>
        <v>1090.471272516633</v>
      </c>
      <c r="EO162" s="59">
        <f ca="1">AVERAGE(OFFSET($EN$3,0,0,'Données projet'!$E$15+1,1))-AVERAGE(OFFSET($H$3,0,0,'Données projet'!$E$15+1,1))</f>
        <v>420.38735944595965</v>
      </c>
      <c r="EP162" s="59">
        <f t="shared" si="154"/>
        <v>200.0823542414671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39.644622577816804</v>
      </c>
      <c r="EW162" s="21">
        <f>EXP(-LN(2)/25)*EW161+(1-EXP(-LN(2)/25))/(LN(2)/25)*Calculateur!ER162*Calculateur!ET162*VLOOKUP('Données projet'!$B$15,Paramètres!$A$1:$I$89,3,0)*0.475*44/12</f>
        <v>21.03692547183115</v>
      </c>
      <c r="EX162" s="21">
        <f>EXP(-LN(2)/2)*EX161+(1-EXP(-LN(2)/2))/(LN(2)/2)*ER162*EU162*VLOOKUP('Données projet'!$B$15,Paramètres!$A$1:$I$89,3,0)*0.475*44/12</f>
        <v>3.2628227446277726E-2</v>
      </c>
      <c r="EY162" s="22">
        <f t="shared" si="181"/>
        <v>60.714176277094239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2.5579538487363607E-13</v>
      </c>
      <c r="FF162" s="17">
        <f>FE162*VLOOKUP('Données projet'!$B$16,Paramètres!$A$1:$I$89,3,0)*VLOOKUP('Données projet'!$B$16,Paramètres!$A$1:$I$89,5,0)</f>
        <v>2.7533815227798186E-13</v>
      </c>
      <c r="FG162" s="13">
        <f t="shared" si="182"/>
        <v>3.6763598146902537E-12</v>
      </c>
      <c r="FH162" s="20">
        <f t="shared" si="183"/>
        <v>6.88254062580301E-12</v>
      </c>
      <c r="FI162" s="59">
        <f t="shared" si="131"/>
        <v>293.33333333334019</v>
      </c>
      <c r="FJ162" s="59">
        <f ca="1">AVERAGE(OFFSET($FI$3,0,0,'Données projet'!$E$16+1,1))-AVERAGE(OFFSET($H$3,0,0,'Données projet'!$E$16+1,1))</f>
        <v>415.8741608506952</v>
      </c>
      <c r="FK162" s="59">
        <f t="shared" si="156"/>
        <v>259.15848913719356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75.673936354089079</v>
      </c>
      <c r="FR162" s="21">
        <f>EXP(-LN(2)/25)*FR161+(1-EXP(-LN(2)/25))/(LN(2)/25)*Calculateur!FM162*Calculateur!FO162*VLOOKUP('Données projet'!$B$16,Paramètres!$A$1:$I$89,3,0)*0.475*44/12</f>
        <v>12.532905813950528</v>
      </c>
      <c r="FS162" s="21">
        <f>EXP(-LN(2)/2)*FS161+(1-EXP(-LN(2)/2))/(LN(2)/2)*FM162*FP162*VLOOKUP('Données projet'!$B$16,Paramètres!$A$1:$I$89,3,0)*0.475*44/12</f>
        <v>3.4961086204920289E-4</v>
      </c>
      <c r="FT162" s="22">
        <f t="shared" si="184"/>
        <v>88.207191778901645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2.5579538487363607E-13</v>
      </c>
      <c r="GA162" s="17">
        <f>FZ162*VLOOKUP('Données projet'!$B$17,Paramètres!$A$1:$I$89,3,0)*VLOOKUP('Données projet'!$B$17,Paramètres!$A$1:$I$89,5,0)</f>
        <v>2.1947244022157976E-13</v>
      </c>
      <c r="GB162" s="13">
        <f t="shared" si="185"/>
        <v>3.0088145886933343E-12</v>
      </c>
      <c r="GC162" s="20">
        <f t="shared" si="186"/>
        <v>5.6225999086934742E-12</v>
      </c>
      <c r="GD162" s="59">
        <f t="shared" si="134"/>
        <v>293.33333333333894</v>
      </c>
      <c r="GE162" s="59">
        <f ca="1">AVERAGE(OFFSET($GD$3,0,0,'Données projet'!$E$17+1,1))-AVERAGE(OFFSET($H$3,0,0,'Données projet'!$E$17+1,1))</f>
        <v>322.39807389980882</v>
      </c>
      <c r="GF162" s="59">
        <f t="shared" si="158"/>
        <v>202.59410055732792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74.347665814684746</v>
      </c>
      <c r="GM162" s="21">
        <f>EXP(-LN(2)/25)*GM161+(1-EXP(-LN(2)/25))/(LN(2)/25)*Calculateur!GH162*Calculateur!GJ162*VLOOKUP('Données projet'!$B$17,Paramètres!$A$1:$I$89,3,0)*0.475*44/12</f>
        <v>12.313252594427299</v>
      </c>
      <c r="GN162" s="21">
        <f>EXP(-LN(2)/2)*GN161+(1-EXP(-LN(2)/2))/(LN(2)/2)*GH162*GK162*VLOOKUP('Données projet'!$B$17,Paramètres!$A$1:$I$89,3,0)*0.475*44/12</f>
        <v>2.7867532482182871E-4</v>
      </c>
      <c r="GO162" s="21">
        <f t="shared" si="187"/>
        <v>86.661197084436864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</v>
      </c>
      <c r="D163" s="11">
        <f t="shared" si="140"/>
        <v>16.828016909929023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582.68363930471378</v>
      </c>
      <c r="H163" s="67">
        <f t="shared" si="110"/>
        <v>424.80132945145937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1.5961632016114892E-13</v>
      </c>
      <c r="P163" s="13">
        <f t="shared" si="141"/>
        <v>2.2708641912150958E-12</v>
      </c>
      <c r="Q163" s="20">
        <f t="shared" si="162"/>
        <v>4.2330868906469593E-12</v>
      </c>
      <c r="R163" s="59">
        <f t="shared" si="109"/>
        <v>293.33333333333752</v>
      </c>
      <c r="S163" s="59">
        <f ca="1">AVERAGE(OFFSET($R$3,0,0,'Données projet'!$E$9+1,1))-AVERAGE(OFFSET($H$3,0,0,'Données projet'!$E$9+1,1))</f>
        <v>215.77907571824977</v>
      </c>
      <c r="T163" s="59">
        <f t="shared" si="142"/>
        <v>174.69390149594869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47.792361200333815</v>
      </c>
      <c r="AA163" s="21">
        <f>EXP(-LN(2)/25)*AA162+(1-EXP(-LN(2)/25))/(LN(2)/25)*Calculateur!V163*Calculateur!X163*VLOOKUP('Données projet'!$B$9,Paramètres!$A$1:$I$89,3,0)*0.475*44/12</f>
        <v>10.184528682170976</v>
      </c>
      <c r="AB163" s="21">
        <f>EXP(-LN(2)/2)*AB162+(1-EXP(-LN(2)/2))/(LN(2)/2)*V163*Y163*VLOOKUP('Données projet'!$B$9,Paramètres!$A$1:$I$89,3,0)*0.475*44/12</f>
        <v>6.6355785493653552E-7</v>
      </c>
      <c r="AC163" s="22">
        <f t="shared" si="163"/>
        <v>57.976890546062648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-1.0197709343628959E-13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171.701352621833</v>
      </c>
      <c r="AO163" s="59">
        <f t="shared" si="144"/>
        <v>195.58435749168586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14.67788649680579</v>
      </c>
      <c r="AV163" s="21">
        <f>EXP(-LN(2)/25)*AV162+(1-EXP(-LN(2)/25))/(LN(2)/25)*Calculateur!AQ163*Calculateur!AS163*VLOOKUP('Données projet'!$B$10,Paramètres!$A$1:$I$89,3,0)*0.475*44/12</f>
        <v>2.4694278892603294</v>
      </c>
      <c r="AW163" s="21">
        <f>EXP(-LN(2)/2)*AW162+(1-EXP(-LN(2)/2))/(LN(2)/2)*AQ163*AT163*VLOOKUP('Données projet'!$B$10,Paramètres!$A$1:$I$89,3,0)*0.475*44/12</f>
        <v>7.9436770474232885E-14</v>
      </c>
      <c r="AX163" s="21">
        <f t="shared" si="166"/>
        <v>17.147314386066199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-1.1823431123048067E-13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348.29124901999882</v>
      </c>
      <c r="BJ163" s="59">
        <f t="shared" si="146"/>
        <v>284.30034973939053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44.570321215608558</v>
      </c>
      <c r="BQ163" s="21">
        <f>EXP(-LN(2)/25)*BQ162+(1-EXP(-LN(2)/25))/(LN(2)/25)*Calculateur!BL163*Calculateur!BN163*VLOOKUP('Données projet'!$B$11,Paramètres!$A$1:$I$89,3,0)*0.475*44/12</f>
        <v>8.4642678205267075</v>
      </c>
      <c r="BR163" s="21">
        <f>EXP(-LN(2)/2)*BR162+(1-EXP(-LN(2)/2))/(LN(2)/2)*BL163*BO163*VLOOKUP('Données projet'!$B$11,Paramètres!$A$1:$I$89,3,0)*0.475*44/12</f>
        <v>7.6731347889035419E-11</v>
      </c>
      <c r="BS163" s="22">
        <f t="shared" si="169"/>
        <v>53.034589036211997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-1.3596945791505279E-13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185.82627135915504</v>
      </c>
      <c r="CE163" s="59">
        <f t="shared" si="148"/>
        <v>155.46126452522037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35.090708937239647</v>
      </c>
      <c r="CL163" s="21">
        <f>EXP(-LN(2)/25)*CL162+(1-EXP(-LN(2)/25))/(LN(2)/25)*Calculateur!CG163*Calculateur!CI163*VLOOKUP('Données projet'!$B$12,Paramètres!$A$1:$I$89,3,0)*0.475*44/12</f>
        <v>7.5539520433268743</v>
      </c>
      <c r="CM163" s="21">
        <f>EXP(-LN(2)/2)*CM162+(1-EXP(-LN(2)/2))/(LN(2)/2)*CG163*CJ163*VLOOKUP('Données projet'!$B$12,Paramètres!$A$1:$I$89,3,0)*0.475*44/12</f>
        <v>1.0092070337609611E-6</v>
      </c>
      <c r="CN163" s="22">
        <f t="shared" si="172"/>
        <v>42.644661989773553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-1.2789769243681803E-13</v>
      </c>
      <c r="CU163" s="17">
        <f>CT163*VLOOKUP('Données projet'!$B$13,Paramètres!$A$1:$I$89,3,0)*VLOOKUP('Données projet'!$B$13,Paramètres!$A$1:$I$89,5,0)</f>
        <v>-1.4733814168721438E-13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150.78964413039063</v>
      </c>
      <c r="CZ163" s="59">
        <f t="shared" si="150"/>
        <v>131.90332435966184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19.371233196973478</v>
      </c>
      <c r="DG163" s="21">
        <f>EXP(-LN(2)/25)*DG162+(1-EXP(-LN(2)/25))/(LN(2)/25)*Calculateur!DB163*Calculateur!DD163*VLOOKUP('Données projet'!$B$13,Paramètres!$A$1:$I$89,3,0)*0.475*44/12</f>
        <v>8.3005892575607731</v>
      </c>
      <c r="DH163" s="21">
        <f>EXP(-LN(2)/2)*DH162+(1-EXP(-LN(2)/2))/(LN(2)/2)*DB163*DE163*VLOOKUP('Données projet'!$B$13,Paramètres!$A$1:$I$89,3,0)*0.475*44/12</f>
        <v>0.51046027461538412</v>
      </c>
      <c r="DI163" s="22">
        <f t="shared" si="175"/>
        <v>28.182282729149634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-1.4210854715202004E-14</v>
      </c>
      <c r="DP163" s="17">
        <f>DO163*VLOOKUP('Données projet'!$B$14,Paramètres!$A$1:$I$89,3,0)*VLOOKUP('Données projet'!$B$14,Paramètres!$A$1:$I$89,5,0)</f>
        <v>-1.4853185348329136E-14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110.10595934547638</v>
      </c>
      <c r="DU163" s="59">
        <f t="shared" si="152"/>
        <v>131.10971921141493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7.0252997617261101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7.0252997617261101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7.6783333333333319</v>
      </c>
      <c r="EJ163" s="12">
        <f>IF('Données projet'!$A$192&gt;35,EJ162+EI163-ER162,IF(A163&lt;'Données projet'!$A$192,$EG$205^A163,IF(A163='Données projet'!$A$192,'Données projet'!$B$192,EJ162+EI163-ER162)))</f>
        <v>374.22333333333296</v>
      </c>
      <c r="EK163" s="17">
        <f>EJ163*VLOOKUP('Données projet'!$B$15,Paramètres!$A$1:$I$89,3,0)*VLOOKUP('Données projet'!$B$15,Paramètres!$A$1:$I$89,5,0)</f>
        <v>379.46245999999962</v>
      </c>
      <c r="EL163" s="13">
        <f t="shared" si="179"/>
        <v>87.600307836777574</v>
      </c>
      <c r="EM163" s="20">
        <f t="shared" si="180"/>
        <v>813.46765398238688</v>
      </c>
      <c r="EN163" s="59">
        <f t="shared" si="128"/>
        <v>1106.8009873157202</v>
      </c>
      <c r="EO163" s="59">
        <f ca="1">AVERAGE(OFFSET($EN$3,0,0,'Données projet'!$E$15+1,1))-AVERAGE(OFFSET($H$3,0,0,'Données projet'!$E$15+1,1))</f>
        <v>420.38735944595965</v>
      </c>
      <c r="EP163" s="59">
        <f t="shared" si="154"/>
        <v>200.0823542414671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38.867215709897927</v>
      </c>
      <c r="EW163" s="21">
        <f>EXP(-LN(2)/25)*EW162+(1-EXP(-LN(2)/25))/(LN(2)/25)*Calculateur!ER163*Calculateur!ET163*VLOOKUP('Données projet'!$B$15,Paramètres!$A$1:$I$89,3,0)*0.475*44/12</f>
        <v>20.461669638520096</v>
      </c>
      <c r="EX163" s="21">
        <f>EXP(-LN(2)/2)*EX162+(1-EXP(-LN(2)/2))/(LN(2)/2)*ER163*EU163*VLOOKUP('Données projet'!$B$15,Paramètres!$A$1:$I$89,3,0)*0.475*44/12</f>
        <v>2.3071640885360008E-2</v>
      </c>
      <c r="EY163" s="22">
        <f t="shared" si="181"/>
        <v>59.351956989303389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2.5579538487363607E-13</v>
      </c>
      <c r="FF163" s="17">
        <f>FE163*VLOOKUP('Données projet'!$B$16,Paramètres!$A$1:$I$89,3,0)*VLOOKUP('Données projet'!$B$16,Paramètres!$A$1:$I$89,5,0)</f>
        <v>2.7533815227798186E-13</v>
      </c>
      <c r="FG163" s="13">
        <f t="shared" si="182"/>
        <v>3.6763598146902537E-12</v>
      </c>
      <c r="FH163" s="20">
        <f t="shared" si="183"/>
        <v>6.88254062580301E-12</v>
      </c>
      <c r="FI163" s="59">
        <f t="shared" si="131"/>
        <v>293.33333333334019</v>
      </c>
      <c r="FJ163" s="59">
        <f ca="1">AVERAGE(OFFSET($FI$3,0,0,'Données projet'!$E$16+1,1))-AVERAGE(OFFSET($H$3,0,0,'Données projet'!$E$16+1,1))</f>
        <v>415.8741608506952</v>
      </c>
      <c r="FK163" s="59">
        <f t="shared" si="156"/>
        <v>259.15848913719356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74.19001661872899</v>
      </c>
      <c r="FR163" s="21">
        <f>EXP(-LN(2)/25)*FR162+(1-EXP(-LN(2)/25))/(LN(2)/25)*Calculateur!FM163*Calculateur!FO163*VLOOKUP('Données projet'!$B$16,Paramètres!$A$1:$I$89,3,0)*0.475*44/12</f>
        <v>12.190192845391179</v>
      </c>
      <c r="FS163" s="21">
        <f>EXP(-LN(2)/2)*FS162+(1-EXP(-LN(2)/2))/(LN(2)/2)*FM163*FP163*VLOOKUP('Données projet'!$B$16,Paramètres!$A$1:$I$89,3,0)*0.475*44/12</f>
        <v>2.4721221133146596E-4</v>
      </c>
      <c r="FT163" s="22">
        <f t="shared" si="184"/>
        <v>86.380456676331505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2.5579538487363607E-13</v>
      </c>
      <c r="GA163" s="17">
        <f>FZ163*VLOOKUP('Données projet'!$B$17,Paramètres!$A$1:$I$89,3,0)*VLOOKUP('Données projet'!$B$17,Paramètres!$A$1:$I$89,5,0)</f>
        <v>2.1947244022157976E-13</v>
      </c>
      <c r="GB163" s="13">
        <f t="shared" si="185"/>
        <v>3.0088145886933343E-12</v>
      </c>
      <c r="GC163" s="20">
        <f t="shared" si="186"/>
        <v>5.6225999086934742E-12</v>
      </c>
      <c r="GD163" s="59">
        <f t="shared" si="134"/>
        <v>293.33333333333894</v>
      </c>
      <c r="GE163" s="59">
        <f ca="1">AVERAGE(OFFSET($GD$3,0,0,'Données projet'!$E$17+1,1))-AVERAGE(OFFSET($H$3,0,0,'Données projet'!$E$17+1,1))</f>
        <v>322.39807389980882</v>
      </c>
      <c r="GF163" s="59">
        <f t="shared" si="158"/>
        <v>202.59410055732792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72.889753435657227</v>
      </c>
      <c r="GM163" s="21">
        <f>EXP(-LN(2)/25)*GM162+(1-EXP(-LN(2)/25))/(LN(2)/25)*Calculateur!GH163*Calculateur!GJ163*VLOOKUP('Données projet'!$B$17,Paramètres!$A$1:$I$89,3,0)*0.475*44/12</f>
        <v>11.976546054706873</v>
      </c>
      <c r="GN163" s="21">
        <f>EXP(-LN(2)/2)*GN162+(1-EXP(-LN(2)/2))/(LN(2)/2)*GH163*GK163*VLOOKUP('Données projet'!$B$17,Paramètres!$A$1:$I$89,3,0)*0.475*44/12</f>
        <v>1.9705321193087889E-4</v>
      </c>
      <c r="GO163" s="21">
        <f t="shared" si="187"/>
        <v>84.866496543576034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59.022599999999798</v>
      </c>
      <c r="D164" s="11">
        <f t="shared" si="140"/>
        <v>16.920915907400097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586.2306491097537</v>
      </c>
      <c r="H164" s="67">
        <f t="shared" si="110"/>
        <v>425.60162353872147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1.5961632016114892E-13</v>
      </c>
      <c r="P164" s="13">
        <f t="shared" si="141"/>
        <v>2.2708641912150958E-12</v>
      </c>
      <c r="Q164" s="20">
        <f t="shared" si="162"/>
        <v>4.2330868906469593E-12</v>
      </c>
      <c r="R164" s="59">
        <f t="shared" si="109"/>
        <v>293.33333333333752</v>
      </c>
      <c r="S164" s="59">
        <f ca="1">AVERAGE(OFFSET($R$3,0,0,'Données projet'!$E$9+1,1))-AVERAGE(OFFSET($H$3,0,0,'Données projet'!$E$9+1,1))</f>
        <v>215.77907571824977</v>
      </c>
      <c r="T164" s="59">
        <f t="shared" si="142"/>
        <v>174.69390149594869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46.855182147657231</v>
      </c>
      <c r="AA164" s="21">
        <f>EXP(-LN(2)/25)*AA163+(1-EXP(-LN(2)/25))/(LN(2)/25)*Calculateur!V164*Calculateur!X164*VLOOKUP('Données projet'!$B$9,Paramètres!$A$1:$I$89,3,0)*0.475*44/12</f>
        <v>9.9060322097759244</v>
      </c>
      <c r="AB164" s="21">
        <f>EXP(-LN(2)/2)*AB163+(1-EXP(-LN(2)/2))/(LN(2)/2)*V164*Y164*VLOOKUP('Données projet'!$B$9,Paramètres!$A$1:$I$89,3,0)*0.475*44/12</f>
        <v>4.6920625893522372E-7</v>
      </c>
      <c r="AC164" s="22">
        <f t="shared" si="163"/>
        <v>56.76121482663941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-1.0197709343628959E-13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171.701352621833</v>
      </c>
      <c r="AO164" s="59">
        <f t="shared" si="144"/>
        <v>195.58435749168586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14.390062095230194</v>
      </c>
      <c r="AV164" s="21">
        <f>EXP(-LN(2)/25)*AV163+(1-EXP(-LN(2)/25))/(LN(2)/25)*Calculateur!AQ164*Calculateur!AS164*VLOOKUP('Données projet'!$B$10,Paramètres!$A$1:$I$89,3,0)*0.475*44/12</f>
        <v>2.4019012537669369</v>
      </c>
      <c r="AW164" s="21">
        <f>EXP(-LN(2)/2)*AW163+(1-EXP(-LN(2)/2))/(LN(2)/2)*AQ164*AT164*VLOOKUP('Données projet'!$B$10,Paramètres!$A$1:$I$89,3,0)*0.475*44/12</f>
        <v>5.6170279077889395E-14</v>
      </c>
      <c r="AX164" s="21">
        <f t="shared" si="166"/>
        <v>16.791963348997186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-1.1823431123048067E-13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348.29124901999882</v>
      </c>
      <c r="BJ164" s="59">
        <f t="shared" si="146"/>
        <v>284.30034973939053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43.6963244017821</v>
      </c>
      <c r="BQ164" s="21">
        <f>EXP(-LN(2)/25)*BQ163+(1-EXP(-LN(2)/25))/(LN(2)/25)*Calculateur!BL164*Calculateur!BN164*VLOOKUP('Données projet'!$B$11,Paramètres!$A$1:$I$89,3,0)*0.475*44/12</f>
        <v>8.232811971857906</v>
      </c>
      <c r="BR164" s="21">
        <f>EXP(-LN(2)/2)*BR163+(1-EXP(-LN(2)/2))/(LN(2)/2)*BL164*BO164*VLOOKUP('Données projet'!$B$11,Paramètres!$A$1:$I$89,3,0)*0.475*44/12</f>
        <v>5.4257256421921024E-11</v>
      </c>
      <c r="BS164" s="22">
        <f t="shared" si="169"/>
        <v>51.929136373694263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-1.3596945791505279E-13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185.82627135915504</v>
      </c>
      <c r="CE164" s="59">
        <f t="shared" si="148"/>
        <v>155.46126452522037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34.402601538199434</v>
      </c>
      <c r="CL164" s="21">
        <f>EXP(-LN(2)/25)*CL163+(1-EXP(-LN(2)/25))/(LN(2)/25)*Calculateur!CG164*Calculateur!CI164*VLOOKUP('Données projet'!$B$12,Paramètres!$A$1:$I$89,3,0)*0.475*44/12</f>
        <v>7.3473888274570278</v>
      </c>
      <c r="CM164" s="21">
        <f>EXP(-LN(2)/2)*CM163+(1-EXP(-LN(2)/2))/(LN(2)/2)*CG164*CJ164*VLOOKUP('Données projet'!$B$12,Paramètres!$A$1:$I$89,3,0)*0.475*44/12</f>
        <v>7.136171371935366E-7</v>
      </c>
      <c r="CN164" s="22">
        <f t="shared" si="172"/>
        <v>41.749991079273599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-1.2789769243681803E-13</v>
      </c>
      <c r="CU164" s="17">
        <f>CT164*VLOOKUP('Données projet'!$B$13,Paramètres!$A$1:$I$89,3,0)*VLOOKUP('Données projet'!$B$13,Paramètres!$A$1:$I$89,5,0)</f>
        <v>-1.4733814168721438E-13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150.78964413039063</v>
      </c>
      <c r="CZ164" s="59">
        <f t="shared" si="150"/>
        <v>131.90332435966184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18.991375129266416</v>
      </c>
      <c r="DG164" s="21">
        <f>EXP(-LN(2)/25)*DG163+(1-EXP(-LN(2)/25))/(LN(2)/25)*Calculateur!DB164*Calculateur!DD164*VLOOKUP('Données projet'!$B$13,Paramètres!$A$1:$I$89,3,0)*0.475*44/12</f>
        <v>8.0736092078037558</v>
      </c>
      <c r="DH164" s="21">
        <f>EXP(-LN(2)/2)*DH163+(1-EXP(-LN(2)/2))/(LN(2)/2)*DB164*DE164*VLOOKUP('Données projet'!$B$13,Paramètres!$A$1:$I$89,3,0)*0.475*44/12</f>
        <v>0.36094992170688539</v>
      </c>
      <c r="DI164" s="22">
        <f t="shared" si="175"/>
        <v>27.425934258777058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-1.4210854715202004E-14</v>
      </c>
      <c r="DP164" s="17">
        <f>DO164*VLOOKUP('Données projet'!$B$14,Paramètres!$A$1:$I$89,3,0)*VLOOKUP('Données projet'!$B$14,Paramètres!$A$1:$I$89,5,0)</f>
        <v>-1.4853185348329136E-14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110.10595934547638</v>
      </c>
      <c r="DU164" s="59">
        <f t="shared" si="152"/>
        <v>131.10971921141493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6.8331925702972516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6.8331925702972516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7.6783333333333319</v>
      </c>
      <c r="EJ164" s="12">
        <f>IF('Données projet'!$A$192&gt;35,EJ163+EI164-ER163,IF(A164&lt;'Données projet'!$A$192,$EG$205^A164,IF(A164='Données projet'!$A$192,'Données projet'!$B$192,EJ163+EI164-ER163)))</f>
        <v>381.9016666666663</v>
      </c>
      <c r="EK164" s="17">
        <f>EJ164*VLOOKUP('Données projet'!$B$15,Paramètres!$A$1:$I$89,3,0)*VLOOKUP('Données projet'!$B$15,Paramètres!$A$1:$I$89,5,0)</f>
        <v>387.24828999999966</v>
      </c>
      <c r="EL164" s="13">
        <f t="shared" si="179"/>
        <v>89.186597293517707</v>
      </c>
      <c r="EM164" s="20">
        <f t="shared" si="180"/>
        <v>829.79076203620934</v>
      </c>
      <c r="EN164" s="59">
        <f t="shared" si="128"/>
        <v>1123.1240953695426</v>
      </c>
      <c r="EO164" s="59">
        <f ca="1">AVERAGE(OFFSET($EN$3,0,0,'Données projet'!$E$15+1,1))-AVERAGE(OFFSET($H$3,0,0,'Données projet'!$E$15+1,1))</f>
        <v>420.38735944595965</v>
      </c>
      <c r="EP164" s="59">
        <f t="shared" si="154"/>
        <v>200.0823542414671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38.10505331648757</v>
      </c>
      <c r="EW164" s="21">
        <f>EXP(-LN(2)/25)*EW163+(1-EXP(-LN(2)/25))/(LN(2)/25)*Calculateur!ER164*Calculateur!ET164*VLOOKUP('Données projet'!$B$15,Paramètres!$A$1:$I$89,3,0)*0.475*44/12</f>
        <v>19.902144206222324</v>
      </c>
      <c r="EX164" s="21">
        <f>EXP(-LN(2)/2)*EX163+(1-EXP(-LN(2)/2))/(LN(2)/2)*ER164*EU164*VLOOKUP('Données projet'!$B$15,Paramètres!$A$1:$I$89,3,0)*0.475*44/12</f>
        <v>1.6314113723138863E-2</v>
      </c>
      <c r="EY164" s="22">
        <f t="shared" si="181"/>
        <v>58.023511636433035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2.5579538487363607E-13</v>
      </c>
      <c r="FF164" s="17">
        <f>FE164*VLOOKUP('Données projet'!$B$16,Paramètres!$A$1:$I$89,3,0)*VLOOKUP('Données projet'!$B$16,Paramètres!$A$1:$I$89,5,0)</f>
        <v>2.7533815227798186E-13</v>
      </c>
      <c r="FG164" s="13">
        <f t="shared" si="182"/>
        <v>3.6763598146902537E-12</v>
      </c>
      <c r="FH164" s="20">
        <f t="shared" si="183"/>
        <v>6.88254062580301E-12</v>
      </c>
      <c r="FI164" s="59">
        <f t="shared" si="131"/>
        <v>293.33333333334019</v>
      </c>
      <c r="FJ164" s="59">
        <f ca="1">AVERAGE(OFFSET($FI$3,0,0,'Données projet'!$E$16+1,1))-AVERAGE(OFFSET($H$3,0,0,'Données projet'!$E$16+1,1))</f>
        <v>415.8741608506952</v>
      </c>
      <c r="FK164" s="59">
        <f t="shared" si="156"/>
        <v>259.15848913719356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72.735195644277638</v>
      </c>
      <c r="FR164" s="21">
        <f>EXP(-LN(2)/25)*FR163+(1-EXP(-LN(2)/25))/(LN(2)/25)*Calculateur!FM164*Calculateur!FO164*VLOOKUP('Données projet'!$B$16,Paramètres!$A$1:$I$89,3,0)*0.475*44/12</f>
        <v>11.856851380979576</v>
      </c>
      <c r="FS164" s="21">
        <f>EXP(-LN(2)/2)*FS163+(1-EXP(-LN(2)/2))/(LN(2)/2)*FM164*FP164*VLOOKUP('Données projet'!$B$16,Paramètres!$A$1:$I$89,3,0)*0.475*44/12</f>
        <v>1.7480543102460145E-4</v>
      </c>
      <c r="FT164" s="22">
        <f t="shared" si="184"/>
        <v>84.592221830688246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2.5579538487363607E-13</v>
      </c>
      <c r="GA164" s="17">
        <f>FZ164*VLOOKUP('Données projet'!$B$17,Paramètres!$A$1:$I$89,3,0)*VLOOKUP('Données projet'!$B$17,Paramètres!$A$1:$I$89,5,0)</f>
        <v>2.1947244022157976E-13</v>
      </c>
      <c r="GB164" s="13">
        <f t="shared" si="185"/>
        <v>3.0088145886933343E-12</v>
      </c>
      <c r="GC164" s="20">
        <f t="shared" si="186"/>
        <v>5.6225999086934742E-12</v>
      </c>
      <c r="GD164" s="59">
        <f t="shared" si="134"/>
        <v>293.33333333333894</v>
      </c>
      <c r="GE164" s="59">
        <f ca="1">AVERAGE(OFFSET($GD$3,0,0,'Données projet'!$E$17+1,1))-AVERAGE(OFFSET($H$3,0,0,'Données projet'!$E$17+1,1))</f>
        <v>322.39807389980882</v>
      </c>
      <c r="GF164" s="59">
        <f t="shared" si="158"/>
        <v>202.59410055732792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71.460429829143692</v>
      </c>
      <c r="GM164" s="21">
        <f>EXP(-LN(2)/25)*GM163+(1-EXP(-LN(2)/25))/(LN(2)/25)*Calculateur!GH164*Calculateur!GJ164*VLOOKUP('Données projet'!$B$17,Paramètres!$A$1:$I$89,3,0)*0.475*44/12</f>
        <v>11.649046773021729</v>
      </c>
      <c r="GN164" s="21">
        <f>EXP(-LN(2)/2)*GN163+(1-EXP(-LN(2)/2))/(LN(2)/2)*GH164*GK164*VLOOKUP('Données projet'!$B$17,Paramètres!$A$1:$I$89,3,0)*0.475*44/12</f>
        <v>1.3933766241091435E-4</v>
      </c>
      <c r="GO164" s="21">
        <f t="shared" si="187"/>
        <v>83.109615939827833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59.389199999999796</v>
      </c>
      <c r="D165" s="11">
        <f t="shared" si="140"/>
        <v>17.013747764443782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589.77714063781013</v>
      </c>
      <c r="H165" s="67">
        <f t="shared" si="110"/>
        <v>426.40180068973922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1.5961632016114892E-13</v>
      </c>
      <c r="P165" s="13">
        <f t="shared" si="141"/>
        <v>2.2708641912150958E-12</v>
      </c>
      <c r="Q165" s="20">
        <f t="shared" si="162"/>
        <v>4.2330868906469593E-12</v>
      </c>
      <c r="R165" s="59">
        <f t="shared" si="109"/>
        <v>293.33333333333752</v>
      </c>
      <c r="S165" s="59">
        <f ca="1">AVERAGE(OFFSET($R$3,0,0,'Données projet'!$E$9+1,1))-AVERAGE(OFFSET($H$3,0,0,'Données projet'!$E$9+1,1))</f>
        <v>215.77907571824977</v>
      </c>
      <c r="T165" s="59">
        <f t="shared" si="142"/>
        <v>174.69390149594869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45.936380604580854</v>
      </c>
      <c r="AA165" s="21">
        <f>EXP(-LN(2)/25)*AA164+(1-EXP(-LN(2)/25))/(LN(2)/25)*Calculateur!V165*Calculateur!X165*VLOOKUP('Données projet'!$B$9,Paramètres!$A$1:$I$89,3,0)*0.475*44/12</f>
        <v>9.6351512380640081</v>
      </c>
      <c r="AB165" s="21">
        <f>EXP(-LN(2)/2)*AB164+(1-EXP(-LN(2)/2))/(LN(2)/2)*V165*Y165*VLOOKUP('Données projet'!$B$9,Paramètres!$A$1:$I$89,3,0)*0.475*44/12</f>
        <v>3.3177892746826781E-7</v>
      </c>
      <c r="AC165" s="22">
        <f t="shared" si="163"/>
        <v>55.571532174423787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-1.0197709343628959E-13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171.701352621833</v>
      </c>
      <c r="AO165" s="59">
        <f t="shared" si="144"/>
        <v>195.58435749168586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14.107881754613944</v>
      </c>
      <c r="AV165" s="21">
        <f>EXP(-LN(2)/25)*AV164+(1-EXP(-LN(2)/25))/(LN(2)/25)*Calculateur!AQ165*Calculateur!AS165*VLOOKUP('Données projet'!$B$10,Paramètres!$A$1:$I$89,3,0)*0.475*44/12</f>
        <v>2.3362211376721826</v>
      </c>
      <c r="AW165" s="21">
        <f>EXP(-LN(2)/2)*AW164+(1-EXP(-LN(2)/2))/(LN(2)/2)*AQ165*AT165*VLOOKUP('Données projet'!$B$10,Paramètres!$A$1:$I$89,3,0)*0.475*44/12</f>
        <v>3.9718385237116449E-14</v>
      </c>
      <c r="AX165" s="21">
        <f t="shared" si="166"/>
        <v>16.444102892286164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-1.1823431123048067E-13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348.29124901999882</v>
      </c>
      <c r="BJ165" s="59">
        <f t="shared" si="146"/>
        <v>284.30034973939053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42.839466132389362</v>
      </c>
      <c r="BQ165" s="21">
        <f>EXP(-LN(2)/25)*BQ164+(1-EXP(-LN(2)/25))/(LN(2)/25)*Calculateur!BL165*Calculateur!BN165*VLOOKUP('Données projet'!$B$11,Paramètres!$A$1:$I$89,3,0)*0.475*44/12</f>
        <v>8.0076852955426858</v>
      </c>
      <c r="BR165" s="21">
        <f>EXP(-LN(2)/2)*BR164+(1-EXP(-LN(2)/2))/(LN(2)/2)*BL165*BO165*VLOOKUP('Données projet'!$B$11,Paramètres!$A$1:$I$89,3,0)*0.475*44/12</f>
        <v>3.836567394451771E-11</v>
      </c>
      <c r="BS165" s="22">
        <f t="shared" si="169"/>
        <v>50.84715142797041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-1.3596945791505279E-13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185.82627135915504</v>
      </c>
      <c r="CE165" s="59">
        <f t="shared" si="148"/>
        <v>155.46126452522037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33.727987505550331</v>
      </c>
      <c r="CL165" s="21">
        <f>EXP(-LN(2)/25)*CL164+(1-EXP(-LN(2)/25))/(LN(2)/25)*Calculateur!CG165*Calculateur!CI165*VLOOKUP('Données projet'!$B$12,Paramètres!$A$1:$I$89,3,0)*0.475*44/12</f>
        <v>7.1464740935878295</v>
      </c>
      <c r="CM165" s="21">
        <f>EXP(-LN(2)/2)*CM164+(1-EXP(-LN(2)/2))/(LN(2)/2)*CG165*CJ165*VLOOKUP('Données projet'!$B$12,Paramètres!$A$1:$I$89,3,0)*0.475*44/12</f>
        <v>5.0460351688048053E-7</v>
      </c>
      <c r="CN165" s="22">
        <f t="shared" si="172"/>
        <v>40.874462103741678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-1.2789769243681803E-13</v>
      </c>
      <c r="CU165" s="17">
        <f>CT165*VLOOKUP('Données projet'!$B$13,Paramètres!$A$1:$I$89,3,0)*VLOOKUP('Données projet'!$B$13,Paramètres!$A$1:$I$89,5,0)</f>
        <v>-1.4733814168721438E-13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150.78964413039063</v>
      </c>
      <c r="CZ165" s="59">
        <f t="shared" si="150"/>
        <v>131.90332435966184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18.618965846576547</v>
      </c>
      <c r="DG165" s="21">
        <f>EXP(-LN(2)/25)*DG164+(1-EXP(-LN(2)/25))/(LN(2)/25)*Calculateur!DB165*Calculateur!DD165*VLOOKUP('Données projet'!$B$13,Paramètres!$A$1:$I$89,3,0)*0.475*44/12</f>
        <v>7.8528359394437066</v>
      </c>
      <c r="DH165" s="21">
        <f>EXP(-LN(2)/2)*DH164+(1-EXP(-LN(2)/2))/(LN(2)/2)*DB165*DE165*VLOOKUP('Données projet'!$B$13,Paramètres!$A$1:$I$89,3,0)*0.475*44/12</f>
        <v>0.25523013730769206</v>
      </c>
      <c r="DI165" s="22">
        <f t="shared" si="175"/>
        <v>26.727031923327946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-1.4210854715202004E-14</v>
      </c>
      <c r="DP165" s="17">
        <f>DO165*VLOOKUP('Données projet'!$B$14,Paramètres!$A$1:$I$89,3,0)*VLOOKUP('Données projet'!$B$14,Paramètres!$A$1:$I$89,5,0)</f>
        <v>-1.4853185348329136E-14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110.10595934547638</v>
      </c>
      <c r="DU165" s="59">
        <f t="shared" si="152"/>
        <v>131.10971921141493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6.6463385601204932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6.6463385601204932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7.6783333333333319</v>
      </c>
      <c r="EJ165" s="12">
        <f>IF('Données projet'!$A$192&gt;35,EJ164+EI165-ER164,IF(A165&lt;'Données projet'!$A$192,$EG$205^A165,IF(A165='Données projet'!$A$192,'Données projet'!$B$192,EJ164+EI165-ER164)))</f>
        <v>389.57999999999964</v>
      </c>
      <c r="EK165" s="17">
        <f>EJ165*VLOOKUP('Données projet'!$B$15,Paramètres!$A$1:$I$89,3,0)*VLOOKUP('Données projet'!$B$15,Paramètres!$A$1:$I$89,5,0)</f>
        <v>395.03411999999969</v>
      </c>
      <c r="EL165" s="13">
        <f t="shared" si="179"/>
        <v>90.76917846043375</v>
      </c>
      <c r="EM165" s="20">
        <f t="shared" si="180"/>
        <v>846.10741148525494</v>
      </c>
      <c r="EN165" s="59">
        <f t="shared" si="128"/>
        <v>1139.4407448185882</v>
      </c>
      <c r="EO165" s="59">
        <f ca="1">AVERAGE(OFFSET($EN$3,0,0,'Données projet'!$E$15+1,1))-AVERAGE(OFFSET($H$3,0,0,'Données projet'!$E$15+1,1))</f>
        <v>420.38735944595965</v>
      </c>
      <c r="EP165" s="59">
        <f t="shared" si="154"/>
        <v>200.0823542414671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37.357836462738838</v>
      </c>
      <c r="EW165" s="21">
        <f>EXP(-LN(2)/25)*EW164+(1-EXP(-LN(2)/25))/(LN(2)/25)*Calculateur!ER165*Calculateur!ET165*VLOOKUP('Données projet'!$B$15,Paramètres!$A$1:$I$89,3,0)*0.475*44/12</f>
        <v>19.357919026294898</v>
      </c>
      <c r="EX165" s="21">
        <f>EXP(-LN(2)/2)*EX164+(1-EXP(-LN(2)/2))/(LN(2)/2)*ER165*EU165*VLOOKUP('Données projet'!$B$15,Paramètres!$A$1:$I$89,3,0)*0.475*44/12</f>
        <v>1.1535820442680004E-2</v>
      </c>
      <c r="EY165" s="22">
        <f t="shared" si="181"/>
        <v>56.727291309476421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2.5579538487363607E-13</v>
      </c>
      <c r="FF165" s="17">
        <f>FE165*VLOOKUP('Données projet'!$B$16,Paramètres!$A$1:$I$89,3,0)*VLOOKUP('Données projet'!$B$16,Paramètres!$A$1:$I$89,5,0)</f>
        <v>2.7533815227798186E-13</v>
      </c>
      <c r="FG165" s="13">
        <f t="shared" si="182"/>
        <v>3.6763598146902537E-12</v>
      </c>
      <c r="FH165" s="20">
        <f t="shared" si="183"/>
        <v>6.88254062580301E-12</v>
      </c>
      <c r="FI165" s="59">
        <f t="shared" si="131"/>
        <v>293.33333333334019</v>
      </c>
      <c r="FJ165" s="59">
        <f ca="1">AVERAGE(OFFSET($FI$3,0,0,'Données projet'!$E$16+1,1))-AVERAGE(OFFSET($H$3,0,0,'Données projet'!$E$16+1,1))</f>
        <v>415.8741608506952</v>
      </c>
      <c r="FK165" s="59">
        <f t="shared" si="156"/>
        <v>259.15848913719356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71.308902821782112</v>
      </c>
      <c r="FR165" s="21">
        <f>EXP(-LN(2)/25)*FR164+(1-EXP(-LN(2)/25))/(LN(2)/25)*Calculateur!FM165*Calculateur!FO165*VLOOKUP('Données projet'!$B$16,Paramètres!$A$1:$I$89,3,0)*0.475*44/12</f>
        <v>11.532625156441974</v>
      </c>
      <c r="FS165" s="21">
        <f>EXP(-LN(2)/2)*FS164+(1-EXP(-LN(2)/2))/(LN(2)/2)*FM165*FP165*VLOOKUP('Données projet'!$B$16,Paramètres!$A$1:$I$89,3,0)*0.475*44/12</f>
        <v>1.2360610566573298E-4</v>
      </c>
      <c r="FT165" s="22">
        <f t="shared" si="184"/>
        <v>82.841651584329753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2.5579538487363607E-13</v>
      </c>
      <c r="GA165" s="17">
        <f>FZ165*VLOOKUP('Données projet'!$B$17,Paramètres!$A$1:$I$89,3,0)*VLOOKUP('Données projet'!$B$17,Paramètres!$A$1:$I$89,5,0)</f>
        <v>2.1947244022157976E-13</v>
      </c>
      <c r="GB165" s="13">
        <f t="shared" si="185"/>
        <v>3.0088145886933343E-12</v>
      </c>
      <c r="GC165" s="20">
        <f t="shared" si="186"/>
        <v>5.6225999086934742E-12</v>
      </c>
      <c r="GD165" s="59">
        <f t="shared" si="134"/>
        <v>293.33333333333894</v>
      </c>
      <c r="GE165" s="59">
        <f ca="1">AVERAGE(OFFSET($GD$3,0,0,'Données projet'!$E$17+1,1))-AVERAGE(OFFSET($H$3,0,0,'Données projet'!$E$17+1,1))</f>
        <v>322.39807389980882</v>
      </c>
      <c r="GF165" s="59">
        <f t="shared" si="158"/>
        <v>202.59410055732792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70.059134386752561</v>
      </c>
      <c r="GM165" s="21">
        <f>EXP(-LN(2)/25)*GM164+(1-EXP(-LN(2)/25))/(LN(2)/25)*Calculateur!GH165*Calculateur!GJ165*VLOOKUP('Données projet'!$B$17,Paramètres!$A$1:$I$89,3,0)*0.475*44/12</f>
        <v>11.330502976416703</v>
      </c>
      <c r="GN165" s="21">
        <f>EXP(-LN(2)/2)*GN164+(1-EXP(-LN(2)/2))/(LN(2)/2)*GH165*GK165*VLOOKUP('Données projet'!$B$17,Paramètres!$A$1:$I$89,3,0)*0.475*44/12</f>
        <v>9.8526605965439446E-5</v>
      </c>
      <c r="GO165" s="21">
        <f t="shared" si="187"/>
        <v>81.389735889775238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59.755799999999795</v>
      </c>
      <c r="D166" s="11">
        <f t="shared" si="140"/>
        <v>17.106512943588488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593.32311745927802</v>
      </c>
      <c r="H166" s="67">
        <f t="shared" si="110"/>
        <v>427.20186171008288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1.5961632016114892E-13</v>
      </c>
      <c r="P166" s="13">
        <f t="shared" si="141"/>
        <v>2.2708641912150958E-12</v>
      </c>
      <c r="Q166" s="20">
        <f t="shared" si="162"/>
        <v>4.2330868906469593E-12</v>
      </c>
      <c r="R166" s="59">
        <f t="shared" si="109"/>
        <v>293.33333333333752</v>
      </c>
      <c r="S166" s="59">
        <f ca="1">AVERAGE(OFFSET($R$3,0,0,'Données projet'!$E$9+1,1))-AVERAGE(OFFSET($H$3,0,0,'Données projet'!$E$9+1,1))</f>
        <v>215.77907571824977</v>
      </c>
      <c r="T166" s="59">
        <f t="shared" si="142"/>
        <v>174.69390149594869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45.0355961993506</v>
      </c>
      <c r="AA166" s="21">
        <f>EXP(-LN(2)/25)*AA165+(1-EXP(-LN(2)/25))/(LN(2)/25)*Calculateur!V166*Calculateur!X166*VLOOKUP('Données projet'!$B$9,Paramètres!$A$1:$I$89,3,0)*0.475*44/12</f>
        <v>9.3716775207685661</v>
      </c>
      <c r="AB166" s="21">
        <f>EXP(-LN(2)/2)*AB165+(1-EXP(-LN(2)/2))/(LN(2)/2)*V166*Y166*VLOOKUP('Données projet'!$B$9,Paramètres!$A$1:$I$89,3,0)*0.475*44/12</f>
        <v>2.3460312946761189E-7</v>
      </c>
      <c r="AC166" s="22">
        <f t="shared" si="163"/>
        <v>54.407273954722292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-1.0197709343628959E-13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171.701352621833</v>
      </c>
      <c r="AO166" s="59">
        <f t="shared" si="144"/>
        <v>195.58435749168586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13.831234798364166</v>
      </c>
      <c r="AV166" s="21">
        <f>EXP(-LN(2)/25)*AV165+(1-EXP(-LN(2)/25))/(LN(2)/25)*Calculateur!AQ166*Calculateur!AS166*VLOOKUP('Données projet'!$B$10,Paramètres!$A$1:$I$89,3,0)*0.475*44/12</f>
        <v>2.2723370478060065</v>
      </c>
      <c r="AW166" s="21">
        <f>EXP(-LN(2)/2)*AW165+(1-EXP(-LN(2)/2))/(LN(2)/2)*AQ166*AT166*VLOOKUP('Données projet'!$B$10,Paramètres!$A$1:$I$89,3,0)*0.475*44/12</f>
        <v>2.8085139538944701E-14</v>
      </c>
      <c r="AX166" s="21">
        <f t="shared" si="166"/>
        <v>16.103571846170201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-1.1823431123048067E-13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348.29124901999882</v>
      </c>
      <c r="BJ166" s="59">
        <f t="shared" si="146"/>
        <v>284.30034973939053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41.999410331027477</v>
      </c>
      <c r="BQ166" s="21">
        <f>EXP(-LN(2)/25)*BQ165+(1-EXP(-LN(2)/25))/(LN(2)/25)*Calculateur!BL166*Calculateur!BN166*VLOOKUP('Données projet'!$B$11,Paramètres!$A$1:$I$89,3,0)*0.475*44/12</f>
        <v>7.7887147200302032</v>
      </c>
      <c r="BR166" s="21">
        <f>EXP(-LN(2)/2)*BR165+(1-EXP(-LN(2)/2))/(LN(2)/2)*BL166*BO166*VLOOKUP('Données projet'!$B$11,Paramètres!$A$1:$I$89,3,0)*0.475*44/12</f>
        <v>2.7128628210960512E-11</v>
      </c>
      <c r="BS166" s="22">
        <f t="shared" si="169"/>
        <v>49.788125051084805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-1.3596945791505279E-13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185.82627135915504</v>
      </c>
      <c r="CE166" s="59">
        <f t="shared" si="148"/>
        <v>155.46126452522037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33.066602242607544</v>
      </c>
      <c r="CL166" s="21">
        <f>EXP(-LN(2)/25)*CL165+(1-EXP(-LN(2)/25))/(LN(2)/25)*Calculateur!CG166*Calculateur!CI166*VLOOKUP('Données projet'!$B$12,Paramètres!$A$1:$I$89,3,0)*0.475*44/12</f>
        <v>6.9510533836819315</v>
      </c>
      <c r="CM166" s="21">
        <f>EXP(-LN(2)/2)*CM165+(1-EXP(-LN(2)/2))/(LN(2)/2)*CG166*CJ166*VLOOKUP('Données projet'!$B$12,Paramètres!$A$1:$I$89,3,0)*0.475*44/12</f>
        <v>3.568085685967683E-7</v>
      </c>
      <c r="CN166" s="22">
        <f t="shared" si="172"/>
        <v>40.017655983098045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-1.2789769243681803E-13</v>
      </c>
      <c r="CU166" s="17">
        <f>CT166*VLOOKUP('Données projet'!$B$13,Paramètres!$A$1:$I$89,3,0)*VLOOKUP('Données projet'!$B$13,Paramètres!$A$1:$I$89,5,0)</f>
        <v>-1.4733814168721438E-13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150.78964413039063</v>
      </c>
      <c r="CZ166" s="59">
        <f t="shared" si="150"/>
        <v>131.90332435966184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18.253859282772993</v>
      </c>
      <c r="DG166" s="21">
        <f>EXP(-LN(2)/25)*DG165+(1-EXP(-LN(2)/25))/(LN(2)/25)*Calculateur!DB166*Calculateur!DD166*VLOOKUP('Données projet'!$B$13,Paramètres!$A$1:$I$89,3,0)*0.475*44/12</f>
        <v>7.6380997277169245</v>
      </c>
      <c r="DH166" s="21">
        <f>EXP(-LN(2)/2)*DH165+(1-EXP(-LN(2)/2))/(LN(2)/2)*DB166*DE166*VLOOKUP('Données projet'!$B$13,Paramètres!$A$1:$I$89,3,0)*0.475*44/12</f>
        <v>0.1804749608534427</v>
      </c>
      <c r="DI166" s="22">
        <f t="shared" si="175"/>
        <v>26.072433971343358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-1.4210854715202004E-14</v>
      </c>
      <c r="DP166" s="17">
        <f>DO166*VLOOKUP('Données projet'!$B$14,Paramètres!$A$1:$I$89,3,0)*VLOOKUP('Données projet'!$B$14,Paramètres!$A$1:$I$89,5,0)</f>
        <v>-1.4853185348329136E-14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110.10595934547638</v>
      </c>
      <c r="DU166" s="59">
        <f t="shared" si="152"/>
        <v>131.10971921141493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6.4645940826782438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6.4645940826782438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7.6783333333333319</v>
      </c>
      <c r="EJ166" s="12">
        <f>IF('Données projet'!$A$192&gt;35,EJ165+EI166-ER165,IF(A166&lt;'Données projet'!$A$192,$EG$205^A166,IF(A166='Données projet'!$A$192,'Données projet'!$B$192,EJ165+EI166-ER165)))</f>
        <v>397.25833333333298</v>
      </c>
      <c r="EK166" s="17">
        <f>EJ166*VLOOKUP('Données projet'!$B$15,Paramètres!$A$1:$I$89,3,0)*VLOOKUP('Données projet'!$B$15,Paramètres!$A$1:$I$89,5,0)</f>
        <v>402.81994999999966</v>
      </c>
      <c r="EL166" s="13">
        <f t="shared" si="179"/>
        <v>92.348132849699439</v>
      </c>
      <c r="EM166" s="20">
        <f t="shared" si="180"/>
        <v>862.41774429655925</v>
      </c>
      <c r="EN166" s="59">
        <f t="shared" si="128"/>
        <v>1155.7510776298925</v>
      </c>
      <c r="EO166" s="59">
        <f ca="1">AVERAGE(OFFSET($EN$3,0,0,'Données projet'!$E$15+1,1))-AVERAGE(OFFSET($H$3,0,0,'Données projet'!$E$15+1,1))</f>
        <v>420.38735944595965</v>
      </c>
      <c r="EP166" s="59">
        <f t="shared" si="154"/>
        <v>200.0823542414671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36.625272075734841</v>
      </c>
      <c r="EW166" s="21">
        <f>EXP(-LN(2)/25)*EW165+(1-EXP(-LN(2)/25))/(LN(2)/25)*Calculateur!ER166*Calculateur!ET166*VLOOKUP('Données projet'!$B$15,Paramètres!$A$1:$I$89,3,0)*0.475*44/12</f>
        <v>18.828575712532146</v>
      </c>
      <c r="EX166" s="21">
        <f>EXP(-LN(2)/2)*EX165+(1-EXP(-LN(2)/2))/(LN(2)/2)*ER166*EU166*VLOOKUP('Données projet'!$B$15,Paramètres!$A$1:$I$89,3,0)*0.475*44/12</f>
        <v>8.1570568615694315E-3</v>
      </c>
      <c r="EY166" s="22">
        <f t="shared" si="181"/>
        <v>55.462004845128554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2.5579538487363607E-13</v>
      </c>
      <c r="FF166" s="17">
        <f>FE166*VLOOKUP('Données projet'!$B$16,Paramètres!$A$1:$I$89,3,0)*VLOOKUP('Données projet'!$B$16,Paramètres!$A$1:$I$89,5,0)</f>
        <v>2.7533815227798186E-13</v>
      </c>
      <c r="FG166" s="13">
        <f t="shared" si="182"/>
        <v>3.6763598146902537E-12</v>
      </c>
      <c r="FH166" s="20">
        <f t="shared" si="183"/>
        <v>6.88254062580301E-12</v>
      </c>
      <c r="FI166" s="59">
        <f t="shared" si="131"/>
        <v>293.33333333334019</v>
      </c>
      <c r="FJ166" s="59">
        <f ca="1">AVERAGE(OFFSET($FI$3,0,0,'Données projet'!$E$16+1,1))-AVERAGE(OFFSET($H$3,0,0,'Données projet'!$E$16+1,1))</f>
        <v>415.8741608506952</v>
      </c>
      <c r="FK166" s="59">
        <f t="shared" si="156"/>
        <v>259.15848913719356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69.910578731583001</v>
      </c>
      <c r="FR166" s="21">
        <f>EXP(-LN(2)/25)*FR165+(1-EXP(-LN(2)/25))/(LN(2)/25)*Calculateur!FM166*Calculateur!FO166*VLOOKUP('Données projet'!$B$16,Paramètres!$A$1:$I$89,3,0)*0.475*44/12</f>
        <v>11.217264915064669</v>
      </c>
      <c r="FS166" s="21">
        <f>EXP(-LN(2)/2)*FS165+(1-EXP(-LN(2)/2))/(LN(2)/2)*FM166*FP166*VLOOKUP('Données projet'!$B$16,Paramètres!$A$1:$I$89,3,0)*0.475*44/12</f>
        <v>8.7402715512300723E-5</v>
      </c>
      <c r="FT166" s="22">
        <f t="shared" si="184"/>
        <v>81.127931049363184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2.5579538487363607E-13</v>
      </c>
      <c r="GA166" s="17">
        <f>FZ166*VLOOKUP('Données projet'!$B$17,Paramètres!$A$1:$I$89,3,0)*VLOOKUP('Données projet'!$B$17,Paramètres!$A$1:$I$89,5,0)</f>
        <v>2.1947244022157976E-13</v>
      </c>
      <c r="GB166" s="13">
        <f t="shared" si="185"/>
        <v>3.0088145886933343E-12</v>
      </c>
      <c r="GC166" s="20">
        <f t="shared" si="186"/>
        <v>5.6225999086934742E-12</v>
      </c>
      <c r="GD166" s="59">
        <f t="shared" si="134"/>
        <v>293.33333333333894</v>
      </c>
      <c r="GE166" s="59">
        <f ca="1">AVERAGE(OFFSET($GD$3,0,0,'Données projet'!$E$17+1,1))-AVERAGE(OFFSET($H$3,0,0,'Données projet'!$E$17+1,1))</f>
        <v>322.39807389980882</v>
      </c>
      <c r="GF166" s="59">
        <f t="shared" si="158"/>
        <v>202.59410055732792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68.685317493280905</v>
      </c>
      <c r="GM166" s="21">
        <f>EXP(-LN(2)/25)*GM165+(1-EXP(-LN(2)/25))/(LN(2)/25)*Calculateur!GH166*Calculateur!GJ166*VLOOKUP('Données projet'!$B$17,Paramètres!$A$1:$I$89,3,0)*0.475*44/12</f>
        <v>11.020669776681332</v>
      </c>
      <c r="GN166" s="21">
        <f>EXP(-LN(2)/2)*GN165+(1-EXP(-LN(2)/2))/(LN(2)/2)*GH166*GK166*VLOOKUP('Données projet'!$B$17,Paramètres!$A$1:$I$89,3,0)*0.475*44/12</f>
        <v>6.9668831205457177E-5</v>
      </c>
      <c r="GO166" s="21">
        <f t="shared" si="187"/>
        <v>79.706056938793438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60.122399999999793</v>
      </c>
      <c r="D167" s="11">
        <f t="shared" si="140"/>
        <v>17.199211901359199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596.8685830982098</v>
      </c>
      <c r="H167" s="67">
        <f t="shared" si="110"/>
        <v>428.00180739486689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1.5961632016114892E-13</v>
      </c>
      <c r="P167" s="13">
        <f t="shared" si="141"/>
        <v>2.2708641912150958E-12</v>
      </c>
      <c r="Q167" s="20">
        <f t="shared" si="162"/>
        <v>4.2330868906469593E-12</v>
      </c>
      <c r="R167" s="59">
        <f t="shared" si="109"/>
        <v>293.33333333333752</v>
      </c>
      <c r="S167" s="59">
        <f ca="1">AVERAGE(OFFSET($R$3,0,0,'Données projet'!$E$9+1,1))-AVERAGE(OFFSET($H$3,0,0,'Données projet'!$E$9+1,1))</f>
        <v>215.77907571824977</v>
      </c>
      <c r="T167" s="59">
        <f t="shared" si="142"/>
        <v>174.69390149594869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44.152475626882676</v>
      </c>
      <c r="AA167" s="21">
        <f>EXP(-LN(2)/25)*AA166+(1-EXP(-LN(2)/25))/(LN(2)/25)*Calculateur!V167*Calculateur!X167*VLOOKUP('Données projet'!$B$9,Paramètres!$A$1:$I$89,3,0)*0.475*44/12</f>
        <v>9.1154085061280483</v>
      </c>
      <c r="AB167" s="21">
        <f>EXP(-LN(2)/2)*AB166+(1-EXP(-LN(2)/2))/(LN(2)/2)*V167*Y167*VLOOKUP('Données projet'!$B$9,Paramètres!$A$1:$I$89,3,0)*0.475*44/12</f>
        <v>1.6588946373413393E-7</v>
      </c>
      <c r="AC167" s="22">
        <f t="shared" si="163"/>
        <v>53.267884298900185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-1.0197709343628959E-13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171.701352621833</v>
      </c>
      <c r="AO167" s="59">
        <f t="shared" si="144"/>
        <v>195.58435749168586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13.560012720188464</v>
      </c>
      <c r="AV167" s="21">
        <f>EXP(-LN(2)/25)*AV166+(1-EXP(-LN(2)/25))/(LN(2)/25)*Calculateur!AQ167*Calculateur!AS167*VLOOKUP('Données projet'!$B$10,Paramètres!$A$1:$I$89,3,0)*0.475*44/12</f>
        <v>2.2101998717367395</v>
      </c>
      <c r="AW167" s="21">
        <f>EXP(-LN(2)/2)*AW166+(1-EXP(-LN(2)/2))/(LN(2)/2)*AQ167*AT167*VLOOKUP('Données projet'!$B$10,Paramètres!$A$1:$I$89,3,0)*0.475*44/12</f>
        <v>1.9859192618558228E-14</v>
      </c>
      <c r="AX167" s="21">
        <f t="shared" si="166"/>
        <v>15.770212591925223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-1.1823431123048067E-13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348.29124901999882</v>
      </c>
      <c r="BJ167" s="59">
        <f t="shared" si="146"/>
        <v>284.30034973939053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41.175827511546849</v>
      </c>
      <c r="BQ167" s="21">
        <f>EXP(-LN(2)/25)*BQ166+(1-EXP(-LN(2)/25))/(LN(2)/25)*Calculateur!BL167*Calculateur!BN167*VLOOKUP('Données projet'!$B$11,Paramètres!$A$1:$I$89,3,0)*0.475*44/12</f>
        <v>7.5757319064202715</v>
      </c>
      <c r="BR167" s="21">
        <f>EXP(-LN(2)/2)*BR166+(1-EXP(-LN(2)/2))/(LN(2)/2)*BL167*BO167*VLOOKUP('Données projet'!$B$11,Paramètres!$A$1:$I$89,3,0)*0.475*44/12</f>
        <v>1.9182836972258855E-11</v>
      </c>
      <c r="BS167" s="22">
        <f t="shared" si="169"/>
        <v>48.751559417986307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-1.3596945791505279E-13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185.82627135915504</v>
      </c>
      <c r="CE167" s="59">
        <f t="shared" si="148"/>
        <v>155.46126452522037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32.418186341265894</v>
      </c>
      <c r="CL167" s="21">
        <f>EXP(-LN(2)/25)*CL166+(1-EXP(-LN(2)/25))/(LN(2)/25)*Calculateur!CG167*Calculateur!CI167*VLOOKUP('Données projet'!$B$12,Paramètres!$A$1:$I$89,3,0)*0.475*44/12</f>
        <v>6.7609764633651386</v>
      </c>
      <c r="CM167" s="21">
        <f>EXP(-LN(2)/2)*CM166+(1-EXP(-LN(2)/2))/(LN(2)/2)*CG167*CJ167*VLOOKUP('Données projet'!$B$12,Paramètres!$A$1:$I$89,3,0)*0.475*44/12</f>
        <v>2.5230175844024027E-7</v>
      </c>
      <c r="CN167" s="22">
        <f t="shared" si="172"/>
        <v>39.179163056932794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-1.2789769243681803E-13</v>
      </c>
      <c r="CU167" s="17">
        <f>CT167*VLOOKUP('Données projet'!$B$13,Paramètres!$A$1:$I$89,3,0)*VLOOKUP('Données projet'!$B$13,Paramètres!$A$1:$I$89,5,0)</f>
        <v>-1.4733814168721438E-13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150.78964413039063</v>
      </c>
      <c r="CZ167" s="59">
        <f t="shared" si="150"/>
        <v>131.90332435966184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17.895912235992611</v>
      </c>
      <c r="DG167" s="21">
        <f>EXP(-LN(2)/25)*DG166+(1-EXP(-LN(2)/25))/(LN(2)/25)*Calculateur!DB167*Calculateur!DD167*VLOOKUP('Données projet'!$B$13,Paramètres!$A$1:$I$89,3,0)*0.475*44/12</f>
        <v>7.4292354889922976</v>
      </c>
      <c r="DH167" s="21">
        <f>EXP(-LN(2)/2)*DH166+(1-EXP(-LN(2)/2))/(LN(2)/2)*DB167*DE167*VLOOKUP('Données projet'!$B$13,Paramètres!$A$1:$I$89,3,0)*0.475*44/12</f>
        <v>0.12761506865384603</v>
      </c>
      <c r="DI167" s="22">
        <f t="shared" si="175"/>
        <v>25.452762793638755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-1.4210854715202004E-14</v>
      </c>
      <c r="DP167" s="17">
        <f>DO167*VLOOKUP('Données projet'!$B$14,Paramètres!$A$1:$I$89,3,0)*VLOOKUP('Données projet'!$B$14,Paramètres!$A$1:$I$89,5,0)</f>
        <v>-1.4853185348329136E-14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110.10595934547638</v>
      </c>
      <c r="DU167" s="59">
        <f t="shared" si="152"/>
        <v>131.10971921141493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6.2878194175291791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6.2878194175291791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7.6783333333333319</v>
      </c>
      <c r="EJ167" s="12">
        <f>IF('Données projet'!$A$192&gt;35,EJ166+EI167-ER166,IF(A167&lt;'Données projet'!$A$192,$EG$205^A167,IF(A167='Données projet'!$A$192,'Données projet'!$B$192,EJ166+EI167-ER166)))</f>
        <v>404.93666666666633</v>
      </c>
      <c r="EK167" s="17">
        <f>EJ167*VLOOKUP('Données projet'!$B$15,Paramètres!$A$1:$I$89,3,0)*VLOOKUP('Données projet'!$B$15,Paramètres!$A$1:$I$89,5,0)</f>
        <v>410.6057799999997</v>
      </c>
      <c r="EL167" s="13">
        <f t="shared" si="179"/>
        <v>93.923538642241823</v>
      </c>
      <c r="EM167" s="20">
        <f t="shared" si="180"/>
        <v>878.72189663523716</v>
      </c>
      <c r="EN167" s="59">
        <f t="shared" si="128"/>
        <v>1172.0552299685705</v>
      </c>
      <c r="EO167" s="59">
        <f ca="1">AVERAGE(OFFSET($EN$3,0,0,'Données projet'!$E$15+1,1))-AVERAGE(OFFSET($H$3,0,0,'Données projet'!$E$15+1,1))</f>
        <v>420.38735944595965</v>
      </c>
      <c r="EP167" s="59">
        <f t="shared" si="154"/>
        <v>200.0823542414671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35.907072829539835</v>
      </c>
      <c r="EW167" s="21">
        <f>EXP(-LN(2)/25)*EW166+(1-EXP(-LN(2)/25))/(LN(2)/25)*Calculateur!ER167*Calculateur!ET167*VLOOKUP('Données projet'!$B$15,Paramètres!$A$1:$I$89,3,0)*0.475*44/12</f>
        <v>18.313707319521193</v>
      </c>
      <c r="EX167" s="21">
        <f>EXP(-LN(2)/2)*EX166+(1-EXP(-LN(2)/2))/(LN(2)/2)*ER167*EU167*VLOOKUP('Données projet'!$B$15,Paramètres!$A$1:$I$89,3,0)*0.475*44/12</f>
        <v>5.7679102213400021E-3</v>
      </c>
      <c r="EY167" s="22">
        <f t="shared" si="181"/>
        <v>54.226548059282365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2.5579538487363607E-13</v>
      </c>
      <c r="FF167" s="17">
        <f>FE167*VLOOKUP('Données projet'!$B$16,Paramètres!$A$1:$I$89,3,0)*VLOOKUP('Données projet'!$B$16,Paramètres!$A$1:$I$89,5,0)</f>
        <v>2.7533815227798186E-13</v>
      </c>
      <c r="FG167" s="13">
        <f t="shared" si="182"/>
        <v>3.6763598146902537E-12</v>
      </c>
      <c r="FH167" s="20">
        <f t="shared" si="183"/>
        <v>6.88254062580301E-12</v>
      </c>
      <c r="FI167" s="59">
        <f t="shared" si="131"/>
        <v>293.33333333334019</v>
      </c>
      <c r="FJ167" s="59">
        <f ca="1">AVERAGE(OFFSET($FI$3,0,0,'Données projet'!$E$16+1,1))-AVERAGE(OFFSET($H$3,0,0,'Données projet'!$E$16+1,1))</f>
        <v>415.8741608506952</v>
      </c>
      <c r="FK167" s="59">
        <f t="shared" si="156"/>
        <v>259.15848913719356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68.539674923899213</v>
      </c>
      <c r="FR167" s="21">
        <f>EXP(-LN(2)/25)*FR166+(1-EXP(-LN(2)/25))/(LN(2)/25)*Calculateur!FM167*Calculateur!FO167*VLOOKUP('Données projet'!$B$16,Paramètres!$A$1:$I$89,3,0)*0.475*44/12</f>
        <v>10.910528216071901</v>
      </c>
      <c r="FS167" s="21">
        <f>EXP(-LN(2)/2)*FS166+(1-EXP(-LN(2)/2))/(LN(2)/2)*FM167*FP167*VLOOKUP('Données projet'!$B$16,Paramètres!$A$1:$I$89,3,0)*0.475*44/12</f>
        <v>6.1803052832866491E-5</v>
      </c>
      <c r="FT167" s="22">
        <f t="shared" si="184"/>
        <v>79.450264943023939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2.5579538487363607E-13</v>
      </c>
      <c r="GA167" s="17">
        <f>FZ167*VLOOKUP('Données projet'!$B$17,Paramètres!$A$1:$I$89,3,0)*VLOOKUP('Données projet'!$B$17,Paramètres!$A$1:$I$89,5,0)</f>
        <v>2.1947244022157976E-13</v>
      </c>
      <c r="GB167" s="13">
        <f t="shared" si="185"/>
        <v>3.0088145886933343E-12</v>
      </c>
      <c r="GC167" s="20">
        <f t="shared" si="186"/>
        <v>5.6225999086934742E-12</v>
      </c>
      <c r="GD167" s="59">
        <f t="shared" si="134"/>
        <v>293.33333333333894</v>
      </c>
      <c r="GE167" s="59">
        <f ca="1">AVERAGE(OFFSET($GD$3,0,0,'Données projet'!$E$17+1,1))-AVERAGE(OFFSET($H$3,0,0,'Données projet'!$E$17+1,1))</f>
        <v>322.39807389980882</v>
      </c>
      <c r="GF167" s="59">
        <f t="shared" si="158"/>
        <v>202.59410055732792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67.338440311144652</v>
      </c>
      <c r="GM167" s="21">
        <f>EXP(-LN(2)/25)*GM166+(1-EXP(-LN(2)/25))/(LN(2)/25)*Calculateur!GH167*Calculateur!GJ167*VLOOKUP('Données projet'!$B$17,Paramètres!$A$1:$I$89,3,0)*0.475*44/12</f>
        <v>10.719308982086146</v>
      </c>
      <c r="GN167" s="21">
        <f>EXP(-LN(2)/2)*GN166+(1-EXP(-LN(2)/2))/(LN(2)/2)*GH167*GK167*VLOOKUP('Données projet'!$B$17,Paramètres!$A$1:$I$89,3,0)*0.475*44/12</f>
        <v>4.9263302982719723E-5</v>
      </c>
      <c r="GO167" s="21">
        <f t="shared" si="187"/>
        <v>78.057798556533783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60.488999999999791</v>
      </c>
      <c r="D168" s="11">
        <f t="shared" si="140"/>
        <v>17.291845088391462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600.41354103319566</v>
      </c>
      <c r="H168" s="67">
        <f t="shared" si="110"/>
        <v>428.80163852894805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1.5961632016114892E-13</v>
      </c>
      <c r="P168" s="13">
        <f t="shared" si="141"/>
        <v>2.2708641912150958E-12</v>
      </c>
      <c r="Q168" s="20">
        <f t="shared" si="162"/>
        <v>4.2330868906469593E-12</v>
      </c>
      <c r="R168" s="59">
        <f t="shared" si="109"/>
        <v>293.33333333333752</v>
      </c>
      <c r="S168" s="59">
        <f ca="1">AVERAGE(OFFSET($R$3,0,0,'Données projet'!$E$9+1,1))-AVERAGE(OFFSET($H$3,0,0,'Données projet'!$E$9+1,1))</f>
        <v>215.77907571824977</v>
      </c>
      <c r="T168" s="59">
        <f t="shared" si="142"/>
        <v>174.69390149594869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43.286672510190485</v>
      </c>
      <c r="AA168" s="21">
        <f>EXP(-LN(2)/25)*AA167+(1-EXP(-LN(2)/25))/(LN(2)/25)*Calculateur!V168*Calculateur!X168*VLOOKUP('Données projet'!$B$9,Paramètres!$A$1:$I$89,3,0)*0.475*44/12</f>
        <v>8.8661471811694774</v>
      </c>
      <c r="AB168" s="21">
        <f>EXP(-LN(2)/2)*AB167+(1-EXP(-LN(2)/2))/(LN(2)/2)*V168*Y168*VLOOKUP('Données projet'!$B$9,Paramètres!$A$1:$I$89,3,0)*0.475*44/12</f>
        <v>1.1730156473380596E-7</v>
      </c>
      <c r="AC168" s="22">
        <f t="shared" si="163"/>
        <v>52.152819808661533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-1.0197709343628959E-13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171.701352621833</v>
      </c>
      <c r="AO168" s="59">
        <f t="shared" si="144"/>
        <v>195.58435749168586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13.294109141536655</v>
      </c>
      <c r="AV168" s="21">
        <f>EXP(-LN(2)/25)*AV167+(1-EXP(-LN(2)/25))/(LN(2)/25)*Calculateur!AQ168*Calculateur!AS168*VLOOKUP('Données projet'!$B$10,Paramètres!$A$1:$I$89,3,0)*0.475*44/12</f>
        <v>2.1497618400147385</v>
      </c>
      <c r="AW168" s="21">
        <f>EXP(-LN(2)/2)*AW167+(1-EXP(-LN(2)/2))/(LN(2)/2)*AQ168*AT168*VLOOKUP('Données projet'!$B$10,Paramètres!$A$1:$I$89,3,0)*0.475*44/12</f>
        <v>1.4042569769472354E-14</v>
      </c>
      <c r="AX168" s="21">
        <f t="shared" si="166"/>
        <v>15.443870981551408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-1.1823431123048067E-13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348.29124901999882</v>
      </c>
      <c r="BJ168" s="59">
        <f t="shared" si="146"/>
        <v>284.30034973939053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40.36839464882032</v>
      </c>
      <c r="BQ168" s="21">
        <f>EXP(-LN(2)/25)*BQ167+(1-EXP(-LN(2)/25))/(LN(2)/25)*Calculateur!BL168*Calculateur!BN168*VLOOKUP('Données projet'!$B$11,Paramètres!$A$1:$I$89,3,0)*0.475*44/12</f>
        <v>7.3685731190487829</v>
      </c>
      <c r="BR168" s="21">
        <f>EXP(-LN(2)/2)*BR167+(1-EXP(-LN(2)/2))/(LN(2)/2)*BL168*BO168*VLOOKUP('Données projet'!$B$11,Paramètres!$A$1:$I$89,3,0)*0.475*44/12</f>
        <v>1.3564314105480256E-11</v>
      </c>
      <c r="BS168" s="22">
        <f t="shared" si="169"/>
        <v>47.736967767882668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-1.3596945791505279E-13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185.82627135915504</v>
      </c>
      <c r="CE168" s="59">
        <f t="shared" si="148"/>
        <v>155.46126452522037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31.782485480254902</v>
      </c>
      <c r="CL168" s="21">
        <f>EXP(-LN(2)/25)*CL167+(1-EXP(-LN(2)/25))/(LN(2)/25)*Calculateur!CG168*Calculateur!CI168*VLOOKUP('Données projet'!$B$12,Paramètres!$A$1:$I$89,3,0)*0.475*44/12</f>
        <v>6.5760972064301191</v>
      </c>
      <c r="CM168" s="21">
        <f>EXP(-LN(2)/2)*CM167+(1-EXP(-LN(2)/2))/(LN(2)/2)*CG168*CJ168*VLOOKUP('Données projet'!$B$12,Paramètres!$A$1:$I$89,3,0)*0.475*44/12</f>
        <v>1.7840428429838415E-7</v>
      </c>
      <c r="CN168" s="22">
        <f t="shared" si="172"/>
        <v>38.358582865089303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-1.2789769243681803E-13</v>
      </c>
      <c r="CU168" s="17">
        <f>CT168*VLOOKUP('Données projet'!$B$13,Paramètres!$A$1:$I$89,3,0)*VLOOKUP('Données projet'!$B$13,Paramètres!$A$1:$I$89,5,0)</f>
        <v>-1.4733814168721438E-13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150.78964413039063</v>
      </c>
      <c r="CZ168" s="59">
        <f t="shared" si="150"/>
        <v>131.90332435966184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17.544984312473453</v>
      </c>
      <c r="DG168" s="21">
        <f>EXP(-LN(2)/25)*DG167+(1-EXP(-LN(2)/25))/(LN(2)/25)*Calculateur!DB168*Calculateur!DD168*VLOOKUP('Données projet'!$B$13,Paramètres!$A$1:$I$89,3,0)*0.475*44/12</f>
        <v>7.2260826538592884</v>
      </c>
      <c r="DH168" s="21">
        <f>EXP(-LN(2)/2)*DH167+(1-EXP(-LN(2)/2))/(LN(2)/2)*DB168*DE168*VLOOKUP('Données projet'!$B$13,Paramètres!$A$1:$I$89,3,0)*0.475*44/12</f>
        <v>9.0237480426721348E-2</v>
      </c>
      <c r="DI168" s="22">
        <f t="shared" si="175"/>
        <v>24.861304446759462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-1.4210854715202004E-14</v>
      </c>
      <c r="DP168" s="17">
        <f>DO168*VLOOKUP('Données projet'!$B$14,Paramètres!$A$1:$I$89,3,0)*VLOOKUP('Données projet'!$B$14,Paramètres!$A$1:$I$89,5,0)</f>
        <v>-1.4853185348329136E-14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110.10595934547638</v>
      </c>
      <c r="DU168" s="59">
        <f t="shared" si="152"/>
        <v>131.10971921141493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6.1158786648947912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6.1158786648947912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7.6783333333333319</v>
      </c>
      <c r="EJ168" s="12">
        <f>IF('Données projet'!$A$192&gt;35,EJ167+EI168-ER167,IF(A168&lt;'Données projet'!$A$192,$EG$205^A168,IF(A168='Données projet'!$A$192,'Données projet'!$B$192,EJ167+EI168-ER167)))</f>
        <v>412.61499999999967</v>
      </c>
      <c r="EK168" s="17">
        <f>EJ168*VLOOKUP('Données projet'!$B$15,Paramètres!$A$1:$I$89,3,0)*VLOOKUP('Données projet'!$B$15,Paramètres!$A$1:$I$89,5,0)</f>
        <v>418.39160999999967</v>
      </c>
      <c r="EL168" s="13">
        <f t="shared" si="179"/>
        <v>95.495470884423355</v>
      </c>
      <c r="EM168" s="20">
        <f t="shared" si="180"/>
        <v>895.0199992070369</v>
      </c>
      <c r="EN168" s="59">
        <f t="shared" si="128"/>
        <v>1188.3533325403703</v>
      </c>
      <c r="EO168" s="59">
        <f ca="1">AVERAGE(OFFSET($EN$3,0,0,'Données projet'!$E$15+1,1))-AVERAGE(OFFSET($H$3,0,0,'Données projet'!$E$15+1,1))</f>
        <v>420.38735944595965</v>
      </c>
      <c r="EP168" s="59">
        <f t="shared" si="154"/>
        <v>200.0823542414671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35.202957032504429</v>
      </c>
      <c r="EW168" s="21">
        <f>EXP(-LN(2)/25)*EW167+(1-EXP(-LN(2)/25))/(LN(2)/25)*Calculateur!ER168*Calculateur!ET168*VLOOKUP('Données projet'!$B$15,Paramètres!$A$1:$I$89,3,0)*0.475*44/12</f>
        <v>17.812918029792876</v>
      </c>
      <c r="EX168" s="21">
        <f>EXP(-LN(2)/2)*EX167+(1-EXP(-LN(2)/2))/(LN(2)/2)*ER168*EU168*VLOOKUP('Données projet'!$B$15,Paramètres!$A$1:$I$89,3,0)*0.475*44/12</f>
        <v>4.0785284307847157E-3</v>
      </c>
      <c r="EY168" s="22">
        <f t="shared" si="181"/>
        <v>53.019953590728086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2.5579538487363607E-13</v>
      </c>
      <c r="FF168" s="17">
        <f>FE168*VLOOKUP('Données projet'!$B$16,Paramètres!$A$1:$I$89,3,0)*VLOOKUP('Données projet'!$B$16,Paramètres!$A$1:$I$89,5,0)</f>
        <v>2.7533815227798186E-13</v>
      </c>
      <c r="FG168" s="13">
        <f t="shared" si="182"/>
        <v>3.6763598146902537E-12</v>
      </c>
      <c r="FH168" s="20">
        <f t="shared" si="183"/>
        <v>6.88254062580301E-12</v>
      </c>
      <c r="FI168" s="59">
        <f t="shared" si="131"/>
        <v>293.33333333334019</v>
      </c>
      <c r="FJ168" s="59">
        <f ca="1">AVERAGE(OFFSET($FI$3,0,0,'Données projet'!$E$16+1,1))-AVERAGE(OFFSET($H$3,0,0,'Données projet'!$E$16+1,1))</f>
        <v>415.8741608506952</v>
      </c>
      <c r="FK168" s="59">
        <f t="shared" si="156"/>
        <v>259.15848913719356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67.195653703715351</v>
      </c>
      <c r="FR168" s="21">
        <f>EXP(-LN(2)/25)*FR167+(1-EXP(-LN(2)/25))/(LN(2)/25)*Calculateur!FM168*Calculateur!FO168*VLOOKUP('Données projet'!$B$16,Paramètres!$A$1:$I$89,3,0)*0.475*44/12</f>
        <v>10.612179248243672</v>
      </c>
      <c r="FS168" s="21">
        <f>EXP(-LN(2)/2)*FS167+(1-EXP(-LN(2)/2))/(LN(2)/2)*FM168*FP168*VLOOKUP('Données projet'!$B$16,Paramètres!$A$1:$I$89,3,0)*0.475*44/12</f>
        <v>4.3701357756150361E-5</v>
      </c>
      <c r="FT168" s="22">
        <f t="shared" si="184"/>
        <v>77.807876653316782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2.5579538487363607E-13</v>
      </c>
      <c r="GA168" s="17">
        <f>FZ168*VLOOKUP('Données projet'!$B$17,Paramètres!$A$1:$I$89,3,0)*VLOOKUP('Données projet'!$B$17,Paramètres!$A$1:$I$89,5,0)</f>
        <v>2.1947244022157976E-13</v>
      </c>
      <c r="GB168" s="13">
        <f t="shared" si="185"/>
        <v>3.0088145886933343E-12</v>
      </c>
      <c r="GC168" s="20">
        <f t="shared" si="186"/>
        <v>5.6225999086934742E-12</v>
      </c>
      <c r="GD168" s="59">
        <f t="shared" si="134"/>
        <v>293.33333333333894</v>
      </c>
      <c r="GE168" s="59">
        <f ca="1">AVERAGE(OFFSET($GD$3,0,0,'Données projet'!$E$17+1,1))-AVERAGE(OFFSET($H$3,0,0,'Données projet'!$E$17+1,1))</f>
        <v>322.39807389980882</v>
      </c>
      <c r="GF168" s="59">
        <f t="shared" si="158"/>
        <v>202.59410055732792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66.017974569036127</v>
      </c>
      <c r="GM168" s="21">
        <f>EXP(-LN(2)/25)*GM167+(1-EXP(-LN(2)/25))/(LN(2)/25)*Calculateur!GH168*Calculateur!GJ168*VLOOKUP('Données projet'!$B$17,Paramètres!$A$1:$I$89,3,0)*0.475*44/12</f>
        <v>10.426188914267041</v>
      </c>
      <c r="GN168" s="21">
        <f>EXP(-LN(2)/2)*GN167+(1-EXP(-LN(2)/2))/(LN(2)/2)*GH168*GK168*VLOOKUP('Données projet'!$B$17,Paramètres!$A$1:$I$89,3,0)*0.475*44/12</f>
        <v>3.4834415602728588E-5</v>
      </c>
      <c r="GO168" s="21">
        <f t="shared" si="187"/>
        <v>76.444198317718772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60.855599999999789</v>
      </c>
      <c r="D169" s="11">
        <f t="shared" si="140"/>
        <v>17.384412949542611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603.95799469822202</v>
      </c>
      <c r="H169" s="67">
        <f t="shared" si="110"/>
        <v>429.60135588711967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1.5961632016114892E-13</v>
      </c>
      <c r="P169" s="13">
        <f t="shared" si="141"/>
        <v>2.2708641912150958E-12</v>
      </c>
      <c r="Q169" s="20">
        <f t="shared" si="162"/>
        <v>4.2330868906469593E-12</v>
      </c>
      <c r="R169" s="59">
        <f t="shared" si="109"/>
        <v>293.33333333333752</v>
      </c>
      <c r="S169" s="59">
        <f ca="1">AVERAGE(OFFSET($R$3,0,0,'Données projet'!$E$9+1,1))-AVERAGE(OFFSET($H$3,0,0,'Données projet'!$E$9+1,1))</f>
        <v>215.77907571824977</v>
      </c>
      <c r="T169" s="59">
        <f t="shared" si="142"/>
        <v>174.69390149594869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42.437847264528877</v>
      </c>
      <c r="AA169" s="21">
        <f>EXP(-LN(2)/25)*AA168+(1-EXP(-LN(2)/25))/(LN(2)/25)*Calculateur!V169*Calculateur!X169*VLOOKUP('Données projet'!$B$9,Paramètres!$A$1:$I$89,3,0)*0.475*44/12</f>
        <v>8.6237019202499816</v>
      </c>
      <c r="AB169" s="21">
        <f>EXP(-LN(2)/2)*AB168+(1-EXP(-LN(2)/2))/(LN(2)/2)*V169*Y169*VLOOKUP('Données projet'!$B$9,Paramètres!$A$1:$I$89,3,0)*0.475*44/12</f>
        <v>8.294473186706698E-8</v>
      </c>
      <c r="AC169" s="22">
        <f t="shared" si="163"/>
        <v>51.061549267723585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-1.0197709343628959E-13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171.701352621833</v>
      </c>
      <c r="AO169" s="59">
        <f t="shared" si="144"/>
        <v>195.58435749168586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13.033419769877039</v>
      </c>
      <c r="AV169" s="21">
        <f>EXP(-LN(2)/25)*AV168+(1-EXP(-LN(2)/25))/(LN(2)/25)*Calculateur!AQ169*Calculateur!AS169*VLOOKUP('Données projet'!$B$10,Paramètres!$A$1:$I$89,3,0)*0.475*44/12</f>
        <v>2.0909764894484737</v>
      </c>
      <c r="AW169" s="21">
        <f>EXP(-LN(2)/2)*AW168+(1-EXP(-LN(2)/2))/(LN(2)/2)*AQ169*AT169*VLOOKUP('Données projet'!$B$10,Paramètres!$A$1:$I$89,3,0)*0.475*44/12</f>
        <v>9.9295963092791154E-15</v>
      </c>
      <c r="AX169" s="21">
        <f t="shared" si="166"/>
        <v>15.124396259325524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-1.1823431123048067E-13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348.29124901999882</v>
      </c>
      <c r="BJ169" s="59">
        <f t="shared" si="146"/>
        <v>284.30034973939053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39.576795052046442</v>
      </c>
      <c r="BQ169" s="21">
        <f>EXP(-LN(2)/25)*BQ168+(1-EXP(-LN(2)/25))/(LN(2)/25)*Calculateur!BL169*Calculateur!BN169*VLOOKUP('Données projet'!$B$11,Paramètres!$A$1:$I$89,3,0)*0.475*44/12</f>
        <v>7.1670790996119749</v>
      </c>
      <c r="BR169" s="21">
        <f>EXP(-LN(2)/2)*BR168+(1-EXP(-LN(2)/2))/(LN(2)/2)*BL169*BO169*VLOOKUP('Données projet'!$B$11,Paramètres!$A$1:$I$89,3,0)*0.475*44/12</f>
        <v>9.5914184861294274E-12</v>
      </c>
      <c r="BS169" s="22">
        <f t="shared" si="169"/>
        <v>46.74387415166801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-1.3596945791505279E-13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185.82627135915504</v>
      </c>
      <c r="CE169" s="59">
        <f t="shared" si="148"/>
        <v>155.46126452522037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31.159250325389095</v>
      </c>
      <c r="CL169" s="21">
        <f>EXP(-LN(2)/25)*CL168+(1-EXP(-LN(2)/25))/(LN(2)/25)*Calculateur!CG169*Calculateur!CI169*VLOOKUP('Données projet'!$B$12,Paramètres!$A$1:$I$89,3,0)*0.475*44/12</f>
        <v>6.3962734824983656</v>
      </c>
      <c r="CM169" s="21">
        <f>EXP(-LN(2)/2)*CM168+(1-EXP(-LN(2)/2))/(LN(2)/2)*CG169*CJ169*VLOOKUP('Données projet'!$B$12,Paramètres!$A$1:$I$89,3,0)*0.475*44/12</f>
        <v>1.2615087922012013E-7</v>
      </c>
      <c r="CN169" s="22">
        <f t="shared" si="172"/>
        <v>37.555523934038341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-1.2789769243681803E-13</v>
      </c>
      <c r="CU169" s="17">
        <f>CT169*VLOOKUP('Données projet'!$B$13,Paramètres!$A$1:$I$89,3,0)*VLOOKUP('Données projet'!$B$13,Paramètres!$A$1:$I$89,5,0)</f>
        <v>-1.4733814168721438E-13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150.78964413039063</v>
      </c>
      <c r="CZ169" s="59">
        <f t="shared" si="150"/>
        <v>131.90332435966184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17.200937871489604</v>
      </c>
      <c r="DG169" s="21">
        <f>EXP(-LN(2)/25)*DG168+(1-EXP(-LN(2)/25))/(LN(2)/25)*Calculateur!DB169*Calculateur!DD169*VLOOKUP('Données projet'!$B$13,Paramètres!$A$1:$I$89,3,0)*0.475*44/12</f>
        <v>7.0284850436863344</v>
      </c>
      <c r="DH169" s="21">
        <f>EXP(-LN(2)/2)*DH168+(1-EXP(-LN(2)/2))/(LN(2)/2)*DB169*DE169*VLOOKUP('Données projet'!$B$13,Paramètres!$A$1:$I$89,3,0)*0.475*44/12</f>
        <v>6.3807534326923016E-2</v>
      </c>
      <c r="DI169" s="22">
        <f t="shared" si="175"/>
        <v>24.293230449502861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-1.4210854715202004E-14</v>
      </c>
      <c r="DP169" s="17">
        <f>DO169*VLOOKUP('Données projet'!$B$14,Paramètres!$A$1:$I$89,3,0)*VLOOKUP('Données projet'!$B$14,Paramètres!$A$1:$I$89,5,0)</f>
        <v>-1.4853185348329136E-14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110.10595934547638</v>
      </c>
      <c r="DU169" s="59">
        <f t="shared" si="152"/>
        <v>131.10971921141493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5.9486396411831617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5.9486396411831617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7.6783333333333319</v>
      </c>
      <c r="EJ169" s="12">
        <f>IF('Données projet'!$A$192&gt;35,EJ168+EI169-ER168,IF(A169&lt;'Données projet'!$A$192,$EG$205^A169,IF(A169='Données projet'!$A$192,'Données projet'!$B$192,EJ168+EI169-ER168)))</f>
        <v>420.29333333333301</v>
      </c>
      <c r="EK169" s="17">
        <f>EJ169*VLOOKUP('Données projet'!$B$15,Paramètres!$A$1:$I$89,3,0)*VLOOKUP('Données projet'!$B$15,Paramètres!$A$1:$I$89,5,0)</f>
        <v>426.17743999999971</v>
      </c>
      <c r="EL169" s="13">
        <f t="shared" si="179"/>
        <v>97.064001669669764</v>
      </c>
      <c r="EM169" s="20">
        <f t="shared" si="180"/>
        <v>911.31217757467437</v>
      </c>
      <c r="EN169" s="59">
        <f t="shared" si="128"/>
        <v>1204.6455109080077</v>
      </c>
      <c r="EO169" s="59">
        <f ca="1">AVERAGE(OFFSET($EN$3,0,0,'Données projet'!$E$15+1,1))-AVERAGE(OFFSET($H$3,0,0,'Données projet'!$E$15+1,1))</f>
        <v>420.38735944595965</v>
      </c>
      <c r="EP169" s="59">
        <f t="shared" si="154"/>
        <v>200.0823542414671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34.512648516780658</v>
      </c>
      <c r="EW169" s="21">
        <f>EXP(-LN(2)/25)*EW168+(1-EXP(-LN(2)/25))/(LN(2)/25)*Calculateur!ER169*Calculateur!ET169*VLOOKUP('Données projet'!$B$15,Paramètres!$A$1:$I$89,3,0)*0.475*44/12</f>
        <v>17.32582284952754</v>
      </c>
      <c r="EX169" s="21">
        <f>EXP(-LN(2)/2)*EX168+(1-EXP(-LN(2)/2))/(LN(2)/2)*ER169*EU169*VLOOKUP('Données projet'!$B$15,Paramètres!$A$1:$I$89,3,0)*0.475*44/12</f>
        <v>2.8839551106700011E-3</v>
      </c>
      <c r="EY169" s="22">
        <f t="shared" si="181"/>
        <v>51.841355321418867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2.5579538487363607E-13</v>
      </c>
      <c r="FF169" s="17">
        <f>FE169*VLOOKUP('Données projet'!$B$16,Paramètres!$A$1:$I$89,3,0)*VLOOKUP('Données projet'!$B$16,Paramètres!$A$1:$I$89,5,0)</f>
        <v>2.7533815227798186E-13</v>
      </c>
      <c r="FG169" s="13">
        <f t="shared" si="182"/>
        <v>3.6763598146902537E-12</v>
      </c>
      <c r="FH169" s="20">
        <f t="shared" si="183"/>
        <v>6.88254062580301E-12</v>
      </c>
      <c r="FI169" s="59">
        <f t="shared" si="131"/>
        <v>293.33333333334019</v>
      </c>
      <c r="FJ169" s="59">
        <f ca="1">AVERAGE(OFFSET($FI$3,0,0,'Données projet'!$E$16+1,1))-AVERAGE(OFFSET($H$3,0,0,'Données projet'!$E$16+1,1))</f>
        <v>415.8741608506952</v>
      </c>
      <c r="FK169" s="59">
        <f t="shared" si="156"/>
        <v>259.15848913719356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65.877987919887289</v>
      </c>
      <c r="FR169" s="21">
        <f>EXP(-LN(2)/25)*FR168+(1-EXP(-LN(2)/25))/(LN(2)/25)*Calculateur!FM169*Calculateur!FO169*VLOOKUP('Données projet'!$B$16,Paramètres!$A$1:$I$89,3,0)*0.475*44/12</f>
        <v>10.321988648630196</v>
      </c>
      <c r="FS169" s="21">
        <f>EXP(-LN(2)/2)*FS168+(1-EXP(-LN(2)/2))/(LN(2)/2)*FM169*FP169*VLOOKUP('Données projet'!$B$16,Paramètres!$A$1:$I$89,3,0)*0.475*44/12</f>
        <v>3.0901526416433245E-5</v>
      </c>
      <c r="FT169" s="22">
        <f t="shared" si="184"/>
        <v>76.2000074700439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2.5579538487363607E-13</v>
      </c>
      <c r="GA169" s="17">
        <f>FZ169*VLOOKUP('Données projet'!$B$17,Paramètres!$A$1:$I$89,3,0)*VLOOKUP('Données projet'!$B$17,Paramètres!$A$1:$I$89,5,0)</f>
        <v>2.1947244022157976E-13</v>
      </c>
      <c r="GB169" s="13">
        <f t="shared" si="185"/>
        <v>3.0088145886933343E-12</v>
      </c>
      <c r="GC169" s="20">
        <f t="shared" si="186"/>
        <v>5.6225999086934742E-12</v>
      </c>
      <c r="GD169" s="59">
        <f t="shared" si="134"/>
        <v>293.33333333333894</v>
      </c>
      <c r="GE169" s="59">
        <f ca="1">AVERAGE(OFFSET($GD$3,0,0,'Données projet'!$E$17+1,1))-AVERAGE(OFFSET($H$3,0,0,'Données projet'!$E$17+1,1))</f>
        <v>322.39807389980882</v>
      </c>
      <c r="GF169" s="59">
        <f t="shared" si="158"/>
        <v>202.59410055732792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64.723402354725778</v>
      </c>
      <c r="GM169" s="21">
        <f>EXP(-LN(2)/25)*GM168+(1-EXP(-LN(2)/25))/(LN(2)/25)*Calculateur!GH169*Calculateur!GJ169*VLOOKUP('Données projet'!$B$17,Paramètres!$A$1:$I$89,3,0)*0.475*44/12</f>
        <v>10.141084230116963</v>
      </c>
      <c r="GN169" s="21">
        <f>EXP(-LN(2)/2)*GN168+(1-EXP(-LN(2)/2))/(LN(2)/2)*GH169*GK169*VLOOKUP('Données projet'!$B$17,Paramètres!$A$1:$I$89,3,0)*0.475*44/12</f>
        <v>2.4631651491359861E-5</v>
      </c>
      <c r="GO169" s="21">
        <f t="shared" si="187"/>
        <v>74.864511216494222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61.222199999999788</v>
      </c>
      <c r="D170" s="11">
        <f t="shared" si="140"/>
        <v>17.476915924000192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607.50194748350862</v>
      </c>
      <c r="H170" s="67">
        <f t="shared" si="110"/>
        <v>430.40096023429999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1.5961632016114892E-13</v>
      </c>
      <c r="P170" s="13">
        <f t="shared" si="141"/>
        <v>2.2708641912150958E-12</v>
      </c>
      <c r="Q170" s="20">
        <f t="shared" si="162"/>
        <v>4.2330868906469593E-12</v>
      </c>
      <c r="R170" s="59">
        <f t="shared" si="109"/>
        <v>293.33333333333752</v>
      </c>
      <c r="S170" s="59">
        <f ca="1">AVERAGE(OFFSET($R$3,0,0,'Données projet'!$E$9+1,1))-AVERAGE(OFFSET($H$3,0,0,'Données projet'!$E$9+1,1))</f>
        <v>215.77907571824977</v>
      </c>
      <c r="T170" s="59">
        <f t="shared" si="142"/>
        <v>174.69390149594869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41.605666964202413</v>
      </c>
      <c r="AA170" s="21">
        <f>EXP(-LN(2)/25)*AA169+(1-EXP(-LN(2)/25))/(LN(2)/25)*Calculateur!V170*Calculateur!X170*VLOOKUP('Données projet'!$B$9,Paramètres!$A$1:$I$89,3,0)*0.475*44/12</f>
        <v>8.3878863377399711</v>
      </c>
      <c r="AB170" s="21">
        <f>EXP(-LN(2)/2)*AB169+(1-EXP(-LN(2)/2))/(LN(2)/2)*V170*Y170*VLOOKUP('Données projet'!$B$9,Paramètres!$A$1:$I$89,3,0)*0.475*44/12</f>
        <v>5.8650782366902992E-8</v>
      </c>
      <c r="AC170" s="22">
        <f t="shared" si="163"/>
        <v>49.993553360593168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-1.0197709343628959E-13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171.701352621833</v>
      </c>
      <c r="AO170" s="59">
        <f t="shared" si="144"/>
        <v>195.58435749168586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12.777842357790853</v>
      </c>
      <c r="AV170" s="21">
        <f>EXP(-LN(2)/25)*AV169+(1-EXP(-LN(2)/25))/(LN(2)/25)*Calculateur!AQ170*Calculateur!AS170*VLOOKUP('Données projet'!$B$10,Paramètres!$A$1:$I$89,3,0)*0.475*44/12</f>
        <v>2.0337986273848307</v>
      </c>
      <c r="AW170" s="21">
        <f>EXP(-LN(2)/2)*AW169+(1-EXP(-LN(2)/2))/(LN(2)/2)*AQ170*AT170*VLOOKUP('Données projet'!$B$10,Paramètres!$A$1:$I$89,3,0)*0.475*44/12</f>
        <v>7.0212848847361776E-15</v>
      </c>
      <c r="AX170" s="21">
        <f t="shared" si="166"/>
        <v>14.811640985175691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-1.1823431123048067E-13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348.29124901999882</v>
      </c>
      <c r="BJ170" s="59">
        <f t="shared" si="146"/>
        <v>284.30034973939053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38.800718240537222</v>
      </c>
      <c r="BQ170" s="21">
        <f>EXP(-LN(2)/25)*BQ169+(1-EXP(-LN(2)/25))/(LN(2)/25)*Calculateur!BL170*Calculateur!BN170*VLOOKUP('Données projet'!$B$11,Paramètres!$A$1:$I$89,3,0)*0.475*44/12</f>
        <v>6.9710949447327764</v>
      </c>
      <c r="BR170" s="21">
        <f>EXP(-LN(2)/2)*BR169+(1-EXP(-LN(2)/2))/(LN(2)/2)*BL170*BO170*VLOOKUP('Données projet'!$B$11,Paramètres!$A$1:$I$89,3,0)*0.475*44/12</f>
        <v>6.782157052740128E-12</v>
      </c>
      <c r="BS170" s="22">
        <f t="shared" si="169"/>
        <v>45.771813185276784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-1.3596945791505279E-13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185.82627135915504</v>
      </c>
      <c r="CE170" s="59">
        <f t="shared" si="148"/>
        <v>155.46126452522037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30.548236431774299</v>
      </c>
      <c r="CL170" s="21">
        <f>EXP(-LN(2)/25)*CL169+(1-EXP(-LN(2)/25))/(LN(2)/25)*Calculateur!CG170*Calculateur!CI170*VLOOKUP('Données projet'!$B$12,Paramètres!$A$1:$I$89,3,0)*0.475*44/12</f>
        <v>6.2213670477540441</v>
      </c>
      <c r="CM170" s="21">
        <f>EXP(-LN(2)/2)*CM169+(1-EXP(-LN(2)/2))/(LN(2)/2)*CG170*CJ170*VLOOKUP('Données projet'!$B$12,Paramètres!$A$1:$I$89,3,0)*0.475*44/12</f>
        <v>8.9202142149192075E-8</v>
      </c>
      <c r="CN170" s="22">
        <f t="shared" si="172"/>
        <v>36.769603568730481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-1.2789769243681803E-13</v>
      </c>
      <c r="CU170" s="17">
        <f>CT170*VLOOKUP('Données projet'!$B$13,Paramètres!$A$1:$I$89,3,0)*VLOOKUP('Données projet'!$B$13,Paramètres!$A$1:$I$89,5,0)</f>
        <v>-1.4733814168721438E-13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150.78964413039063</v>
      </c>
      <c r="CZ170" s="59">
        <f t="shared" si="150"/>
        <v>131.90332435966184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16.86363797136584</v>
      </c>
      <c r="DG170" s="21">
        <f>EXP(-LN(2)/25)*DG169+(1-EXP(-LN(2)/25))/(LN(2)/25)*Calculateur!DB170*Calculateur!DD170*VLOOKUP('Données projet'!$B$13,Paramètres!$A$1:$I$89,3,0)*0.475*44/12</f>
        <v>6.8362907505547668</v>
      </c>
      <c r="DH170" s="21">
        <f>EXP(-LN(2)/2)*DH169+(1-EXP(-LN(2)/2))/(LN(2)/2)*DB170*DE170*VLOOKUP('Données projet'!$B$13,Paramètres!$A$1:$I$89,3,0)*0.475*44/12</f>
        <v>4.5118740213360674E-2</v>
      </c>
      <c r="DI170" s="22">
        <f t="shared" si="175"/>
        <v>23.745047462133968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-1.4210854715202004E-14</v>
      </c>
      <c r="DP170" s="17">
        <f>DO170*VLOOKUP('Données projet'!$B$14,Paramètres!$A$1:$I$89,3,0)*VLOOKUP('Données projet'!$B$14,Paramètres!$A$1:$I$89,5,0)</f>
        <v>-1.4853185348329136E-14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110.10595934547638</v>
      </c>
      <c r="DU170" s="59">
        <f t="shared" si="152"/>
        <v>131.10971921141493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5.7859737773696454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5.7859737773696454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7.6783333333333319</v>
      </c>
      <c r="EJ170" s="12">
        <f>IF('Données projet'!$A$192&gt;35,EJ169+EI170-ER169,IF(A170&lt;'Données projet'!$A$192,$EG$205^A170,IF(A170='Données projet'!$A$192,'Données projet'!$B$192,EJ169+EI170-ER169)))</f>
        <v>427.97166666666635</v>
      </c>
      <c r="EK170" s="17">
        <f>EJ170*VLOOKUP('Données projet'!$B$15,Paramètres!$A$1:$I$89,3,0)*VLOOKUP('Données projet'!$B$15,Paramètres!$A$1:$I$89,5,0)</f>
        <v>433.96326999999974</v>
      </c>
      <c r="EL170" s="13">
        <f t="shared" si="179"/>
        <v>98.629200306449263</v>
      </c>
      <c r="EM170" s="20">
        <f t="shared" si="180"/>
        <v>927.59855245039887</v>
      </c>
      <c r="EN170" s="59">
        <f t="shared" si="128"/>
        <v>1220.9318857837322</v>
      </c>
      <c r="EO170" s="59">
        <f ca="1">AVERAGE(OFFSET($EN$3,0,0,'Données projet'!$E$15+1,1))-AVERAGE(OFFSET($H$3,0,0,'Données projet'!$E$15+1,1))</f>
        <v>420.38735944595965</v>
      </c>
      <c r="EP170" s="59">
        <f t="shared" si="154"/>
        <v>200.0823542414671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33.83587653000361</v>
      </c>
      <c r="EW170" s="21">
        <f>EXP(-LN(2)/25)*EW169+(1-EXP(-LN(2)/25))/(LN(2)/25)*Calculateur!ER170*Calculateur!ET170*VLOOKUP('Données projet'!$B$15,Paramètres!$A$1:$I$89,3,0)*0.475*44/12</f>
        <v>16.852047312581785</v>
      </c>
      <c r="EX170" s="21">
        <f>EXP(-LN(2)/2)*EX169+(1-EXP(-LN(2)/2))/(LN(2)/2)*ER170*EU170*VLOOKUP('Données projet'!$B$15,Paramètres!$A$1:$I$89,3,0)*0.475*44/12</f>
        <v>2.0392642153923579E-3</v>
      </c>
      <c r="EY170" s="22">
        <f t="shared" si="181"/>
        <v>50.689963106800782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2.5579538487363607E-13</v>
      </c>
      <c r="FF170" s="17">
        <f>FE170*VLOOKUP('Données projet'!$B$16,Paramètres!$A$1:$I$89,3,0)*VLOOKUP('Données projet'!$B$16,Paramètres!$A$1:$I$89,5,0)</f>
        <v>2.7533815227798186E-13</v>
      </c>
      <c r="FG170" s="13">
        <f t="shared" si="182"/>
        <v>3.6763598146902537E-12</v>
      </c>
      <c r="FH170" s="20">
        <f t="shared" si="183"/>
        <v>6.88254062580301E-12</v>
      </c>
      <c r="FI170" s="59">
        <f t="shared" si="131"/>
        <v>293.33333333334019</v>
      </c>
      <c r="FJ170" s="59">
        <f ca="1">AVERAGE(OFFSET($FI$3,0,0,'Données projet'!$E$16+1,1))-AVERAGE(OFFSET($H$3,0,0,'Données projet'!$E$16+1,1))</f>
        <v>415.8741608506952</v>
      </c>
      <c r="FK170" s="59">
        <f t="shared" si="156"/>
        <v>259.15848913719356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64.586160758383329</v>
      </c>
      <c r="FR170" s="21">
        <f>EXP(-LN(2)/25)*FR169+(1-EXP(-LN(2)/25))/(LN(2)/25)*Calculateur!FM170*Calculateur!FO170*VLOOKUP('Données projet'!$B$16,Paramètres!$A$1:$I$89,3,0)*0.475*44/12</f>
        <v>10.039733326223612</v>
      </c>
      <c r="FS170" s="21">
        <f>EXP(-LN(2)/2)*FS169+(1-EXP(-LN(2)/2))/(LN(2)/2)*FM170*FP170*VLOOKUP('Données projet'!$B$16,Paramètres!$A$1:$I$89,3,0)*0.475*44/12</f>
        <v>2.1850678878075181E-5</v>
      </c>
      <c r="FT170" s="22">
        <f t="shared" si="184"/>
        <v>74.625915935285818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2.5579538487363607E-13</v>
      </c>
      <c r="GA170" s="17">
        <f>FZ170*VLOOKUP('Données projet'!$B$17,Paramètres!$A$1:$I$89,3,0)*VLOOKUP('Données projet'!$B$17,Paramètres!$A$1:$I$89,5,0)</f>
        <v>2.1947244022157976E-13</v>
      </c>
      <c r="GB170" s="13">
        <f t="shared" si="185"/>
        <v>3.0088145886933343E-12</v>
      </c>
      <c r="GC170" s="20">
        <f t="shared" si="186"/>
        <v>5.6225999086934742E-12</v>
      </c>
      <c r="GD170" s="59">
        <f t="shared" si="134"/>
        <v>293.33333333333894</v>
      </c>
      <c r="GE170" s="59">
        <f ca="1">AVERAGE(OFFSET($GD$3,0,0,'Données projet'!$E$17+1,1))-AVERAGE(OFFSET($H$3,0,0,'Données projet'!$E$17+1,1))</f>
        <v>322.39807389980882</v>
      </c>
      <c r="GF170" s="59">
        <f t="shared" si="158"/>
        <v>202.59410055732792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63.454215911926973</v>
      </c>
      <c r="GM170" s="21">
        <f>EXP(-LN(2)/25)*GM169+(1-EXP(-LN(2)/25))/(LN(2)/25)*Calculateur!GH170*Calculateur!GJ170*VLOOKUP('Données projet'!$B$17,Paramètres!$A$1:$I$89,3,0)*0.475*44/12</f>
        <v>9.8637757485479725</v>
      </c>
      <c r="GN170" s="21">
        <f>EXP(-LN(2)/2)*GN169+(1-EXP(-LN(2)/2))/(LN(2)/2)*GH170*GK170*VLOOKUP('Données projet'!$B$17,Paramètres!$A$1:$I$89,3,0)*0.475*44/12</f>
        <v>1.7417207801364294E-5</v>
      </c>
      <c r="GO170" s="21">
        <f t="shared" si="187"/>
        <v>73.318009077682746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61.588799999999786</v>
      </c>
      <c r="D171" s="11">
        <f t="shared" si="140"/>
        <v>17.569354445387766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611.04540273632495</v>
      </c>
      <c r="H171" s="67">
        <f t="shared" si="110"/>
        <v>431.20045232571658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1.5961632016114892E-13</v>
      </c>
      <c r="P171" s="13">
        <f t="shared" si="141"/>
        <v>2.2708641912150958E-12</v>
      </c>
      <c r="Q171" s="20">
        <f t="shared" si="162"/>
        <v>4.2330868906469593E-12</v>
      </c>
      <c r="R171" s="59">
        <f t="shared" si="109"/>
        <v>293.33333333333752</v>
      </c>
      <c r="S171" s="59">
        <f ca="1">AVERAGE(OFFSET($R$3,0,0,'Données projet'!$E$9+1,1))-AVERAGE(OFFSET($H$3,0,0,'Données projet'!$E$9+1,1))</f>
        <v>215.77907571824977</v>
      </c>
      <c r="T171" s="59">
        <f t="shared" si="142"/>
        <v>174.69390149594869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40.789805211985488</v>
      </c>
      <c r="AA171" s="21">
        <f>EXP(-LN(2)/25)*AA170+(1-EXP(-LN(2)/25))/(LN(2)/25)*Calculateur!V171*Calculateur!X171*VLOOKUP('Données projet'!$B$9,Paramètres!$A$1:$I$89,3,0)*0.475*44/12</f>
        <v>8.158519144734699</v>
      </c>
      <c r="AB171" s="21">
        <f>EXP(-LN(2)/2)*AB170+(1-EXP(-LN(2)/2))/(LN(2)/2)*V171*Y171*VLOOKUP('Données projet'!$B$9,Paramètres!$A$1:$I$89,3,0)*0.475*44/12</f>
        <v>4.1472365933533497E-8</v>
      </c>
      <c r="AC171" s="22">
        <f t="shared" si="163"/>
        <v>48.948324398192554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-1.0197709343628959E-13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171.701352621833</v>
      </c>
      <c r="AO171" s="59">
        <f t="shared" si="144"/>
        <v>195.58435749168586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12.527276662868847</v>
      </c>
      <c r="AV171" s="21">
        <f>EXP(-LN(2)/25)*AV170+(1-EXP(-LN(2)/25))/(LN(2)/25)*Calculateur!AQ171*Calculateur!AS171*VLOOKUP('Données projet'!$B$10,Paramètres!$A$1:$I$89,3,0)*0.475*44/12</f>
        <v>1.9781842969661712</v>
      </c>
      <c r="AW171" s="21">
        <f>EXP(-LN(2)/2)*AW170+(1-EXP(-LN(2)/2))/(LN(2)/2)*AQ171*AT171*VLOOKUP('Données projet'!$B$10,Paramètres!$A$1:$I$89,3,0)*0.475*44/12</f>
        <v>4.9647981546395585E-15</v>
      </c>
      <c r="AX171" s="21">
        <f t="shared" si="166"/>
        <v>14.505460959835023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-1.1823431123048067E-13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348.29124901999882</v>
      </c>
      <c r="BJ171" s="59">
        <f t="shared" si="146"/>
        <v>284.30034973939053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38.039859821941583</v>
      </c>
      <c r="BQ171" s="21">
        <f>EXP(-LN(2)/25)*BQ170+(1-EXP(-LN(2)/25))/(LN(2)/25)*Calculateur!BL171*Calculateur!BN171*VLOOKUP('Données projet'!$B$11,Paramètres!$A$1:$I$89,3,0)*0.475*44/12</f>
        <v>6.7804699868751079</v>
      </c>
      <c r="BR171" s="21">
        <f>EXP(-LN(2)/2)*BR170+(1-EXP(-LN(2)/2))/(LN(2)/2)*BL171*BO171*VLOOKUP('Données projet'!$B$11,Paramètres!$A$1:$I$89,3,0)*0.475*44/12</f>
        <v>4.7957092430647137E-12</v>
      </c>
      <c r="BS171" s="22">
        <f t="shared" si="169"/>
        <v>44.820329808821491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-1.3596945791505279E-13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185.82627135915504</v>
      </c>
      <c r="CE171" s="59">
        <f t="shared" si="148"/>
        <v>155.46126452522037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29.949204147931614</v>
      </c>
      <c r="CL171" s="21">
        <f>EXP(-LN(2)/25)*CL170+(1-EXP(-LN(2)/25))/(LN(2)/25)*Calculateur!CG171*Calculateur!CI171*VLOOKUP('Données projet'!$B$12,Paramètres!$A$1:$I$89,3,0)*0.475*44/12</f>
        <v>6.0512434386657361</v>
      </c>
      <c r="CM171" s="21">
        <f>EXP(-LN(2)/2)*CM170+(1-EXP(-LN(2)/2))/(LN(2)/2)*CG171*CJ171*VLOOKUP('Données projet'!$B$12,Paramètres!$A$1:$I$89,3,0)*0.475*44/12</f>
        <v>6.3075439610060067E-8</v>
      </c>
      <c r="CN171" s="22">
        <f t="shared" si="172"/>
        <v>36.000447649672786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-1.2789769243681803E-13</v>
      </c>
      <c r="CU171" s="17">
        <f>CT171*VLOOKUP('Données projet'!$B$13,Paramètres!$A$1:$I$89,3,0)*VLOOKUP('Données projet'!$B$13,Paramètres!$A$1:$I$89,5,0)</f>
        <v>-1.4733814168721438E-13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150.78964413039063</v>
      </c>
      <c r="CZ171" s="59">
        <f t="shared" si="150"/>
        <v>131.90332435966184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16.53295231655088</v>
      </c>
      <c r="DG171" s="21">
        <f>EXP(-LN(2)/25)*DG170+(1-EXP(-LN(2)/25))/(LN(2)/25)*Calculateur!DB171*Calculateur!DD171*VLOOKUP('Données projet'!$B$13,Paramètres!$A$1:$I$89,3,0)*0.475*44/12</f>
        <v>6.6493520204759404</v>
      </c>
      <c r="DH171" s="21">
        <f>EXP(-LN(2)/2)*DH170+(1-EXP(-LN(2)/2))/(LN(2)/2)*DB171*DE171*VLOOKUP('Données projet'!$B$13,Paramètres!$A$1:$I$89,3,0)*0.475*44/12</f>
        <v>3.1903767163461508E-2</v>
      </c>
      <c r="DI171" s="22">
        <f t="shared" si="175"/>
        <v>23.214208104190284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-1.4210854715202004E-14</v>
      </c>
      <c r="DP171" s="17">
        <f>DO171*VLOOKUP('Données projet'!$B$14,Paramètres!$A$1:$I$89,3,0)*VLOOKUP('Données projet'!$B$14,Paramètres!$A$1:$I$89,5,0)</f>
        <v>-1.4853185348329136E-14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110.10595934547638</v>
      </c>
      <c r="DU171" s="59">
        <f t="shared" si="152"/>
        <v>131.10971921141493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5.6277560201563359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5.6277560201563359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>
        <f>VLOOKUP(A171,'Données projet'!$A$191:$I$211,2,0)</f>
        <v>435.65</v>
      </c>
      <c r="EH171" s="12">
        <f>VLOOKUP(A171,'Données projet'!$A$191:$I$211,9,0)</f>
        <v>7.6783333333333319</v>
      </c>
      <c r="EI171" s="12">
        <f t="array" ref="EI171">INDEX(EH:EH,MIN(IF(ISNUMBER(EH171:EH367),ROW(EH171:EH367),"")))</f>
        <v>7.6783333333333319</v>
      </c>
      <c r="EJ171" s="12">
        <f>IF('Données projet'!$A$192&gt;35,EJ170+EI171-ER170,IF(A171&lt;'Données projet'!$A$192,$EG$205^A171,IF(A171='Données projet'!$A$192,'Données projet'!$B$192,EJ170+EI171-ER170)))</f>
        <v>435.64999999999969</v>
      </c>
      <c r="EK171" s="17">
        <f>EJ171*VLOOKUP('Données projet'!$B$15,Paramètres!$A$1:$I$89,3,0)*VLOOKUP('Données projet'!$B$15,Paramètres!$A$1:$I$89,5,0)</f>
        <v>441.74909999999966</v>
      </c>
      <c r="EL171" s="13">
        <f t="shared" si="179"/>
        <v>100.19113347385638</v>
      </c>
      <c r="EM171" s="20">
        <f t="shared" si="180"/>
        <v>943.879239966966</v>
      </c>
      <c r="EN171" s="59">
        <f t="shared" si="128"/>
        <v>1237.2125733002993</v>
      </c>
      <c r="EO171" s="59">
        <f ca="1">AVERAGE(OFFSET($EN$3,0,0,'Données projet'!$E$15+1,1))-AVERAGE(OFFSET($H$3,0,0,'Données projet'!$E$15+1,1))</f>
        <v>420.38735944595965</v>
      </c>
      <c r="EP171" s="59">
        <f t="shared" si="154"/>
        <v>200.0823542414671</v>
      </c>
      <c r="EQ171" s="15">
        <f>IF(ISNA(VLOOKUP(A171,'Données projet'!$A$191:$I$211,3,0)),0,VLOOKUP(A171,'Données projet'!$A$191:$I$211,3,0))</f>
        <v>12</v>
      </c>
      <c r="ER171" s="15">
        <f>IF(ISNA(VLOOKUP(A171,'Données projet'!$A$191:$I$211,4,0)),0,VLOOKUP(A171,'Données projet'!$A$191:$I$211,4,0))</f>
        <v>71.37</v>
      </c>
      <c r="ES171" s="16">
        <f>IF(ISNA(VLOOKUP(A171,'Données projet'!$A$191:$I$211,5,0)),0%,VLOOKUP(A171,'Données projet'!$A$191:$I$211,5,0)*VLOOKUP('Données projet'!$B$15,Paramètres!$A$1:$I$89,7,0))</f>
        <v>0.215</v>
      </c>
      <c r="ET171" s="16">
        <f>IF(ISNA(VLOOKUP(A171,'Données projet'!$A$191:$I$211,6,0)),0%,VLOOKUP(A171,'Données projet'!$A$191:$I$211,6,0)*VLOOKUP('Données projet'!$B$15,Paramètres!$A$1:$I$89,7,0))</f>
        <v>8.6000000000000007E-2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50.372802378531105</v>
      </c>
      <c r="EW171" s="21">
        <f>EXP(-LN(2)/25)*EW170+(1-EXP(-LN(2)/25))/(LN(2)/25)*Calculateur!ER171*Calculateur!ET171*VLOOKUP('Données projet'!$B$15,Paramètres!$A$1:$I$89,3,0)*0.475*44/12</f>
        <v>23.244308038786613</v>
      </c>
      <c r="EX171" s="21">
        <f>EXP(-LN(2)/2)*EX170+(1-EXP(-LN(2)/2))/(LN(2)/2)*ER171*EU171*VLOOKUP('Données projet'!$B$15,Paramètres!$A$1:$I$89,3,0)*0.475*44/12</f>
        <v>1.4419775553350005E-3</v>
      </c>
      <c r="EY171" s="22">
        <f t="shared" si="181"/>
        <v>73.618552394873049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2.5579538487363607E-13</v>
      </c>
      <c r="FF171" s="17">
        <f>FE171*VLOOKUP('Données projet'!$B$16,Paramètres!$A$1:$I$89,3,0)*VLOOKUP('Données projet'!$B$16,Paramètres!$A$1:$I$89,5,0)</f>
        <v>2.7533815227798186E-13</v>
      </c>
      <c r="FG171" s="13">
        <f t="shared" si="182"/>
        <v>3.6763598146902537E-12</v>
      </c>
      <c r="FH171" s="20">
        <f t="shared" si="183"/>
        <v>6.88254062580301E-12</v>
      </c>
      <c r="FI171" s="59">
        <f t="shared" si="131"/>
        <v>293.33333333334019</v>
      </c>
      <c r="FJ171" s="59">
        <f ca="1">AVERAGE(OFFSET($FI$3,0,0,'Données projet'!$E$16+1,1))-AVERAGE(OFFSET($H$3,0,0,'Données projet'!$E$16+1,1))</f>
        <v>415.8741608506952</v>
      </c>
      <c r="FK171" s="59">
        <f t="shared" si="156"/>
        <v>259.15848913719356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63.319665539579695</v>
      </c>
      <c r="FR171" s="21">
        <f>EXP(-LN(2)/25)*FR170+(1-EXP(-LN(2)/25))/(LN(2)/25)*Calculateur!FM171*Calculateur!FO171*VLOOKUP('Données projet'!$B$16,Paramètres!$A$1:$I$89,3,0)*0.475*44/12</f>
        <v>9.7651962904513976</v>
      </c>
      <c r="FS171" s="21">
        <f>EXP(-LN(2)/2)*FS170+(1-EXP(-LN(2)/2))/(LN(2)/2)*FM171*FP171*VLOOKUP('Données projet'!$B$16,Paramètres!$A$1:$I$89,3,0)*0.475*44/12</f>
        <v>1.5450763208216623E-5</v>
      </c>
      <c r="FT171" s="22">
        <f t="shared" si="184"/>
        <v>73.084877280794302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2.5579538487363607E-13</v>
      </c>
      <c r="GA171" s="17">
        <f>FZ171*VLOOKUP('Données projet'!$B$17,Paramètres!$A$1:$I$89,3,0)*VLOOKUP('Données projet'!$B$17,Paramètres!$A$1:$I$89,5,0)</f>
        <v>2.1947244022157976E-13</v>
      </c>
      <c r="GB171" s="13">
        <f t="shared" si="185"/>
        <v>3.0088145886933343E-12</v>
      </c>
      <c r="GC171" s="20">
        <f t="shared" si="186"/>
        <v>5.6225999086934742E-12</v>
      </c>
      <c r="GD171" s="59">
        <f t="shared" si="134"/>
        <v>293.33333333333894</v>
      </c>
      <c r="GE171" s="59">
        <f ca="1">AVERAGE(OFFSET($GD$3,0,0,'Données projet'!$E$17+1,1))-AVERAGE(OFFSET($H$3,0,0,'Données projet'!$E$17+1,1))</f>
        <v>322.39807389980882</v>
      </c>
      <c r="GF171" s="59">
        <f t="shared" si="158"/>
        <v>202.59410055732792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62.209917441144164</v>
      </c>
      <c r="GM171" s="21">
        <f>EXP(-LN(2)/25)*GM170+(1-EXP(-LN(2)/25))/(LN(2)/25)*Calculateur!GH171*Calculateur!GJ171*VLOOKUP('Données projet'!$B$17,Paramètres!$A$1:$I$89,3,0)*0.475*44/12</f>
        <v>9.5940502819905049</v>
      </c>
      <c r="GN171" s="21">
        <f>EXP(-LN(2)/2)*GN170+(1-EXP(-LN(2)/2))/(LN(2)/2)*GH171*GK171*VLOOKUP('Données projet'!$B$17,Paramètres!$A$1:$I$89,3,0)*0.475*44/12</f>
        <v>1.2315825745679931E-5</v>
      </c>
      <c r="GO171" s="21">
        <f t="shared" si="187"/>
        <v>71.803980038960404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61.955399999999784</v>
      </c>
      <c r="D172" s="11">
        <f t="shared" si="140"/>
        <v>17.661728941868066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614.58836376178692</v>
      </c>
      <c r="H172" s="67">
        <f t="shared" si="110"/>
        <v>431.99983290708644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1.5961632016114892E-13</v>
      </c>
      <c r="P172" s="13">
        <f t="shared" si="141"/>
        <v>2.2708641912150958E-12</v>
      </c>
      <c r="Q172" s="20">
        <f t="shared" si="162"/>
        <v>4.2330868906469593E-12</v>
      </c>
      <c r="R172" s="59">
        <f t="shared" si="109"/>
        <v>293.33333333333752</v>
      </c>
      <c r="S172" s="59">
        <f ca="1">AVERAGE(OFFSET($R$3,0,0,'Données projet'!$E$9+1,1))-AVERAGE(OFFSET($H$3,0,0,'Données projet'!$E$9+1,1))</f>
        <v>215.77907571824977</v>
      </c>
      <c r="T172" s="59">
        <f t="shared" si="142"/>
        <v>174.69390149594869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39.989942011103004</v>
      </c>
      <c r="AA172" s="21">
        <f>EXP(-LN(2)/25)*AA171+(1-EXP(-LN(2)/25))/(LN(2)/25)*Calculateur!V172*Calculateur!X172*VLOOKUP('Données projet'!$B$9,Paramètres!$A$1:$I$89,3,0)*0.475*44/12</f>
        <v>7.9354240096840529</v>
      </c>
      <c r="AB172" s="21">
        <f>EXP(-LN(2)/2)*AB171+(1-EXP(-LN(2)/2))/(LN(2)/2)*V172*Y172*VLOOKUP('Données projet'!$B$9,Paramètres!$A$1:$I$89,3,0)*0.475*44/12</f>
        <v>2.9325391183451499E-8</v>
      </c>
      <c r="AC172" s="22">
        <f t="shared" si="163"/>
        <v>47.925366050112451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-1.0197709343628959E-13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171.701352621833</v>
      </c>
      <c r="AO172" s="59">
        <f t="shared" si="144"/>
        <v>195.58435749168586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12.281624408394277</v>
      </c>
      <c r="AV172" s="21">
        <f>EXP(-LN(2)/25)*AV171+(1-EXP(-LN(2)/25))/(LN(2)/25)*Calculateur!AQ172*Calculateur!AS172*VLOOKUP('Données projet'!$B$10,Paramètres!$A$1:$I$89,3,0)*0.475*44/12</f>
        <v>1.9240907433374401</v>
      </c>
      <c r="AW172" s="21">
        <f>EXP(-LN(2)/2)*AW171+(1-EXP(-LN(2)/2))/(LN(2)/2)*AQ172*AT172*VLOOKUP('Données projet'!$B$10,Paramètres!$A$1:$I$89,3,0)*0.475*44/12</f>
        <v>3.5106424423680896E-15</v>
      </c>
      <c r="AX172" s="21">
        <f t="shared" si="166"/>
        <v>14.20571515173172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-1.1823431123048067E-13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348.29124901999882</v>
      </c>
      <c r="BJ172" s="59">
        <f t="shared" si="146"/>
        <v>284.30034973939053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37.293921372856794</v>
      </c>
      <c r="BQ172" s="21">
        <f>EXP(-LN(2)/25)*BQ171+(1-EXP(-LN(2)/25))/(LN(2)/25)*Calculateur!BL172*Calculateur!BN172*VLOOKUP('Données projet'!$B$11,Paramètres!$A$1:$I$89,3,0)*0.475*44/12</f>
        <v>6.5950576785145882</v>
      </c>
      <c r="BR172" s="21">
        <f>EXP(-LN(2)/2)*BR171+(1-EXP(-LN(2)/2))/(LN(2)/2)*BL172*BO172*VLOOKUP('Données projet'!$B$11,Paramètres!$A$1:$I$89,3,0)*0.475*44/12</f>
        <v>3.391078526370064E-12</v>
      </c>
      <c r="BS172" s="22">
        <f t="shared" si="169"/>
        <v>43.888979051374768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-1.3596945791505279E-13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185.82627135915504</v>
      </c>
      <c r="CE172" s="59">
        <f t="shared" si="148"/>
        <v>155.46126452522037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29.361918521801467</v>
      </c>
      <c r="CL172" s="21">
        <f>EXP(-LN(2)/25)*CL171+(1-EXP(-LN(2)/25))/(LN(2)/25)*Calculateur!CG172*Calculateur!CI172*VLOOKUP('Données projet'!$B$12,Paramètres!$A$1:$I$89,3,0)*0.475*44/12</f>
        <v>5.8857718686143592</v>
      </c>
      <c r="CM172" s="21">
        <f>EXP(-LN(2)/2)*CM171+(1-EXP(-LN(2)/2))/(LN(2)/2)*CG172*CJ172*VLOOKUP('Données projet'!$B$12,Paramètres!$A$1:$I$89,3,0)*0.475*44/12</f>
        <v>4.4601071074596037E-8</v>
      </c>
      <c r="CN172" s="22">
        <f t="shared" si="172"/>
        <v>35.247690435016899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-1.2789769243681803E-13</v>
      </c>
      <c r="CU172" s="17">
        <f>CT172*VLOOKUP('Données projet'!$B$13,Paramètres!$A$1:$I$89,3,0)*VLOOKUP('Données projet'!$B$13,Paramètres!$A$1:$I$89,5,0)</f>
        <v>-1.4733814168721438E-13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150.78964413039063</v>
      </c>
      <c r="CZ172" s="59">
        <f t="shared" si="150"/>
        <v>131.90332435966184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16.208751205728507</v>
      </c>
      <c r="DG172" s="21">
        <f>EXP(-LN(2)/25)*DG171+(1-EXP(-LN(2)/25))/(LN(2)/25)*Calculateur!DB172*Calculateur!DD172*VLOOKUP('Données projet'!$B$13,Paramètres!$A$1:$I$89,3,0)*0.475*44/12</f>
        <v>6.4675251398018005</v>
      </c>
      <c r="DH172" s="21">
        <f>EXP(-LN(2)/2)*DH171+(1-EXP(-LN(2)/2))/(LN(2)/2)*DB172*DE172*VLOOKUP('Données projet'!$B$13,Paramètres!$A$1:$I$89,3,0)*0.475*44/12</f>
        <v>2.2559370106680337E-2</v>
      </c>
      <c r="DI172" s="22">
        <f t="shared" si="175"/>
        <v>22.698835715636989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-1.4210854715202004E-14</v>
      </c>
      <c r="DP172" s="17">
        <f>DO172*VLOOKUP('Données projet'!$B$14,Paramètres!$A$1:$I$89,3,0)*VLOOKUP('Données projet'!$B$14,Paramètres!$A$1:$I$89,5,0)</f>
        <v>-1.4853185348329136E-14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110.10595934547638</v>
      </c>
      <c r="DU172" s="59">
        <f t="shared" si="152"/>
        <v>131.10971921141493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5.4738647358343346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5.4738647358343346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7.688333333333337</v>
      </c>
      <c r="EJ172" s="12">
        <f>IF('Données projet'!$A$192&gt;35,EJ171+EI172-ER171,IF(A172&lt;'Données projet'!$A$192,$EG$205^A172,IF(A172='Données projet'!$A$192,'Données projet'!$B$192,EJ171+EI172-ER171)))</f>
        <v>371.96833333333302</v>
      </c>
      <c r="EK172" s="17">
        <f>EJ172*VLOOKUP('Données projet'!$B$15,Paramètres!$A$1:$I$89,3,0)*VLOOKUP('Données projet'!$B$15,Paramètres!$A$1:$I$89,5,0)</f>
        <v>377.1758899999997</v>
      </c>
      <c r="EL172" s="13">
        <f t="shared" si="179"/>
        <v>87.133724046486122</v>
      </c>
      <c r="EM172" s="20">
        <f t="shared" si="180"/>
        <v>808.6725777976294</v>
      </c>
      <c r="EN172" s="59">
        <f t="shared" si="128"/>
        <v>1102.0059111309627</v>
      </c>
      <c r="EO172" s="59">
        <f ca="1">AVERAGE(OFFSET($EN$3,0,0,'Données projet'!$E$15+1,1))-AVERAGE(OFFSET($H$3,0,0,'Données projet'!$E$15+1,1))</f>
        <v>420.38735944595965</v>
      </c>
      <c r="EP172" s="59">
        <f t="shared" si="154"/>
        <v>200.0823542414671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49.385022448263783</v>
      </c>
      <c r="EW172" s="21">
        <f>EXP(-LN(2)/25)*EW171+(1-EXP(-LN(2)/25))/(LN(2)/25)*Calculateur!ER172*Calculateur!ET172*VLOOKUP('Données projet'!$B$15,Paramètres!$A$1:$I$89,3,0)*0.475*44/12</f>
        <v>22.608691213100958</v>
      </c>
      <c r="EX172" s="21">
        <f>EXP(-LN(2)/2)*EX171+(1-EXP(-LN(2)/2))/(LN(2)/2)*ER172*EU172*VLOOKUP('Données projet'!$B$15,Paramètres!$A$1:$I$89,3,0)*0.475*44/12</f>
        <v>1.0196321076961789E-3</v>
      </c>
      <c r="EY172" s="22">
        <f t="shared" si="181"/>
        <v>71.994733293472436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2.5579538487363607E-13</v>
      </c>
      <c r="FF172" s="17">
        <f>FE172*VLOOKUP('Données projet'!$B$16,Paramètres!$A$1:$I$89,3,0)*VLOOKUP('Données projet'!$B$16,Paramètres!$A$1:$I$89,5,0)</f>
        <v>2.7533815227798186E-13</v>
      </c>
      <c r="FG172" s="13">
        <f t="shared" si="182"/>
        <v>3.6763598146902537E-12</v>
      </c>
      <c r="FH172" s="20">
        <f t="shared" si="183"/>
        <v>6.88254062580301E-12</v>
      </c>
      <c r="FI172" s="59">
        <f t="shared" si="131"/>
        <v>293.33333333334019</v>
      </c>
      <c r="FJ172" s="59">
        <f ca="1">AVERAGE(OFFSET($FI$3,0,0,'Données projet'!$E$16+1,1))-AVERAGE(OFFSET($H$3,0,0,'Données projet'!$E$16+1,1))</f>
        <v>415.8741608506952</v>
      </c>
      <c r="FK172" s="59">
        <f t="shared" si="156"/>
        <v>259.15848913719356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62.07800551953099</v>
      </c>
      <c r="FR172" s="21">
        <f>EXP(-LN(2)/25)*FR171+(1-EXP(-LN(2)/25))/(LN(2)/25)*Calculateur!FM172*Calculateur!FO172*VLOOKUP('Données projet'!$B$16,Paramètres!$A$1:$I$89,3,0)*0.475*44/12</f>
        <v>9.4981664843596505</v>
      </c>
      <c r="FS172" s="21">
        <f>EXP(-LN(2)/2)*FS171+(1-EXP(-LN(2)/2))/(LN(2)/2)*FM172*FP172*VLOOKUP('Données projet'!$B$16,Paramètres!$A$1:$I$89,3,0)*0.475*44/12</f>
        <v>1.092533943903759E-5</v>
      </c>
      <c r="FT172" s="22">
        <f t="shared" si="184"/>
        <v>71.576182929230072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2.5579538487363607E-13</v>
      </c>
      <c r="GA172" s="17">
        <f>FZ172*VLOOKUP('Données projet'!$B$17,Paramètres!$A$1:$I$89,3,0)*VLOOKUP('Données projet'!$B$17,Paramètres!$A$1:$I$89,5,0)</f>
        <v>2.1947244022157976E-13</v>
      </c>
      <c r="GB172" s="13">
        <f t="shared" si="185"/>
        <v>3.0088145886933343E-12</v>
      </c>
      <c r="GC172" s="20">
        <f t="shared" si="186"/>
        <v>5.6225999086934742E-12</v>
      </c>
      <c r="GD172" s="59">
        <f t="shared" si="134"/>
        <v>293.33333333333894</v>
      </c>
      <c r="GE172" s="59">
        <f ca="1">AVERAGE(OFFSET($GD$3,0,0,'Données projet'!$E$17+1,1))-AVERAGE(OFFSET($H$3,0,0,'Données projet'!$E$17+1,1))</f>
        <v>322.39807389980882</v>
      </c>
      <c r="GF172" s="59">
        <f t="shared" si="158"/>
        <v>202.59410055732792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60.990018904426279</v>
      </c>
      <c r="GM172" s="21">
        <f>EXP(-LN(2)/25)*GM171+(1-EXP(-LN(2)/25))/(LN(2)/25)*Calculateur!GH172*Calculateur!GJ172*VLOOKUP('Données projet'!$B$17,Paramètres!$A$1:$I$89,3,0)*0.475*44/12</f>
        <v>9.3317004725002981</v>
      </c>
      <c r="GN172" s="21">
        <f>EXP(-LN(2)/2)*GN171+(1-EXP(-LN(2)/2))/(LN(2)/2)*GH172*GK172*VLOOKUP('Données projet'!$B$17,Paramètres!$A$1:$I$89,3,0)*0.475*44/12</f>
        <v>8.7086039006821471E-6</v>
      </c>
      <c r="GO172" s="21">
        <f t="shared" si="187"/>
        <v>70.321728085530481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62.321999999999782</v>
      </c>
      <c r="D173" s="11">
        <f t="shared" si="140"/>
        <v>17.754039836243649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618.13083382363357</v>
      </c>
      <c r="H173" s="67">
        <f t="shared" si="110"/>
        <v>432.79910271479059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1.5961632016114892E-13</v>
      </c>
      <c r="P173" s="13">
        <f t="shared" si="141"/>
        <v>2.2708641912150958E-12</v>
      </c>
      <c r="Q173" s="20">
        <f t="shared" si="162"/>
        <v>4.2330868906469593E-12</v>
      </c>
      <c r="R173" s="59">
        <f t="shared" si="109"/>
        <v>293.33333333333752</v>
      </c>
      <c r="S173" s="59">
        <f ca="1">AVERAGE(OFFSET($R$3,0,0,'Données projet'!$E$9+1,1))-AVERAGE(OFFSET($H$3,0,0,'Données projet'!$E$9+1,1))</f>
        <v>215.77907571824977</v>
      </c>
      <c r="T173" s="59">
        <f t="shared" si="142"/>
        <v>174.69390149594869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39.205763639721447</v>
      </c>
      <c r="AA173" s="21">
        <f>EXP(-LN(2)/25)*AA172+(1-EXP(-LN(2)/25))/(LN(2)/25)*Calculateur!V173*Calculateur!X173*VLOOKUP('Données projet'!$B$9,Paramètres!$A$1:$I$89,3,0)*0.475*44/12</f>
        <v>7.7184294228334309</v>
      </c>
      <c r="AB173" s="21">
        <f>EXP(-LN(2)/2)*AB172+(1-EXP(-LN(2)/2))/(LN(2)/2)*V173*Y173*VLOOKUP('Données projet'!$B$9,Paramètres!$A$1:$I$89,3,0)*0.475*44/12</f>
        <v>2.0736182966766752E-8</v>
      </c>
      <c r="AC173" s="22">
        <f t="shared" si="163"/>
        <v>46.924193083291058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-1.0197709343628959E-13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171.701352621833</v>
      </c>
      <c r="AO173" s="59">
        <f t="shared" si="144"/>
        <v>195.58435749168586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12.040789244796875</v>
      </c>
      <c r="AV173" s="21">
        <f>EXP(-LN(2)/25)*AV172+(1-EXP(-LN(2)/25))/(LN(2)/25)*Calculateur!AQ173*Calculateur!AS173*VLOOKUP('Données projet'!$B$10,Paramètres!$A$1:$I$89,3,0)*0.475*44/12</f>
        <v>1.8714763807773431</v>
      </c>
      <c r="AW173" s="21">
        <f>EXP(-LN(2)/2)*AW172+(1-EXP(-LN(2)/2))/(LN(2)/2)*AQ173*AT173*VLOOKUP('Données projet'!$B$10,Paramètres!$A$1:$I$89,3,0)*0.475*44/12</f>
        <v>2.4823990773197796E-15</v>
      </c>
      <c r="AX173" s="21">
        <f t="shared" si="166"/>
        <v>13.91226562557422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-1.1823431123048067E-13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348.29124901999882</v>
      </c>
      <c r="BJ173" s="59">
        <f t="shared" si="146"/>
        <v>284.30034973939053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36.562610321781023</v>
      </c>
      <c r="BQ173" s="21">
        <f>EXP(-LN(2)/25)*BQ172+(1-EXP(-LN(2)/25))/(LN(2)/25)*Calculateur!BL173*Calculateur!BN173*VLOOKUP('Données projet'!$B$11,Paramètres!$A$1:$I$89,3,0)*0.475*44/12</f>
        <v>6.4147154794765964</v>
      </c>
      <c r="BR173" s="21">
        <f>EXP(-LN(2)/2)*BR172+(1-EXP(-LN(2)/2))/(LN(2)/2)*BL173*BO173*VLOOKUP('Données projet'!$B$11,Paramètres!$A$1:$I$89,3,0)*0.475*44/12</f>
        <v>2.3978546215323569E-12</v>
      </c>
      <c r="BS173" s="22">
        <f t="shared" si="169"/>
        <v>42.977325801260015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-1.3596945791505279E-13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185.82627135915504</v>
      </c>
      <c r="CE173" s="59">
        <f t="shared" si="148"/>
        <v>155.46126452522037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28.786149208590871</v>
      </c>
      <c r="CL173" s="21">
        <f>EXP(-LN(2)/25)*CL172+(1-EXP(-LN(2)/25))/(LN(2)/25)*Calculateur!CG173*Calculateur!CI173*VLOOKUP('Données projet'!$B$12,Paramètres!$A$1:$I$89,3,0)*0.475*44/12</f>
        <v>5.7248251273478088</v>
      </c>
      <c r="CM173" s="21">
        <f>EXP(-LN(2)/2)*CM172+(1-EXP(-LN(2)/2))/(LN(2)/2)*CG173*CJ173*VLOOKUP('Données projet'!$B$12,Paramètres!$A$1:$I$89,3,0)*0.475*44/12</f>
        <v>3.1537719805030033E-8</v>
      </c>
      <c r="CN173" s="22">
        <f t="shared" si="172"/>
        <v>34.510974367476393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-1.2789769243681803E-13</v>
      </c>
      <c r="CU173" s="17">
        <f>CT173*VLOOKUP('Données projet'!$B$13,Paramètres!$A$1:$I$89,3,0)*VLOOKUP('Données projet'!$B$13,Paramètres!$A$1:$I$89,5,0)</f>
        <v>-1.4733814168721438E-13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150.78964413039063</v>
      </c>
      <c r="CZ173" s="59">
        <f t="shared" si="150"/>
        <v>131.90332435966184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15.890907480946209</v>
      </c>
      <c r="DG173" s="21">
        <f>EXP(-LN(2)/25)*DG172+(1-EXP(-LN(2)/25))/(LN(2)/25)*Calculateur!DB173*Calculateur!DD173*VLOOKUP('Données projet'!$B$13,Paramètres!$A$1:$I$89,3,0)*0.475*44/12</f>
        <v>6.290670324741555</v>
      </c>
      <c r="DH173" s="21">
        <f>EXP(-LN(2)/2)*DH172+(1-EXP(-LN(2)/2))/(LN(2)/2)*DB173*DE173*VLOOKUP('Données projet'!$B$13,Paramètres!$A$1:$I$89,3,0)*0.475*44/12</f>
        <v>1.5951883581730754E-2</v>
      </c>
      <c r="DI173" s="22">
        <f t="shared" si="175"/>
        <v>22.197529689269498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-1.4210854715202004E-14</v>
      </c>
      <c r="DP173" s="17">
        <f>DO173*VLOOKUP('Données projet'!$B$14,Paramètres!$A$1:$I$89,3,0)*VLOOKUP('Données projet'!$B$14,Paramètres!$A$1:$I$89,5,0)</f>
        <v>-1.4853185348329136E-14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110.10595934547638</v>
      </c>
      <c r="DU173" s="59">
        <f t="shared" si="152"/>
        <v>131.10971921141493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5.3241816167749088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5.3241816167749088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7.688333333333337</v>
      </c>
      <c r="EJ173" s="12">
        <f>IF('Données projet'!$A$192&gt;35,EJ172+EI173-ER172,IF(A173&lt;'Données projet'!$A$192,$EG$205^A173,IF(A173='Données projet'!$A$192,'Données projet'!$B$192,EJ172+EI173-ER172)))</f>
        <v>379.65666666666635</v>
      </c>
      <c r="EK173" s="17">
        <f>EJ173*VLOOKUP('Données projet'!$B$15,Paramètres!$A$1:$I$89,3,0)*VLOOKUP('Données projet'!$B$15,Paramètres!$A$1:$I$89,5,0)</f>
        <v>384.97185999999971</v>
      </c>
      <c r="EL173" s="13">
        <f t="shared" si="179"/>
        <v>88.723183476832745</v>
      </c>
      <c r="EM173" s="20">
        <f t="shared" si="180"/>
        <v>825.01886738881649</v>
      </c>
      <c r="EN173" s="59">
        <f t="shared" si="128"/>
        <v>1118.3522007221497</v>
      </c>
      <c r="EO173" s="59">
        <f ca="1">AVERAGE(OFFSET($EN$3,0,0,'Données projet'!$E$15+1,1))-AVERAGE(OFFSET($H$3,0,0,'Données projet'!$E$15+1,1))</f>
        <v>420.38735944595965</v>
      </c>
      <c r="EP173" s="59">
        <f t="shared" si="154"/>
        <v>200.0823542414671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48.416612279942733</v>
      </c>
      <c r="EW173" s="21">
        <f>EXP(-LN(2)/25)*EW172+(1-EXP(-LN(2)/25))/(LN(2)/25)*Calculateur!ER173*Calculateur!ET173*VLOOKUP('Données projet'!$B$15,Paramètres!$A$1:$I$89,3,0)*0.475*44/12</f>
        <v>21.990455362939315</v>
      </c>
      <c r="EX173" s="21">
        <f>EXP(-LN(2)/2)*EX172+(1-EXP(-LN(2)/2))/(LN(2)/2)*ER173*EU173*VLOOKUP('Données projet'!$B$15,Paramètres!$A$1:$I$89,3,0)*0.475*44/12</f>
        <v>7.2098877766750026E-4</v>
      </c>
      <c r="EY173" s="22">
        <f t="shared" si="181"/>
        <v>70.407788631659727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2.5579538487363607E-13</v>
      </c>
      <c r="FF173" s="17">
        <f>FE173*VLOOKUP('Données projet'!$B$16,Paramètres!$A$1:$I$89,3,0)*VLOOKUP('Données projet'!$B$16,Paramètres!$A$1:$I$89,5,0)</f>
        <v>2.7533815227798186E-13</v>
      </c>
      <c r="FG173" s="13">
        <f t="shared" si="182"/>
        <v>3.6763598146902537E-12</v>
      </c>
      <c r="FH173" s="20">
        <f t="shared" si="183"/>
        <v>6.88254062580301E-12</v>
      </c>
      <c r="FI173" s="59">
        <f t="shared" si="131"/>
        <v>293.33333333334019</v>
      </c>
      <c r="FJ173" s="59">
        <f ca="1">AVERAGE(OFFSET($FI$3,0,0,'Données projet'!$E$16+1,1))-AVERAGE(OFFSET($H$3,0,0,'Données projet'!$E$16+1,1))</f>
        <v>415.8741608506952</v>
      </c>
      <c r="FK173" s="59">
        <f t="shared" si="156"/>
        <v>259.15848913719356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60.860693695137613</v>
      </c>
      <c r="FR173" s="21">
        <f>EXP(-LN(2)/25)*FR172+(1-EXP(-LN(2)/25))/(LN(2)/25)*Calculateur!FM173*Calculateur!FO173*VLOOKUP('Données projet'!$B$16,Paramètres!$A$1:$I$89,3,0)*0.475*44/12</f>
        <v>9.2384386223579682</v>
      </c>
      <c r="FS173" s="21">
        <f>EXP(-LN(2)/2)*FS172+(1-EXP(-LN(2)/2))/(LN(2)/2)*FM173*FP173*VLOOKUP('Données projet'!$B$16,Paramètres!$A$1:$I$89,3,0)*0.475*44/12</f>
        <v>7.7253816041083113E-6</v>
      </c>
      <c r="FT173" s="22">
        <f t="shared" si="184"/>
        <v>70.099140042877195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2.5579538487363607E-13</v>
      </c>
      <c r="GA173" s="17">
        <f>FZ173*VLOOKUP('Données projet'!$B$17,Paramètres!$A$1:$I$89,3,0)*VLOOKUP('Données projet'!$B$17,Paramètres!$A$1:$I$89,5,0)</f>
        <v>2.1947244022157976E-13</v>
      </c>
      <c r="GB173" s="13">
        <f t="shared" si="185"/>
        <v>3.0088145886933343E-12</v>
      </c>
      <c r="GC173" s="20">
        <f t="shared" si="186"/>
        <v>5.6225999086934742E-12</v>
      </c>
      <c r="GD173" s="59">
        <f t="shared" si="134"/>
        <v>293.33333333333894</v>
      </c>
      <c r="GE173" s="59">
        <f ca="1">AVERAGE(OFFSET($GD$3,0,0,'Données projet'!$E$17+1,1))-AVERAGE(OFFSET($H$3,0,0,'Données projet'!$E$17+1,1))</f>
        <v>322.39807389980882</v>
      </c>
      <c r="GF173" s="59">
        <f t="shared" si="158"/>
        <v>202.59410055732792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59.794041833948796</v>
      </c>
      <c r="GM173" s="21">
        <f>EXP(-LN(2)/25)*GM172+(1-EXP(-LN(2)/25))/(LN(2)/25)*Calculateur!GH173*Calculateur!GJ173*VLOOKUP('Données projet'!$B$17,Paramètres!$A$1:$I$89,3,0)*0.475*44/12</f>
        <v>9.0765246323469775</v>
      </c>
      <c r="GN173" s="21">
        <f>EXP(-LN(2)/2)*GN172+(1-EXP(-LN(2)/2))/(LN(2)/2)*GH173*GK173*VLOOKUP('Données projet'!$B$17,Paramètres!$A$1:$I$89,3,0)*0.475*44/12</f>
        <v>6.1579128728399654E-6</v>
      </c>
      <c r="GO173" s="21">
        <f t="shared" si="187"/>
        <v>68.870572624208648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62.688599999999781</v>
      </c>
      <c r="D174" s="11">
        <f t="shared" si="140"/>
        <v>17.846287546055134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621.6728161449854</v>
      </c>
      <c r="H174" s="67">
        <f t="shared" si="110"/>
        <v>433.59826247604565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1.5961632016114892E-13</v>
      </c>
      <c r="P174" s="13">
        <f t="shared" si="141"/>
        <v>2.2708641912150958E-12</v>
      </c>
      <c r="Q174" s="20">
        <f t="shared" si="162"/>
        <v>4.2330868906469593E-12</v>
      </c>
      <c r="R174" s="59">
        <f t="shared" si="109"/>
        <v>293.33333333333752</v>
      </c>
      <c r="S174" s="59">
        <f ca="1">AVERAGE(OFFSET($R$3,0,0,'Données projet'!$E$9+1,1))-AVERAGE(OFFSET($H$3,0,0,'Données projet'!$E$9+1,1))</f>
        <v>215.77907571824977</v>
      </c>
      <c r="T174" s="59">
        <f t="shared" si="142"/>
        <v>174.69390149594869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38.436962527901102</v>
      </c>
      <c r="AA174" s="21">
        <f>EXP(-LN(2)/25)*AA173+(1-EXP(-LN(2)/25))/(LN(2)/25)*Calculateur!V174*Calculateur!X174*VLOOKUP('Données projet'!$B$9,Paramètres!$A$1:$I$89,3,0)*0.475*44/12</f>
        <v>7.5073685643714878</v>
      </c>
      <c r="AB174" s="21">
        <f>EXP(-LN(2)/2)*AB173+(1-EXP(-LN(2)/2))/(LN(2)/2)*V174*Y174*VLOOKUP('Données projet'!$B$9,Paramètres!$A$1:$I$89,3,0)*0.475*44/12</f>
        <v>1.4662695591725753E-8</v>
      </c>
      <c r="AC174" s="22">
        <f t="shared" si="163"/>
        <v>45.944331106935287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-1.0197709343628959E-13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171.701352621833</v>
      </c>
      <c r="AO174" s="59">
        <f t="shared" si="144"/>
        <v>195.58435749168586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11.804676711862673</v>
      </c>
      <c r="AV174" s="21">
        <f>EXP(-LN(2)/25)*AV173+(1-EXP(-LN(2)/25))/(LN(2)/25)*Calculateur!AQ174*Calculateur!AS174*VLOOKUP('Données projet'!$B$10,Paramètres!$A$1:$I$89,3,0)*0.475*44/12</f>
        <v>1.820300760728321</v>
      </c>
      <c r="AW174" s="21">
        <f>EXP(-LN(2)/2)*AW173+(1-EXP(-LN(2)/2))/(LN(2)/2)*AQ174*AT174*VLOOKUP('Données projet'!$B$10,Paramètres!$A$1:$I$89,3,0)*0.475*44/12</f>
        <v>1.755321221184045E-15</v>
      </c>
      <c r="AX174" s="21">
        <f t="shared" si="166"/>
        <v>13.624977472590995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-1.1823431123048067E-13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348.29124901999882</v>
      </c>
      <c r="BJ174" s="59">
        <f t="shared" si="146"/>
        <v>284.30034973939053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35.845639834361151</v>
      </c>
      <c r="BQ174" s="21">
        <f>EXP(-LN(2)/25)*BQ173+(1-EXP(-LN(2)/25))/(LN(2)/25)*Calculateur!BL174*Calculateur!BN174*VLOOKUP('Données projet'!$B$11,Paramètres!$A$1:$I$89,3,0)*0.475*44/12</f>
        <v>6.2393047473550824</v>
      </c>
      <c r="BR174" s="21">
        <f>EXP(-LN(2)/2)*BR173+(1-EXP(-LN(2)/2))/(LN(2)/2)*BL174*BO174*VLOOKUP('Données projet'!$B$11,Paramètres!$A$1:$I$89,3,0)*0.475*44/12</f>
        <v>1.695539263185032E-12</v>
      </c>
      <c r="BS174" s="22">
        <f t="shared" si="169"/>
        <v>42.084944581717934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-1.3596945791505279E-13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185.82627135915504</v>
      </c>
      <c r="CE174" s="59">
        <f t="shared" si="148"/>
        <v>155.46126452522037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28.221670380427732</v>
      </c>
      <c r="CL174" s="21">
        <f>EXP(-LN(2)/25)*CL173+(1-EXP(-LN(2)/25))/(LN(2)/25)*Calculateur!CG174*Calculateur!CI174*VLOOKUP('Données projet'!$B$12,Paramètres!$A$1:$I$89,3,0)*0.475*44/12</f>
        <v>5.5682794831850142</v>
      </c>
      <c r="CM174" s="21">
        <f>EXP(-LN(2)/2)*CM173+(1-EXP(-LN(2)/2))/(LN(2)/2)*CG174*CJ174*VLOOKUP('Données projet'!$B$12,Paramètres!$A$1:$I$89,3,0)*0.475*44/12</f>
        <v>2.2300535537298019E-8</v>
      </c>
      <c r="CN174" s="22">
        <f t="shared" si="172"/>
        <v>33.789949885913281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-1.2789769243681803E-13</v>
      </c>
      <c r="CU174" s="17">
        <f>CT174*VLOOKUP('Données projet'!$B$13,Paramètres!$A$1:$I$89,3,0)*VLOOKUP('Données projet'!$B$13,Paramètres!$A$1:$I$89,5,0)</f>
        <v>-1.4733814168721438E-13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150.78964413039063</v>
      </c>
      <c r="CZ174" s="59">
        <f t="shared" si="150"/>
        <v>131.90332435966184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15.579296477741362</v>
      </c>
      <c r="DG174" s="21">
        <f>EXP(-LN(2)/25)*DG173+(1-EXP(-LN(2)/25))/(LN(2)/25)*Calculateur!DB174*Calculateur!DD174*VLOOKUP('Données projet'!$B$13,Paramètres!$A$1:$I$89,3,0)*0.475*44/12</f>
        <v>6.1186516138995222</v>
      </c>
      <c r="DH174" s="21">
        <f>EXP(-LN(2)/2)*DH173+(1-EXP(-LN(2)/2))/(LN(2)/2)*DB174*DE174*VLOOKUP('Données projet'!$B$13,Paramètres!$A$1:$I$89,3,0)*0.475*44/12</f>
        <v>1.1279685053340168E-2</v>
      </c>
      <c r="DI174" s="22">
        <f t="shared" si="175"/>
        <v>21.709227776694224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-1.4210854715202004E-14</v>
      </c>
      <c r="DP174" s="17">
        <f>DO174*VLOOKUP('Données projet'!$B$14,Paramètres!$A$1:$I$89,3,0)*VLOOKUP('Données projet'!$B$14,Paramètres!$A$1:$I$89,5,0)</f>
        <v>-1.4853185348329136E-14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110.10595934547638</v>
      </c>
      <c r="DU174" s="59">
        <f t="shared" si="152"/>
        <v>131.10971921141493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5.178591590477656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5.178591590477656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7.688333333333337</v>
      </c>
      <c r="EJ174" s="12">
        <f>IF('Données projet'!$A$192&gt;35,EJ173+EI174-ER173,IF(A174&lt;'Données projet'!$A$192,$EG$205^A174,IF(A174='Données projet'!$A$192,'Données projet'!$B$192,EJ173+EI174-ER173)))</f>
        <v>387.34499999999969</v>
      </c>
      <c r="EK174" s="17">
        <f>EJ174*VLOOKUP('Données projet'!$B$15,Paramètres!$A$1:$I$89,3,0)*VLOOKUP('Données projet'!$B$15,Paramètres!$A$1:$I$89,5,0)</f>
        <v>392.76782999999972</v>
      </c>
      <c r="EL174" s="13">
        <f t="shared" si="179"/>
        <v>90.308900394988783</v>
      </c>
      <c r="EM174" s="20">
        <f t="shared" si="180"/>
        <v>841.35863877127156</v>
      </c>
      <c r="EN174" s="59">
        <f t="shared" si="128"/>
        <v>1134.6919721046049</v>
      </c>
      <c r="EO174" s="59">
        <f ca="1">AVERAGE(OFFSET($EN$3,0,0,'Données projet'!$E$15+1,1))-AVERAGE(OFFSET($H$3,0,0,'Données projet'!$E$15+1,1))</f>
        <v>420.38735944595965</v>
      </c>
      <c r="EP174" s="59">
        <f t="shared" si="154"/>
        <v>200.0823542414671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47.467192044350583</v>
      </c>
      <c r="EW174" s="21">
        <f>EXP(-LN(2)/25)*EW173+(1-EXP(-LN(2)/25))/(LN(2)/25)*Calculateur!ER174*Calculateur!ET174*VLOOKUP('Données projet'!$B$15,Paramètres!$A$1:$I$89,3,0)*0.475*44/12</f>
        <v>21.38912520461195</v>
      </c>
      <c r="EX174" s="21">
        <f>EXP(-LN(2)/2)*EX173+(1-EXP(-LN(2)/2))/(LN(2)/2)*ER174*EU174*VLOOKUP('Données projet'!$B$15,Paramètres!$A$1:$I$89,3,0)*0.475*44/12</f>
        <v>5.0981605384808947E-4</v>
      </c>
      <c r="EY174" s="22">
        <f t="shared" si="181"/>
        <v>68.85682706501639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2.5579538487363607E-13</v>
      </c>
      <c r="FF174" s="17">
        <f>FE174*VLOOKUP('Données projet'!$B$16,Paramètres!$A$1:$I$89,3,0)*VLOOKUP('Données projet'!$B$16,Paramètres!$A$1:$I$89,5,0)</f>
        <v>2.7533815227798186E-13</v>
      </c>
      <c r="FG174" s="13">
        <f t="shared" si="182"/>
        <v>3.6763598146902537E-12</v>
      </c>
      <c r="FH174" s="20">
        <f t="shared" si="183"/>
        <v>6.88254062580301E-12</v>
      </c>
      <c r="FI174" s="59">
        <f t="shared" si="131"/>
        <v>293.33333333334019</v>
      </c>
      <c r="FJ174" s="59">
        <f ca="1">AVERAGE(OFFSET($FI$3,0,0,'Données projet'!$E$16+1,1))-AVERAGE(OFFSET($H$3,0,0,'Données projet'!$E$16+1,1))</f>
        <v>415.8741608506952</v>
      </c>
      <c r="FK174" s="59">
        <f t="shared" si="156"/>
        <v>259.15848913719356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59.667252613133691</v>
      </c>
      <c r="FR174" s="21">
        <f>EXP(-LN(2)/25)*FR173+(1-EXP(-LN(2)/25))/(LN(2)/25)*Calculateur!FM174*Calculateur!FO174*VLOOKUP('Données projet'!$B$16,Paramètres!$A$1:$I$89,3,0)*0.475*44/12</f>
        <v>8.985813032401218</v>
      </c>
      <c r="FS174" s="21">
        <f>EXP(-LN(2)/2)*FS173+(1-EXP(-LN(2)/2))/(LN(2)/2)*FM174*FP174*VLOOKUP('Données projet'!$B$16,Paramètres!$A$1:$I$89,3,0)*0.475*44/12</f>
        <v>5.4626697195187952E-6</v>
      </c>
      <c r="FT174" s="22">
        <f t="shared" si="184"/>
        <v>68.653071108204628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2.5579538487363607E-13</v>
      </c>
      <c r="GA174" s="17">
        <f>FZ174*VLOOKUP('Données projet'!$B$17,Paramètres!$A$1:$I$89,3,0)*VLOOKUP('Données projet'!$B$17,Paramètres!$A$1:$I$89,5,0)</f>
        <v>2.1947244022157976E-13</v>
      </c>
      <c r="GB174" s="13">
        <f t="shared" si="185"/>
        <v>3.0088145886933343E-12</v>
      </c>
      <c r="GC174" s="20">
        <f t="shared" si="186"/>
        <v>5.6225999086934742E-12</v>
      </c>
      <c r="GD174" s="59">
        <f t="shared" si="134"/>
        <v>293.33333333333894</v>
      </c>
      <c r="GE174" s="59">
        <f ca="1">AVERAGE(OFFSET($GD$3,0,0,'Données projet'!$E$17+1,1))-AVERAGE(OFFSET($H$3,0,0,'Données projet'!$E$17+1,1))</f>
        <v>322.39807389980882</v>
      </c>
      <c r="GF174" s="59">
        <f t="shared" si="158"/>
        <v>202.59410055732792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58.62151714434939</v>
      </c>
      <c r="GM174" s="21">
        <f>EXP(-LN(2)/25)*GM173+(1-EXP(-LN(2)/25))/(LN(2)/25)*Calculateur!GH174*Calculateur!GJ174*VLOOKUP('Données projet'!$B$17,Paramètres!$A$1:$I$89,3,0)*0.475*44/12</f>
        <v>8.8283265889617635</v>
      </c>
      <c r="GN174" s="21">
        <f>EXP(-LN(2)/2)*GN173+(1-EXP(-LN(2)/2))/(LN(2)/2)*GH174*GK174*VLOOKUP('Données projet'!$B$17,Paramètres!$A$1:$I$89,3,0)*0.475*44/12</f>
        <v>4.3543019503410735E-6</v>
      </c>
      <c r="GO174" s="21">
        <f t="shared" si="187"/>
        <v>67.449848087613105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63.055199999999779</v>
      </c>
      <c r="D175" s="11">
        <f t="shared" si="140"/>
        <v>17.938472483677092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625.21431390908469</v>
      </c>
      <c r="H175" s="67">
        <f t="shared" si="110"/>
        <v>434.39731290907054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1.5961632016114892E-13</v>
      </c>
      <c r="P175" s="13">
        <f t="shared" si="141"/>
        <v>2.2708641912150958E-12</v>
      </c>
      <c r="Q175" s="20">
        <f t="shared" si="162"/>
        <v>4.2330868906469593E-12</v>
      </c>
      <c r="R175" s="59">
        <f t="shared" si="109"/>
        <v>293.33333333333752</v>
      </c>
      <c r="S175" s="59">
        <f ca="1">AVERAGE(OFFSET($R$3,0,0,'Données projet'!$E$9+1,1))-AVERAGE(OFFSET($H$3,0,0,'Données projet'!$E$9+1,1))</f>
        <v>215.77907571824977</v>
      </c>
      <c r="T175" s="59">
        <f t="shared" si="142"/>
        <v>174.69390149594869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37.683237136961175</v>
      </c>
      <c r="AA175" s="21">
        <f>EXP(-LN(2)/25)*AA174+(1-EXP(-LN(2)/25))/(LN(2)/25)*Calculateur!V175*Calculateur!X175*VLOOKUP('Données projet'!$B$9,Paramètres!$A$1:$I$89,3,0)*0.475*44/12</f>
        <v>7.302079176183395</v>
      </c>
      <c r="AB175" s="21">
        <f>EXP(-LN(2)/2)*AB174+(1-EXP(-LN(2)/2))/(LN(2)/2)*V175*Y175*VLOOKUP('Données projet'!$B$9,Paramètres!$A$1:$I$89,3,0)*0.475*44/12</f>
        <v>1.0368091483383377E-8</v>
      </c>
      <c r="AC175" s="22">
        <f t="shared" si="163"/>
        <v>44.985316323512663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-1.0197709343628959E-13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171.701352621833</v>
      </c>
      <c r="AO175" s="59">
        <f t="shared" si="144"/>
        <v>195.58435749168586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11.573194201684885</v>
      </c>
      <c r="AV175" s="21">
        <f>EXP(-LN(2)/25)*AV174+(1-EXP(-LN(2)/25))/(LN(2)/25)*Calculateur!AQ175*Calculateur!AS175*VLOOKUP('Données projet'!$B$10,Paramètres!$A$1:$I$89,3,0)*0.475*44/12</f>
        <v>1.7705245407007484</v>
      </c>
      <c r="AW175" s="21">
        <f>EXP(-LN(2)/2)*AW174+(1-EXP(-LN(2)/2))/(LN(2)/2)*AQ175*AT175*VLOOKUP('Données projet'!$B$10,Paramètres!$A$1:$I$89,3,0)*0.475*44/12</f>
        <v>1.24119953865989E-15</v>
      </c>
      <c r="AX175" s="21">
        <f t="shared" si="166"/>
        <v>13.343718742385635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-1.1823431123048067E-13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348.29124901999882</v>
      </c>
      <c r="BJ175" s="59">
        <f t="shared" si="146"/>
        <v>284.30034973939053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35.142728700890771</v>
      </c>
      <c r="BQ175" s="21">
        <f>EXP(-LN(2)/25)*BQ174+(1-EXP(-LN(2)/25))/(LN(2)/25)*Calculateur!BL175*Calculateur!BN175*VLOOKUP('Données projet'!$B$11,Paramètres!$A$1:$I$89,3,0)*0.475*44/12</f>
        <v>6.0686906309278807</v>
      </c>
      <c r="BR175" s="21">
        <f>EXP(-LN(2)/2)*BR174+(1-EXP(-LN(2)/2))/(LN(2)/2)*BL175*BO175*VLOOKUP('Données projet'!$B$11,Paramètres!$A$1:$I$89,3,0)*0.475*44/12</f>
        <v>1.1989273107661784E-12</v>
      </c>
      <c r="BS175" s="22">
        <f t="shared" si="169"/>
        <v>41.211419331819855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-1.3596945791505279E-13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185.82627135915504</v>
      </c>
      <c r="CE175" s="59">
        <f t="shared" si="148"/>
        <v>155.46126452522037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27.668260637786783</v>
      </c>
      <c r="CL175" s="21">
        <f>EXP(-LN(2)/25)*CL174+(1-EXP(-LN(2)/25))/(LN(2)/25)*Calculateur!CG175*Calculateur!CI175*VLOOKUP('Données projet'!$B$12,Paramètres!$A$1:$I$89,3,0)*0.475*44/12</f>
        <v>5.4160145878942281</v>
      </c>
      <c r="CM175" s="21">
        <f>EXP(-LN(2)/2)*CM174+(1-EXP(-LN(2)/2))/(LN(2)/2)*CG175*CJ175*VLOOKUP('Données projet'!$B$12,Paramètres!$A$1:$I$89,3,0)*0.475*44/12</f>
        <v>1.5768859902515017E-8</v>
      </c>
      <c r="CN175" s="22">
        <f t="shared" si="172"/>
        <v>33.084275241449873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-1.2789769243681803E-13</v>
      </c>
      <c r="CU175" s="17">
        <f>CT175*VLOOKUP('Données projet'!$B$13,Paramètres!$A$1:$I$89,3,0)*VLOOKUP('Données projet'!$B$13,Paramètres!$A$1:$I$89,5,0)</f>
        <v>-1.4733814168721438E-13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150.78964413039063</v>
      </c>
      <c r="CZ175" s="59">
        <f t="shared" si="150"/>
        <v>131.90332435966184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15.273795976245419</v>
      </c>
      <c r="DG175" s="21">
        <f>EXP(-LN(2)/25)*DG174+(1-EXP(-LN(2)/25))/(LN(2)/25)*Calculateur!DB175*Calculateur!DD175*VLOOKUP('Données projet'!$B$13,Paramètres!$A$1:$I$89,3,0)*0.475*44/12</f>
        <v>5.9513367637515353</v>
      </c>
      <c r="DH175" s="21">
        <f>EXP(-LN(2)/2)*DH174+(1-EXP(-LN(2)/2))/(LN(2)/2)*DB175*DE175*VLOOKUP('Données projet'!$B$13,Paramètres!$A$1:$I$89,3,0)*0.475*44/12</f>
        <v>7.9759417908653769E-3</v>
      </c>
      <c r="DI175" s="22">
        <f t="shared" si="175"/>
        <v>21.233108681787819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-1.4210854715202004E-14</v>
      </c>
      <c r="DP175" s="17">
        <f>DO175*VLOOKUP('Données projet'!$B$14,Paramètres!$A$1:$I$89,3,0)*VLOOKUP('Données projet'!$B$14,Paramètres!$A$1:$I$89,5,0)</f>
        <v>-1.4853185348329136E-14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110.10595934547638</v>
      </c>
      <c r="DU175" s="59">
        <f t="shared" si="152"/>
        <v>131.10971921141493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5.0369827311057485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5.0369827311057485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7.688333333333337</v>
      </c>
      <c r="EJ175" s="12">
        <f>IF('Données projet'!$A$192&gt;35,EJ174+EI175-ER174,IF(A175&lt;'Données projet'!$A$192,$EG$205^A175,IF(A175='Données projet'!$A$192,'Données projet'!$B$192,EJ174+EI175-ER174)))</f>
        <v>395.03333333333302</v>
      </c>
      <c r="EK175" s="17">
        <f>EJ175*VLOOKUP('Données projet'!$B$15,Paramètres!$A$1:$I$89,3,0)*VLOOKUP('Données projet'!$B$15,Paramètres!$A$1:$I$89,5,0)</f>
        <v>400.56379999999973</v>
      </c>
      <c r="EL175" s="13">
        <f t="shared" si="179"/>
        <v>91.890957647280629</v>
      </c>
      <c r="EM175" s="20">
        <f t="shared" si="180"/>
        <v>857.69203623567989</v>
      </c>
      <c r="EN175" s="59">
        <f t="shared" si="128"/>
        <v>1151.0253695690133</v>
      </c>
      <c r="EO175" s="59">
        <f ca="1">AVERAGE(OFFSET($EN$3,0,0,'Données projet'!$E$15+1,1))-AVERAGE(OFFSET($H$3,0,0,'Données projet'!$E$15+1,1))</f>
        <v>420.38735944595965</v>
      </c>
      <c r="EP175" s="59">
        <f t="shared" si="154"/>
        <v>200.0823542414671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46.536389360489231</v>
      </c>
      <c r="EW175" s="21">
        <f>EXP(-LN(2)/25)*EW174+(1-EXP(-LN(2)/25))/(LN(2)/25)*Calculateur!ER175*Calculateur!ET175*VLOOKUP('Données projet'!$B$15,Paramètres!$A$1:$I$89,3,0)*0.475*44/12</f>
        <v>20.804238451086629</v>
      </c>
      <c r="EX175" s="21">
        <f>EXP(-LN(2)/2)*EX174+(1-EXP(-LN(2)/2))/(LN(2)/2)*ER175*EU175*VLOOKUP('Données projet'!$B$15,Paramètres!$A$1:$I$89,3,0)*0.475*44/12</f>
        <v>3.6049438883375013E-4</v>
      </c>
      <c r="EY175" s="22">
        <f t="shared" si="181"/>
        <v>67.340988305964686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2.5579538487363607E-13</v>
      </c>
      <c r="FF175" s="17">
        <f>FE175*VLOOKUP('Données projet'!$B$16,Paramètres!$A$1:$I$89,3,0)*VLOOKUP('Données projet'!$B$16,Paramètres!$A$1:$I$89,5,0)</f>
        <v>2.7533815227798186E-13</v>
      </c>
      <c r="FG175" s="13">
        <f t="shared" si="182"/>
        <v>3.6763598146902537E-12</v>
      </c>
      <c r="FH175" s="20">
        <f t="shared" si="183"/>
        <v>6.88254062580301E-12</v>
      </c>
      <c r="FI175" s="59">
        <f t="shared" si="131"/>
        <v>293.33333333334019</v>
      </c>
      <c r="FJ175" s="59">
        <f ca="1">AVERAGE(OFFSET($FI$3,0,0,'Données projet'!$E$16+1,1))-AVERAGE(OFFSET($H$3,0,0,'Données projet'!$E$16+1,1))</f>
        <v>415.8741608506952</v>
      </c>
      <c r="FK175" s="59">
        <f t="shared" si="156"/>
        <v>259.15848913719356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58.497214182820677</v>
      </c>
      <c r="FR175" s="21">
        <f>EXP(-LN(2)/25)*FR174+(1-EXP(-LN(2)/25))/(LN(2)/25)*Calculateur!FM175*Calculateur!FO175*VLOOKUP('Données projet'!$B$16,Paramètres!$A$1:$I$89,3,0)*0.475*44/12</f>
        <v>8.7400955024868363</v>
      </c>
      <c r="FS175" s="21">
        <f>EXP(-LN(2)/2)*FS174+(1-EXP(-LN(2)/2))/(LN(2)/2)*FM175*FP175*VLOOKUP('Données projet'!$B$16,Paramètres!$A$1:$I$89,3,0)*0.475*44/12</f>
        <v>3.8626908020541557E-6</v>
      </c>
      <c r="FT175" s="22">
        <f t="shared" si="184"/>
        <v>67.237313547998312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2.5579538487363607E-13</v>
      </c>
      <c r="GA175" s="17">
        <f>FZ175*VLOOKUP('Données projet'!$B$17,Paramètres!$A$1:$I$89,3,0)*VLOOKUP('Données projet'!$B$17,Paramètres!$A$1:$I$89,5,0)</f>
        <v>2.1947244022157976E-13</v>
      </c>
      <c r="GB175" s="13">
        <f t="shared" si="185"/>
        <v>3.0088145886933343E-12</v>
      </c>
      <c r="GC175" s="20">
        <f t="shared" si="186"/>
        <v>5.6225999086934742E-12</v>
      </c>
      <c r="GD175" s="59">
        <f t="shared" si="134"/>
        <v>293.33333333333894</v>
      </c>
      <c r="GE175" s="59">
        <f ca="1">AVERAGE(OFFSET($GD$3,0,0,'Données projet'!$E$17+1,1))-AVERAGE(OFFSET($H$3,0,0,'Données projet'!$E$17+1,1))</f>
        <v>322.39807389980882</v>
      </c>
      <c r="GF175" s="59">
        <f t="shared" si="158"/>
        <v>202.59410055732792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57.471984948743582</v>
      </c>
      <c r="GM175" s="21">
        <f>EXP(-LN(2)/25)*GM174+(1-EXP(-LN(2)/25))/(LN(2)/25)*Calculateur!GH175*Calculateur!GJ175*VLOOKUP('Données projet'!$B$17,Paramètres!$A$1:$I$89,3,0)*0.475*44/12</f>
        <v>8.5869155341250867</v>
      </c>
      <c r="GN175" s="21">
        <f>EXP(-LN(2)/2)*GN174+(1-EXP(-LN(2)/2))/(LN(2)/2)*GH175*GK175*VLOOKUP('Données projet'!$B$17,Paramètres!$A$1:$I$89,3,0)*0.475*44/12</f>
        <v>3.0789564364199827E-6</v>
      </c>
      <c r="GO175" s="21">
        <f t="shared" si="187"/>
        <v>66.058903561825105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63.421799999999777</v>
      </c>
      <c r="D176" s="11">
        <f t="shared" si="140"/>
        <v>18.030595056411602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628.75533026001767</v>
      </c>
      <c r="H176" s="67">
        <f t="shared" si="110"/>
        <v>435.19625472324981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1.5961632016114892E-13</v>
      </c>
      <c r="P176" s="13">
        <f t="shared" si="141"/>
        <v>2.2708641912150958E-12</v>
      </c>
      <c r="Q176" s="20">
        <f t="shared" si="162"/>
        <v>4.2330868906469593E-12</v>
      </c>
      <c r="R176" s="59">
        <f t="shared" si="109"/>
        <v>293.33333333333752</v>
      </c>
      <c r="S176" s="59">
        <f ca="1">AVERAGE(OFFSET($R$3,0,0,'Données projet'!$E$9+1,1))-AVERAGE(OFFSET($H$3,0,0,'Données projet'!$E$9+1,1))</f>
        <v>215.77907571824977</v>
      </c>
      <c r="T176" s="59">
        <f t="shared" si="142"/>
        <v>174.69390149594869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36.944291841210486</v>
      </c>
      <c r="AA176" s="21">
        <f>EXP(-LN(2)/25)*AA175+(1-EXP(-LN(2)/25))/(LN(2)/25)*Calculateur!V176*Calculateur!X176*VLOOKUP('Données projet'!$B$9,Paramètres!$A$1:$I$89,3,0)*0.475*44/12</f>
        <v>7.102403437111005</v>
      </c>
      <c r="AB176" s="21">
        <f>EXP(-LN(2)/2)*AB175+(1-EXP(-LN(2)/2))/(LN(2)/2)*V176*Y176*VLOOKUP('Données projet'!$B$9,Paramètres!$A$1:$I$89,3,0)*0.475*44/12</f>
        <v>7.3313477958628773E-9</v>
      </c>
      <c r="AC176" s="22">
        <f t="shared" si="163"/>
        <v>44.046695285652838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-1.0197709343628959E-13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171.701352621833</v>
      </c>
      <c r="AO176" s="59">
        <f t="shared" si="144"/>
        <v>195.58435749168586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11.346250922341294</v>
      </c>
      <c r="AV176" s="21">
        <f>EXP(-LN(2)/25)*AV175+(1-EXP(-LN(2)/25))/(LN(2)/25)*Calculateur!AQ176*Calculateur!AS176*VLOOKUP('Données projet'!$B$10,Paramètres!$A$1:$I$89,3,0)*0.475*44/12</f>
        <v>1.7221094540274473</v>
      </c>
      <c r="AW176" s="21">
        <f>EXP(-LN(2)/2)*AW175+(1-EXP(-LN(2)/2))/(LN(2)/2)*AQ176*AT176*VLOOKUP('Données projet'!$B$10,Paramètres!$A$1:$I$89,3,0)*0.475*44/12</f>
        <v>8.7766061059202269E-16</v>
      </c>
      <c r="AX176" s="21">
        <f t="shared" si="166"/>
        <v>13.068360376368741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-1.1823431123048067E-13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348.29124901999882</v>
      </c>
      <c r="BJ176" s="59">
        <f t="shared" si="146"/>
        <v>284.30034973939053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34.453601226014285</v>
      </c>
      <c r="BQ176" s="21">
        <f>EXP(-LN(2)/25)*BQ175+(1-EXP(-LN(2)/25))/(LN(2)/25)*Calculateur!BL176*Calculateur!BN176*VLOOKUP('Données projet'!$B$11,Paramètres!$A$1:$I$89,3,0)*0.475*44/12</f>
        <v>5.9027419664865874</v>
      </c>
      <c r="BR176" s="21">
        <f>EXP(-LN(2)/2)*BR175+(1-EXP(-LN(2)/2))/(LN(2)/2)*BL176*BO176*VLOOKUP('Données projet'!$B$11,Paramètres!$A$1:$I$89,3,0)*0.475*44/12</f>
        <v>8.47769631592516E-13</v>
      </c>
      <c r="BS176" s="22">
        <f t="shared" si="169"/>
        <v>40.356343192501718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-1.3596945791505279E-13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185.82627135915504</v>
      </c>
      <c r="CE176" s="59">
        <f t="shared" si="148"/>
        <v>155.46126452522037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27.125702922652408</v>
      </c>
      <c r="CL176" s="21">
        <f>EXP(-LN(2)/25)*CL175+(1-EXP(-LN(2)/25))/(LN(2)/25)*Calculateur!CG176*Calculateur!CI176*VLOOKUP('Données projet'!$B$12,Paramètres!$A$1:$I$89,3,0)*0.475*44/12</f>
        <v>5.2679133841724317</v>
      </c>
      <c r="CM176" s="21">
        <f>EXP(-LN(2)/2)*CM175+(1-EXP(-LN(2)/2))/(LN(2)/2)*CG176*CJ176*VLOOKUP('Données projet'!$B$12,Paramètres!$A$1:$I$89,3,0)*0.475*44/12</f>
        <v>1.1150267768649009E-8</v>
      </c>
      <c r="CN176" s="22">
        <f t="shared" si="172"/>
        <v>32.393616317975109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-1.2789769243681803E-13</v>
      </c>
      <c r="CU176" s="17">
        <f>CT176*VLOOKUP('Données projet'!$B$13,Paramètres!$A$1:$I$89,3,0)*VLOOKUP('Données projet'!$B$13,Paramètres!$A$1:$I$89,5,0)</f>
        <v>-1.4733814168721438E-13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150.78964413039063</v>
      </c>
      <c r="CZ176" s="59">
        <f t="shared" si="150"/>
        <v>131.90332435966184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14.974286153246902</v>
      </c>
      <c r="DG176" s="21">
        <f>EXP(-LN(2)/25)*DG175+(1-EXP(-LN(2)/25))/(LN(2)/25)*Calculateur!DB176*Calculateur!DD176*VLOOKUP('Données projet'!$B$13,Paramètres!$A$1:$I$89,3,0)*0.475*44/12</f>
        <v>5.7885971469795514</v>
      </c>
      <c r="DH176" s="21">
        <f>EXP(-LN(2)/2)*DH175+(1-EXP(-LN(2)/2))/(LN(2)/2)*DB176*DE176*VLOOKUP('Données projet'!$B$13,Paramètres!$A$1:$I$89,3,0)*0.475*44/12</f>
        <v>5.6398425266700842E-3</v>
      </c>
      <c r="DI176" s="22">
        <f t="shared" si="175"/>
        <v>20.768523142753125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-1.4210854715202004E-14</v>
      </c>
      <c r="DP176" s="17">
        <f>DO176*VLOOKUP('Données projet'!$B$14,Paramètres!$A$1:$I$89,3,0)*VLOOKUP('Données projet'!$B$14,Paramètres!$A$1:$I$89,5,0)</f>
        <v>-1.4853185348329136E-14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110.10595934547638</v>
      </c>
      <c r="DU176" s="59">
        <f t="shared" si="152"/>
        <v>131.10971921141493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4.8992461734402522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4.8992461734402522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7.688333333333337</v>
      </c>
      <c r="EJ176" s="12">
        <f>IF('Données projet'!$A$192&gt;35,EJ175+EI176-ER175,IF(A176&lt;'Données projet'!$A$192,$EG$205^A176,IF(A176='Données projet'!$A$192,'Données projet'!$B$192,EJ175+EI176-ER175)))</f>
        <v>402.72166666666635</v>
      </c>
      <c r="EK176" s="17">
        <f>EJ176*VLOOKUP('Données projet'!$B$15,Paramètres!$A$1:$I$89,3,0)*VLOOKUP('Données projet'!$B$15,Paramètres!$A$1:$I$89,5,0)</f>
        <v>408.35976999999968</v>
      </c>
      <c r="EL176" s="13">
        <f t="shared" si="179"/>
        <v>93.469434670776693</v>
      </c>
      <c r="EM176" s="20">
        <f t="shared" si="180"/>
        <v>874.01919813493544</v>
      </c>
      <c r="EN176" s="59">
        <f t="shared" si="128"/>
        <v>1167.3525314682688</v>
      </c>
      <c r="EO176" s="59">
        <f ca="1">AVERAGE(OFFSET($EN$3,0,0,'Données projet'!$E$15+1,1))-AVERAGE(OFFSET($H$3,0,0,'Données projet'!$E$15+1,1))</f>
        <v>420.38735944595965</v>
      </c>
      <c r="EP176" s="59">
        <f t="shared" si="154"/>
        <v>200.0823542414671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45.623839149524819</v>
      </c>
      <c r="EW176" s="21">
        <f>EXP(-LN(2)/25)*EW175+(1-EXP(-LN(2)/25))/(LN(2)/25)*Calculateur!ER176*Calculateur!ET176*VLOOKUP('Données projet'!$B$15,Paramètres!$A$1:$I$89,3,0)*0.475*44/12</f>
        <v>20.235345456594313</v>
      </c>
      <c r="EX176" s="21">
        <f>EXP(-LN(2)/2)*EX175+(1-EXP(-LN(2)/2))/(LN(2)/2)*ER176*EU176*VLOOKUP('Données projet'!$B$15,Paramètres!$A$1:$I$89,3,0)*0.475*44/12</f>
        <v>2.5490802692404473E-4</v>
      </c>
      <c r="EY176" s="22">
        <f t="shared" si="181"/>
        <v>65.859439514146047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2.5579538487363607E-13</v>
      </c>
      <c r="FF176" s="17">
        <f>FE176*VLOOKUP('Données projet'!$B$16,Paramètres!$A$1:$I$89,3,0)*VLOOKUP('Données projet'!$B$16,Paramètres!$A$1:$I$89,5,0)</f>
        <v>2.7533815227798186E-13</v>
      </c>
      <c r="FG176" s="13">
        <f t="shared" si="182"/>
        <v>3.6763598146902537E-12</v>
      </c>
      <c r="FH176" s="20">
        <f t="shared" si="183"/>
        <v>6.88254062580301E-12</v>
      </c>
      <c r="FI176" s="59">
        <f t="shared" si="131"/>
        <v>293.33333333334019</v>
      </c>
      <c r="FJ176" s="59">
        <f ca="1">AVERAGE(OFFSET($FI$3,0,0,'Données projet'!$E$16+1,1))-AVERAGE(OFFSET($H$3,0,0,'Données projet'!$E$16+1,1))</f>
        <v>415.8741608506952</v>
      </c>
      <c r="FK176" s="59">
        <f t="shared" si="156"/>
        <v>259.15848913719356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57.350119492473127</v>
      </c>
      <c r="FR176" s="21">
        <f>EXP(-LN(2)/25)*FR175+(1-EXP(-LN(2)/25))/(LN(2)/25)*Calculateur!FM176*Calculateur!FO176*VLOOKUP('Données projet'!$B$16,Paramètres!$A$1:$I$89,3,0)*0.475*44/12</f>
        <v>8.5010971313496864</v>
      </c>
      <c r="FS176" s="21">
        <f>EXP(-LN(2)/2)*FS175+(1-EXP(-LN(2)/2))/(LN(2)/2)*FM176*FP176*VLOOKUP('Données projet'!$B$16,Paramètres!$A$1:$I$89,3,0)*0.475*44/12</f>
        <v>2.7313348597593976E-6</v>
      </c>
      <c r="FT176" s="22">
        <f t="shared" si="184"/>
        <v>65.851219355157667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2.5579538487363607E-13</v>
      </c>
      <c r="GA176" s="17">
        <f>FZ176*VLOOKUP('Données projet'!$B$17,Paramètres!$A$1:$I$89,3,0)*VLOOKUP('Données projet'!$B$17,Paramètres!$A$1:$I$89,5,0)</f>
        <v>2.1947244022157976E-13</v>
      </c>
      <c r="GB176" s="13">
        <f t="shared" si="185"/>
        <v>3.0088145886933343E-12</v>
      </c>
      <c r="GC176" s="20">
        <f t="shared" si="186"/>
        <v>5.6225999086934742E-12</v>
      </c>
      <c r="GD176" s="59">
        <f t="shared" si="134"/>
        <v>293.33333333333894</v>
      </c>
      <c r="GE176" s="59">
        <f ca="1">AVERAGE(OFFSET($GD$3,0,0,'Données projet'!$E$17+1,1))-AVERAGE(OFFSET($H$3,0,0,'Données projet'!$E$17+1,1))</f>
        <v>322.39807389980882</v>
      </c>
      <c r="GF176" s="59">
        <f t="shared" si="158"/>
        <v>202.59410055732792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56.344994378348197</v>
      </c>
      <c r="GM176" s="21">
        <f>EXP(-LN(2)/25)*GM175+(1-EXP(-LN(2)/25))/(LN(2)/25)*Calculateur!GH176*Calculateur!GJ176*VLOOKUP('Données projet'!$B$17,Paramètres!$A$1:$I$89,3,0)*0.475*44/12</f>
        <v>8.3521058772781736</v>
      </c>
      <c r="GN176" s="21">
        <f>EXP(-LN(2)/2)*GN175+(1-EXP(-LN(2)/2))/(LN(2)/2)*GH176*GK176*VLOOKUP('Données projet'!$B$17,Paramètres!$A$1:$I$89,3,0)*0.475*44/12</f>
        <v>2.1771509751705368E-6</v>
      </c>
      <c r="GO176" s="21">
        <f t="shared" si="187"/>
        <v>64.697102432777342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63.788399999999776</v>
      </c>
      <c r="D177" s="11">
        <f t="shared" si="140"/>
        <v>18.122655666579568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632.29586830341952</v>
      </c>
      <c r="H177" s="67">
        <f t="shared" si="110"/>
        <v>435.99508861929235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1.5961632016114892E-13</v>
      </c>
      <c r="P177" s="13">
        <f t="shared" si="141"/>
        <v>2.2708641912150958E-12</v>
      </c>
      <c r="Q177" s="20">
        <f t="shared" si="162"/>
        <v>4.2330868906469593E-12</v>
      </c>
      <c r="R177" s="59">
        <f t="shared" si="109"/>
        <v>293.33333333333752</v>
      </c>
      <c r="S177" s="59">
        <f ca="1">AVERAGE(OFFSET($R$3,0,0,'Données projet'!$E$9+1,1))-AVERAGE(OFFSET($H$3,0,0,'Données projet'!$E$9+1,1))</f>
        <v>215.77907571824977</v>
      </c>
      <c r="T177" s="59">
        <f t="shared" si="142"/>
        <v>174.69390149594869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36.219836811997347</v>
      </c>
      <c r="AA177" s="21">
        <f>EXP(-LN(2)/25)*AA176+(1-EXP(-LN(2)/25))/(LN(2)/25)*Calculateur!V177*Calculateur!X177*VLOOKUP('Données projet'!$B$9,Paramètres!$A$1:$I$89,3,0)*0.475*44/12</f>
        <v>6.9081878416240405</v>
      </c>
      <c r="AB177" s="21">
        <f>EXP(-LN(2)/2)*AB176+(1-EXP(-LN(2)/2))/(LN(2)/2)*V177*Y177*VLOOKUP('Données projet'!$B$9,Paramètres!$A$1:$I$89,3,0)*0.475*44/12</f>
        <v>5.1840457416916896E-9</v>
      </c>
      <c r="AC177" s="22">
        <f t="shared" si="163"/>
        <v>43.128024658805437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-1.0197709343628959E-13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171.701352621833</v>
      </c>
      <c r="AO177" s="59">
        <f t="shared" si="144"/>
        <v>195.58435749168586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11.123757862283899</v>
      </c>
      <c r="AV177" s="21">
        <f>EXP(-LN(2)/25)*AV176+(1-EXP(-LN(2)/25))/(LN(2)/25)*Calculateur!AQ177*Calculateur!AS177*VLOOKUP('Données projet'!$B$10,Paramètres!$A$1:$I$89,3,0)*0.475*44/12</f>
        <v>1.6750182804452665</v>
      </c>
      <c r="AW177" s="21">
        <f>EXP(-LN(2)/2)*AW176+(1-EXP(-LN(2)/2))/(LN(2)/2)*AQ177*AT177*VLOOKUP('Données projet'!$B$10,Paramètres!$A$1:$I$89,3,0)*0.475*44/12</f>
        <v>6.2059976932994511E-16</v>
      </c>
      <c r="AX177" s="21">
        <f t="shared" si="166"/>
        <v>12.798776142729166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-1.1823431123048067E-13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348.29124901999882</v>
      </c>
      <c r="BJ177" s="59">
        <f t="shared" si="146"/>
        <v>284.30034973939053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33.77798712059387</v>
      </c>
      <c r="BQ177" s="21">
        <f>EXP(-LN(2)/25)*BQ176+(1-EXP(-LN(2)/25))/(LN(2)/25)*Calculateur!BL177*Calculateur!BN177*VLOOKUP('Données projet'!$B$11,Paramètres!$A$1:$I$89,3,0)*0.475*44/12</f>
        <v>5.7413311770013022</v>
      </c>
      <c r="BR177" s="21">
        <f>EXP(-LN(2)/2)*BR176+(1-EXP(-LN(2)/2))/(LN(2)/2)*BL177*BO177*VLOOKUP('Données projet'!$B$11,Paramètres!$A$1:$I$89,3,0)*0.475*44/12</f>
        <v>5.9946365538308921E-13</v>
      </c>
      <c r="BS177" s="22">
        <f t="shared" si="169"/>
        <v>39.519318297595767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-1.3596945791505279E-13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185.82627135915504</v>
      </c>
      <c r="CE177" s="59">
        <f t="shared" si="148"/>
        <v>155.46126452522037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26.59378443338429</v>
      </c>
      <c r="CL177" s="21">
        <f>EXP(-LN(2)/25)*CL176+(1-EXP(-LN(2)/25))/(LN(2)/25)*Calculateur!CG177*Calculateur!CI177*VLOOKUP('Données projet'!$B$12,Paramètres!$A$1:$I$89,3,0)*0.475*44/12</f>
        <v>5.1238620156547121</v>
      </c>
      <c r="CM177" s="21">
        <f>EXP(-LN(2)/2)*CM176+(1-EXP(-LN(2)/2))/(LN(2)/2)*CG177*CJ177*VLOOKUP('Données projet'!$B$12,Paramètres!$A$1:$I$89,3,0)*0.475*44/12</f>
        <v>7.8844299512575083E-9</v>
      </c>
      <c r="CN177" s="22">
        <f t="shared" si="172"/>
        <v>31.717646456923433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-1.2789769243681803E-13</v>
      </c>
      <c r="CU177" s="17">
        <f>CT177*VLOOKUP('Données projet'!$B$13,Paramètres!$A$1:$I$89,3,0)*VLOOKUP('Données projet'!$B$13,Paramètres!$A$1:$I$89,5,0)</f>
        <v>-1.4733814168721438E-13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150.78964413039063</v>
      </c>
      <c r="CZ177" s="59">
        <f t="shared" si="150"/>
        <v>131.90332435966184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14.680649535194435</v>
      </c>
      <c r="DG177" s="21">
        <f>EXP(-LN(2)/25)*DG176+(1-EXP(-LN(2)/25))/(LN(2)/25)*Calculateur!DB177*Calculateur!DD177*VLOOKUP('Données projet'!$B$13,Paramètres!$A$1:$I$89,3,0)*0.475*44/12</f>
        <v>5.6303076535863017</v>
      </c>
      <c r="DH177" s="21">
        <f>EXP(-LN(2)/2)*DH176+(1-EXP(-LN(2)/2))/(LN(2)/2)*DB177*DE177*VLOOKUP('Données projet'!$B$13,Paramètres!$A$1:$I$89,3,0)*0.475*44/12</f>
        <v>3.9879708954326885E-3</v>
      </c>
      <c r="DI177" s="22">
        <f t="shared" si="175"/>
        <v>20.314945159676171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-1.4210854715202004E-14</v>
      </c>
      <c r="DP177" s="17">
        <f>DO177*VLOOKUP('Données projet'!$B$14,Paramètres!$A$1:$I$89,3,0)*VLOOKUP('Données projet'!$B$14,Paramètres!$A$1:$I$89,5,0)</f>
        <v>-1.4853185348329136E-14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110.10595934547638</v>
      </c>
      <c r="DU177" s="59">
        <f t="shared" si="152"/>
        <v>131.10971921141493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4.7652760291873699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4.7652760291873699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7.688333333333337</v>
      </c>
      <c r="EJ177" s="12">
        <f>IF('Données projet'!$A$192&gt;35,EJ176+EI177-ER176,IF(A177&lt;'Données projet'!$A$192,$EG$205^A177,IF(A177='Données projet'!$A$192,'Données projet'!$B$192,EJ176+EI177-ER176)))</f>
        <v>410.40999999999968</v>
      </c>
      <c r="EK177" s="17">
        <f>EJ177*VLOOKUP('Données projet'!$B$15,Paramètres!$A$1:$I$89,3,0)*VLOOKUP('Données projet'!$B$15,Paramètres!$A$1:$I$89,5,0)</f>
        <v>416.1557399999997</v>
      </c>
      <c r="EL177" s="13">
        <f t="shared" si="179"/>
        <v>95.044407695945651</v>
      </c>
      <c r="EM177" s="20">
        <f t="shared" si="180"/>
        <v>890.34025723710477</v>
      </c>
      <c r="EN177" s="59">
        <f t="shared" si="128"/>
        <v>1183.6735905704381</v>
      </c>
      <c r="EO177" s="59">
        <f ca="1">AVERAGE(OFFSET($EN$3,0,0,'Données projet'!$E$15+1,1))-AVERAGE(OFFSET($H$3,0,0,'Données projet'!$E$15+1,1))</f>
        <v>420.38735944595965</v>
      </c>
      <c r="EP177" s="59">
        <f t="shared" si="154"/>
        <v>200.0823542414671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44.72918349159675</v>
      </c>
      <c r="EW177" s="21">
        <f>EXP(-LN(2)/25)*EW176+(1-EXP(-LN(2)/25))/(LN(2)/25)*Calculateur!ER177*Calculateur!ET177*VLOOKUP('Données projet'!$B$15,Paramètres!$A$1:$I$89,3,0)*0.475*44/12</f>
        <v>19.682008870953172</v>
      </c>
      <c r="EX177" s="21">
        <f>EXP(-LN(2)/2)*EX176+(1-EXP(-LN(2)/2))/(LN(2)/2)*ER177*EU177*VLOOKUP('Données projet'!$B$15,Paramètres!$A$1:$I$89,3,0)*0.475*44/12</f>
        <v>1.8024719441687507E-4</v>
      </c>
      <c r="EY177" s="22">
        <f t="shared" si="181"/>
        <v>64.411372609744348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2.5579538487363607E-13</v>
      </c>
      <c r="FF177" s="17">
        <f>FE177*VLOOKUP('Données projet'!$B$16,Paramètres!$A$1:$I$89,3,0)*VLOOKUP('Données projet'!$B$16,Paramètres!$A$1:$I$89,5,0)</f>
        <v>2.7533815227798186E-13</v>
      </c>
      <c r="FG177" s="13">
        <f t="shared" si="182"/>
        <v>3.6763598146902537E-12</v>
      </c>
      <c r="FH177" s="20">
        <f t="shared" si="183"/>
        <v>6.88254062580301E-12</v>
      </c>
      <c r="FI177" s="59">
        <f t="shared" si="131"/>
        <v>293.33333333334019</v>
      </c>
      <c r="FJ177" s="59">
        <f ca="1">AVERAGE(OFFSET($FI$3,0,0,'Données projet'!$E$16+1,1))-AVERAGE(OFFSET($H$3,0,0,'Données projet'!$E$16+1,1))</f>
        <v>415.8741608506952</v>
      </c>
      <c r="FK177" s="59">
        <f t="shared" si="156"/>
        <v>259.15848913719356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56.22551862934462</v>
      </c>
      <c r="FR177" s="21">
        <f>EXP(-LN(2)/25)*FR176+(1-EXP(-LN(2)/25))/(LN(2)/25)*Calculateur!FM177*Calculateur!FO177*VLOOKUP('Données projet'!$B$16,Paramètres!$A$1:$I$89,3,0)*0.475*44/12</f>
        <v>8.2686341832396604</v>
      </c>
      <c r="FS177" s="21">
        <f>EXP(-LN(2)/2)*FS176+(1-EXP(-LN(2)/2))/(LN(2)/2)*FM177*FP177*VLOOKUP('Données projet'!$B$16,Paramètres!$A$1:$I$89,3,0)*0.475*44/12</f>
        <v>1.9313454010270778E-6</v>
      </c>
      <c r="FT177" s="22">
        <f t="shared" si="184"/>
        <v>64.49415474392967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2.5579538487363607E-13</v>
      </c>
      <c r="GA177" s="17">
        <f>FZ177*VLOOKUP('Données projet'!$B$17,Paramètres!$A$1:$I$89,3,0)*VLOOKUP('Données projet'!$B$17,Paramètres!$A$1:$I$89,5,0)</f>
        <v>2.1947244022157976E-13</v>
      </c>
      <c r="GB177" s="13">
        <f t="shared" si="185"/>
        <v>3.0088145886933343E-12</v>
      </c>
      <c r="GC177" s="20">
        <f t="shared" si="186"/>
        <v>5.6225999086934742E-12</v>
      </c>
      <c r="GD177" s="59">
        <f t="shared" si="134"/>
        <v>293.33333333333894</v>
      </c>
      <c r="GE177" s="59">
        <f ca="1">AVERAGE(OFFSET($GD$3,0,0,'Données projet'!$E$17+1,1))-AVERAGE(OFFSET($H$3,0,0,'Données projet'!$E$17+1,1))</f>
        <v>322.39807389980882</v>
      </c>
      <c r="GF177" s="59">
        <f t="shared" si="158"/>
        <v>202.59410055732792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55.240103405641896</v>
      </c>
      <c r="GM177" s="21">
        <f>EXP(-LN(2)/25)*GM176+(1-EXP(-LN(2)/25))/(LN(2)/25)*Calculateur!GH177*Calculateur!GJ177*VLOOKUP('Données projet'!$B$17,Paramètres!$A$1:$I$89,3,0)*0.475*44/12</f>
        <v>8.123717102845843</v>
      </c>
      <c r="GN177" s="21">
        <f>EXP(-LN(2)/2)*GN176+(1-EXP(-LN(2)/2))/(LN(2)/2)*GH177*GK177*VLOOKUP('Données projet'!$B$17,Paramètres!$A$1:$I$89,3,0)*0.475*44/12</f>
        <v>1.5394782182099913E-6</v>
      </c>
      <c r="GO177" s="21">
        <f t="shared" si="187"/>
        <v>63.363822047965961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64.154999999999774</v>
      </c>
      <c r="D178" s="11">
        <f t="shared" si="140"/>
        <v>18.214654711609985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635.83593110716299</v>
      </c>
      <c r="H178" s="67">
        <f t="shared" si="110"/>
        <v>436.793815289387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1.5961632016114892E-13</v>
      </c>
      <c r="P178" s="13">
        <f t="shared" si="141"/>
        <v>2.2708641912150958E-12</v>
      </c>
      <c r="Q178" s="20">
        <f t="shared" si="162"/>
        <v>4.2330868906469593E-12</v>
      </c>
      <c r="R178" s="59">
        <f t="shared" si="109"/>
        <v>293.33333333333752</v>
      </c>
      <c r="S178" s="59">
        <f ca="1">AVERAGE(OFFSET($R$3,0,0,'Données projet'!$E$9+1,1))-AVERAGE(OFFSET($H$3,0,0,'Données projet'!$E$9+1,1))</f>
        <v>215.77907571824977</v>
      </c>
      <c r="T178" s="59">
        <f t="shared" si="142"/>
        <v>174.69390149594869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35.50958790403314</v>
      </c>
      <c r="AA178" s="21">
        <f>EXP(-LN(2)/25)*AA177+(1-EXP(-LN(2)/25))/(LN(2)/25)*Calculateur!V178*Calculateur!X178*VLOOKUP('Données projet'!$B$9,Paramètres!$A$1:$I$89,3,0)*0.475*44/12</f>
        <v>6.7192830818090217</v>
      </c>
      <c r="AB178" s="21">
        <f>EXP(-LN(2)/2)*AB177+(1-EXP(-LN(2)/2))/(LN(2)/2)*V178*Y178*VLOOKUP('Données projet'!$B$9,Paramètres!$A$1:$I$89,3,0)*0.475*44/12</f>
        <v>3.6656738979314391E-9</v>
      </c>
      <c r="AC178" s="22">
        <f t="shared" si="163"/>
        <v>42.22887098950784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-1.0197709343628959E-13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171.701352621833</v>
      </c>
      <c r="AO178" s="59">
        <f t="shared" si="144"/>
        <v>195.58435749168586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10.905627755426861</v>
      </c>
      <c r="AV178" s="21">
        <f>EXP(-LN(2)/25)*AV177+(1-EXP(-LN(2)/25))/(LN(2)/25)*Calculateur!AQ178*Calculateur!AS178*VLOOKUP('Données projet'!$B$10,Paramètres!$A$1:$I$89,3,0)*0.475*44/12</f>
        <v>1.6292148174811076</v>
      </c>
      <c r="AW178" s="21">
        <f>EXP(-LN(2)/2)*AW177+(1-EXP(-LN(2)/2))/(LN(2)/2)*AQ178*AT178*VLOOKUP('Données projet'!$B$10,Paramètres!$A$1:$I$89,3,0)*0.475*44/12</f>
        <v>4.3883030529601139E-16</v>
      </c>
      <c r="AX178" s="21">
        <f t="shared" si="166"/>
        <v>12.534842572907969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-1.1823431123048067E-13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348.29124901999882</v>
      </c>
      <c r="BJ178" s="59">
        <f t="shared" si="146"/>
        <v>284.30034973939053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33.115621395696834</v>
      </c>
      <c r="BQ178" s="21">
        <f>EXP(-LN(2)/25)*BQ177+(1-EXP(-LN(2)/25))/(LN(2)/25)*Calculateur!BL178*Calculateur!BN178*VLOOKUP('Données projet'!$B$11,Paramètres!$A$1:$I$89,3,0)*0.475*44/12</f>
        <v>5.5843341740427173</v>
      </c>
      <c r="BR178" s="21">
        <f>EXP(-LN(2)/2)*BR177+(1-EXP(-LN(2)/2))/(LN(2)/2)*BL178*BO178*VLOOKUP('Données projet'!$B$11,Paramètres!$A$1:$I$89,3,0)*0.475*44/12</f>
        <v>4.23884815796258E-13</v>
      </c>
      <c r="BS178" s="22">
        <f t="shared" si="169"/>
        <v>38.699955569739977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-1.3596945791505279E-13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185.82627135915504</v>
      </c>
      <c r="CE178" s="59">
        <f t="shared" si="148"/>
        <v>155.46126452522037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26.072296541252477</v>
      </c>
      <c r="CL178" s="21">
        <f>EXP(-LN(2)/25)*CL177+(1-EXP(-LN(2)/25))/(LN(2)/25)*Calculateur!CG178*Calculateur!CI178*VLOOKUP('Données projet'!$B$12,Paramètres!$A$1:$I$89,3,0)*0.475*44/12</f>
        <v>4.9837497393844412</v>
      </c>
      <c r="CM178" s="21">
        <f>EXP(-LN(2)/2)*CM177+(1-EXP(-LN(2)/2))/(LN(2)/2)*CG178*CJ178*VLOOKUP('Données projet'!$B$12,Paramètres!$A$1:$I$89,3,0)*0.475*44/12</f>
        <v>5.5751338843245047E-9</v>
      </c>
      <c r="CN178" s="22">
        <f t="shared" si="172"/>
        <v>31.056046286212055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-1.2789769243681803E-13</v>
      </c>
      <c r="CU178" s="17">
        <f>CT178*VLOOKUP('Données projet'!$B$13,Paramètres!$A$1:$I$89,3,0)*VLOOKUP('Données projet'!$B$13,Paramètres!$A$1:$I$89,5,0)</f>
        <v>-1.4733814168721438E-13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150.78964413039063</v>
      </c>
      <c r="CZ178" s="59">
        <f t="shared" si="150"/>
        <v>131.90332435966184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14.392770952121325</v>
      </c>
      <c r="DG178" s="21">
        <f>EXP(-LN(2)/25)*DG177+(1-EXP(-LN(2)/25))/(LN(2)/25)*Calculateur!DB178*Calculateur!DD178*VLOOKUP('Données projet'!$B$13,Paramètres!$A$1:$I$89,3,0)*0.475*44/12</f>
        <v>5.4763465947139727</v>
      </c>
      <c r="DH178" s="21">
        <f>EXP(-LN(2)/2)*DH177+(1-EXP(-LN(2)/2))/(LN(2)/2)*DB178*DE178*VLOOKUP('Données projet'!$B$13,Paramètres!$A$1:$I$89,3,0)*0.475*44/12</f>
        <v>2.8199212633350421E-3</v>
      </c>
      <c r="DI178" s="22">
        <f t="shared" si="175"/>
        <v>19.871937468098633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-1.4210854715202004E-14</v>
      </c>
      <c r="DP178" s="17">
        <f>DO178*VLOOKUP('Données projet'!$B$14,Paramètres!$A$1:$I$89,3,0)*VLOOKUP('Données projet'!$B$14,Paramètres!$A$1:$I$89,5,0)</f>
        <v>-1.4853185348329136E-14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110.10595934547638</v>
      </c>
      <c r="DU178" s="59">
        <f t="shared" si="152"/>
        <v>131.10971921141493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4.6349693055742662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4.6349693055742662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7.688333333333337</v>
      </c>
      <c r="EJ178" s="12">
        <f>IF('Données projet'!$A$192&gt;35,EJ177+EI178-ER177,IF(A178&lt;'Données projet'!$A$192,$EG$205^A178,IF(A178='Données projet'!$A$192,'Données projet'!$B$192,EJ177+EI178-ER177)))</f>
        <v>418.09833333333302</v>
      </c>
      <c r="EK178" s="17">
        <f>EJ178*VLOOKUP('Données projet'!$B$15,Paramètres!$A$1:$I$89,3,0)*VLOOKUP('Données projet'!$B$15,Paramètres!$A$1:$I$89,5,0)</f>
        <v>423.95170999999976</v>
      </c>
      <c r="EL178" s="13">
        <f t="shared" si="179"/>
        <v>96.615949933698687</v>
      </c>
      <c r="EM178" s="20">
        <f t="shared" si="180"/>
        <v>906.65534105119139</v>
      </c>
      <c r="EN178" s="59">
        <f t="shared" si="128"/>
        <v>1199.9886743845248</v>
      </c>
      <c r="EO178" s="59">
        <f ca="1">AVERAGE(OFFSET($EN$3,0,0,'Données projet'!$E$15+1,1))-AVERAGE(OFFSET($H$3,0,0,'Données projet'!$E$15+1,1))</f>
        <v>420.38735944595965</v>
      </c>
      <c r="EP178" s="59">
        <f t="shared" si="154"/>
        <v>200.0823542414671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43.852071485434585</v>
      </c>
      <c r="EW178" s="21">
        <f>EXP(-LN(2)/25)*EW177+(1-EXP(-LN(2)/25))/(LN(2)/25)*Calculateur!ER178*Calculateur!ET178*VLOOKUP('Données projet'!$B$15,Paramètres!$A$1:$I$89,3,0)*0.475*44/12</f>
        <v>19.143803303345095</v>
      </c>
      <c r="EX178" s="21">
        <f>EXP(-LN(2)/2)*EX177+(1-EXP(-LN(2)/2))/(LN(2)/2)*ER178*EU178*VLOOKUP('Données projet'!$B$15,Paramètres!$A$1:$I$89,3,0)*0.475*44/12</f>
        <v>1.2745401346202237E-4</v>
      </c>
      <c r="EY178" s="22">
        <f t="shared" si="181"/>
        <v>62.996002242793139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2.5579538487363607E-13</v>
      </c>
      <c r="FF178" s="17">
        <f>FE178*VLOOKUP('Données projet'!$B$16,Paramètres!$A$1:$I$89,3,0)*VLOOKUP('Données projet'!$B$16,Paramètres!$A$1:$I$89,5,0)</f>
        <v>2.7533815227798186E-13</v>
      </c>
      <c r="FG178" s="13">
        <f t="shared" si="182"/>
        <v>3.6763598146902537E-12</v>
      </c>
      <c r="FH178" s="20">
        <f t="shared" si="183"/>
        <v>6.88254062580301E-12</v>
      </c>
      <c r="FI178" s="59">
        <f t="shared" si="131"/>
        <v>293.33333333334019</v>
      </c>
      <c r="FJ178" s="59">
        <f ca="1">AVERAGE(OFFSET($FI$3,0,0,'Données projet'!$E$16+1,1))-AVERAGE(OFFSET($H$3,0,0,'Données projet'!$E$16+1,1))</f>
        <v>415.8741608506952</v>
      </c>
      <c r="FK178" s="59">
        <f t="shared" si="156"/>
        <v>259.15848913719356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55.12297050320327</v>
      </c>
      <c r="FR178" s="21">
        <f>EXP(-LN(2)/25)*FR177+(1-EXP(-LN(2)/25))/(LN(2)/25)*Calculateur!FM178*Calculateur!FO178*VLOOKUP('Données projet'!$B$16,Paramètres!$A$1:$I$89,3,0)*0.475*44/12</f>
        <v>8.0425279466703987</v>
      </c>
      <c r="FS178" s="21">
        <f>EXP(-LN(2)/2)*FS177+(1-EXP(-LN(2)/2))/(LN(2)/2)*FM178*FP178*VLOOKUP('Données projet'!$B$16,Paramètres!$A$1:$I$89,3,0)*0.475*44/12</f>
        <v>1.3656674298796988E-6</v>
      </c>
      <c r="FT178" s="22">
        <f t="shared" si="184"/>
        <v>63.165499815541096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2.5579538487363607E-13</v>
      </c>
      <c r="GA178" s="17">
        <f>FZ178*VLOOKUP('Données projet'!$B$17,Paramètres!$A$1:$I$89,3,0)*VLOOKUP('Données projet'!$B$17,Paramètres!$A$1:$I$89,5,0)</f>
        <v>2.1947244022157976E-13</v>
      </c>
      <c r="GB178" s="13">
        <f t="shared" si="185"/>
        <v>3.0088145886933343E-12</v>
      </c>
      <c r="GC178" s="20">
        <f t="shared" si="186"/>
        <v>5.6225999086934742E-12</v>
      </c>
      <c r="GD178" s="59">
        <f t="shared" si="134"/>
        <v>293.33333333333894</v>
      </c>
      <c r="GE178" s="59">
        <f ca="1">AVERAGE(OFFSET($GD$3,0,0,'Données projet'!$E$17+1,1))-AVERAGE(OFFSET($H$3,0,0,'Données projet'!$E$17+1,1))</f>
        <v>322.39807389980882</v>
      </c>
      <c r="GF178" s="59">
        <f t="shared" si="158"/>
        <v>202.59410055732792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54.156878670993414</v>
      </c>
      <c r="GM178" s="21">
        <f>EXP(-LN(2)/25)*GM177+(1-EXP(-LN(2)/25))/(LN(2)/25)*Calculateur!GH178*Calculateur!GJ178*VLOOKUP('Données projet'!$B$17,Paramètres!$A$1:$I$89,3,0)*0.475*44/12</f>
        <v>7.901573631460808</v>
      </c>
      <c r="GN178" s="21">
        <f>EXP(-LN(2)/2)*GN177+(1-EXP(-LN(2)/2))/(LN(2)/2)*GH178*GK178*VLOOKUP('Données projet'!$B$17,Paramètres!$A$1:$I$89,3,0)*0.475*44/12</f>
        <v>1.0885754875852684E-6</v>
      </c>
      <c r="GO178" s="21">
        <f t="shared" si="187"/>
        <v>62.058453391029708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64.521599999999779</v>
      </c>
      <c r="D179" s="11">
        <f t="shared" si="140"/>
        <v>18.306592584126932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639.37552170203082</v>
      </c>
      <c r="H179" s="67">
        <f t="shared" si="110"/>
        <v>437.59243541735401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1.5961632016114892E-13</v>
      </c>
      <c r="P179" s="13">
        <f t="shared" si="141"/>
        <v>2.2708641912150958E-12</v>
      </c>
      <c r="Q179" s="20">
        <f t="shared" si="162"/>
        <v>4.2330868906469593E-12</v>
      </c>
      <c r="R179" s="59">
        <f t="shared" si="109"/>
        <v>293.33333333333752</v>
      </c>
      <c r="S179" s="59">
        <f ca="1">AVERAGE(OFFSET($R$3,0,0,'Données projet'!$E$9+1,1))-AVERAGE(OFFSET($H$3,0,0,'Données projet'!$E$9+1,1))</f>
        <v>215.77907571824977</v>
      </c>
      <c r="T179" s="59">
        <f t="shared" si="142"/>
        <v>174.69390149594869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34.813266543945055</v>
      </c>
      <c r="AA179" s="21">
        <f>EXP(-LN(2)/25)*AA178+(1-EXP(-LN(2)/25))/(LN(2)/25)*Calculateur!V179*Calculateur!X179*VLOOKUP('Données projet'!$B$9,Paramètres!$A$1:$I$89,3,0)*0.475*44/12</f>
        <v>6.535543932585214</v>
      </c>
      <c r="AB179" s="21">
        <f>EXP(-LN(2)/2)*AB178+(1-EXP(-LN(2)/2))/(LN(2)/2)*V179*Y179*VLOOKUP('Données projet'!$B$9,Paramètres!$A$1:$I$89,3,0)*0.475*44/12</f>
        <v>2.5920228708458452E-9</v>
      </c>
      <c r="AC179" s="22">
        <f t="shared" si="163"/>
        <v>41.348810479122292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-1.0197709343628959E-13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171.701352621833</v>
      </c>
      <c r="AO179" s="59">
        <f t="shared" si="144"/>
        <v>195.58435749168586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10.691775046919064</v>
      </c>
      <c r="AV179" s="21">
        <f>EXP(-LN(2)/25)*AV178+(1-EXP(-LN(2)/25))/(LN(2)/25)*Calculateur!AQ179*Calculateur!AS179*VLOOKUP('Données projet'!$B$10,Paramètres!$A$1:$I$89,3,0)*0.475*44/12</f>
        <v>1.5846638526204031</v>
      </c>
      <c r="AW179" s="21">
        <f>EXP(-LN(2)/2)*AW178+(1-EXP(-LN(2)/2))/(LN(2)/2)*AQ179*AT179*VLOOKUP('Données projet'!$B$10,Paramètres!$A$1:$I$89,3,0)*0.475*44/12</f>
        <v>3.102998846649726E-16</v>
      </c>
      <c r="AX179" s="21">
        <f t="shared" si="166"/>
        <v>12.276438899539468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-1.1823431123048067E-13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348.29124901999882</v>
      </c>
      <c r="BJ179" s="59">
        <f t="shared" si="146"/>
        <v>284.30034973939053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32.466244258661831</v>
      </c>
      <c r="BQ179" s="21">
        <f>EXP(-LN(2)/25)*BQ178+(1-EXP(-LN(2)/25))/(LN(2)/25)*Calculateur!BL179*Calculateur!BN179*VLOOKUP('Données projet'!$B$11,Paramètres!$A$1:$I$89,3,0)*0.475*44/12</f>
        <v>5.4316302623861485</v>
      </c>
      <c r="BR179" s="21">
        <f>EXP(-LN(2)/2)*BR178+(1-EXP(-LN(2)/2))/(LN(2)/2)*BL179*BO179*VLOOKUP('Données projet'!$B$11,Paramètres!$A$1:$I$89,3,0)*0.475*44/12</f>
        <v>2.9973182769154461E-13</v>
      </c>
      <c r="BS179" s="22">
        <f t="shared" si="169"/>
        <v>37.89787452104828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-1.3596945791505279E-13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185.82627135915504</v>
      </c>
      <c r="CE179" s="59">
        <f t="shared" si="148"/>
        <v>155.46126452522037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25.56103470860916</v>
      </c>
      <c r="CL179" s="21">
        <f>EXP(-LN(2)/25)*CL178+(1-EXP(-LN(2)/25))/(LN(2)/25)*Calculateur!CG179*Calculateur!CI179*VLOOKUP('Données projet'!$B$12,Paramètres!$A$1:$I$89,3,0)*0.475*44/12</f>
        <v>4.8474688406769655</v>
      </c>
      <c r="CM179" s="21">
        <f>EXP(-LN(2)/2)*CM178+(1-EXP(-LN(2)/2))/(LN(2)/2)*CG179*CJ179*VLOOKUP('Données projet'!$B$12,Paramètres!$A$1:$I$89,3,0)*0.475*44/12</f>
        <v>3.9422149756287542E-9</v>
      </c>
      <c r="CN179" s="22">
        <f t="shared" si="172"/>
        <v>30.408503553228339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-1.2789769243681803E-13</v>
      </c>
      <c r="CU179" s="17">
        <f>CT179*VLOOKUP('Données projet'!$B$13,Paramètres!$A$1:$I$89,3,0)*VLOOKUP('Données projet'!$B$13,Paramètres!$A$1:$I$89,5,0)</f>
        <v>-1.4733814168721438E-13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150.78964413039063</v>
      </c>
      <c r="CZ179" s="59">
        <f t="shared" si="150"/>
        <v>131.90332435966184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14.110537492473679</v>
      </c>
      <c r="DG179" s="21">
        <f>EXP(-LN(2)/25)*DG178+(1-EXP(-LN(2)/25))/(LN(2)/25)*Calculateur!DB179*Calculateur!DD179*VLOOKUP('Données projet'!$B$13,Paramètres!$A$1:$I$89,3,0)*0.475*44/12</f>
        <v>5.3265956090929683</v>
      </c>
      <c r="DH179" s="21">
        <f>EXP(-LN(2)/2)*DH178+(1-EXP(-LN(2)/2))/(LN(2)/2)*DB179*DE179*VLOOKUP('Données projet'!$B$13,Paramètres!$A$1:$I$89,3,0)*0.475*44/12</f>
        <v>1.9939854477163442E-3</v>
      </c>
      <c r="DI179" s="22">
        <f t="shared" si="175"/>
        <v>19.439127087014363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-1.4210854715202004E-14</v>
      </c>
      <c r="DP179" s="17">
        <f>DO179*VLOOKUP('Données projet'!$B$14,Paramètres!$A$1:$I$89,3,0)*VLOOKUP('Données projet'!$B$14,Paramètres!$A$1:$I$89,5,0)</f>
        <v>-1.4853185348329136E-14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110.10595934547638</v>
      </c>
      <c r="DU179" s="59">
        <f t="shared" si="152"/>
        <v>131.10971921141493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4.5082258261708956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4.5082258261708956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7.688333333333337</v>
      </c>
      <c r="EJ179" s="12">
        <f>IF('Données projet'!$A$192&gt;35,EJ178+EI179-ER178,IF(A179&lt;'Données projet'!$A$192,$EG$205^A179,IF(A179='Données projet'!$A$192,'Données projet'!$B$192,EJ178+EI179-ER178)))</f>
        <v>425.78666666666635</v>
      </c>
      <c r="EK179" s="17">
        <f>EJ179*VLOOKUP('Données projet'!$B$15,Paramètres!$A$1:$I$89,3,0)*VLOOKUP('Données projet'!$B$15,Paramètres!$A$1:$I$89,5,0)</f>
        <v>431.74767999999972</v>
      </c>
      <c r="EL179" s="13">
        <f t="shared" si="179"/>
        <v>98.184131748284557</v>
      </c>
      <c r="EM179" s="20">
        <f t="shared" si="180"/>
        <v>922.96457212826181</v>
      </c>
      <c r="EN179" s="59">
        <f t="shared" si="128"/>
        <v>1216.2979054615951</v>
      </c>
      <c r="EO179" s="59">
        <f ca="1">AVERAGE(OFFSET($EN$3,0,0,'Données projet'!$E$15+1,1))-AVERAGE(OFFSET($H$3,0,0,'Données projet'!$E$15+1,1))</f>
        <v>420.38735944595965</v>
      </c>
      <c r="EP179" s="59">
        <f t="shared" si="154"/>
        <v>200.0823542414671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42.992159110727762</v>
      </c>
      <c r="EW179" s="21">
        <f>EXP(-LN(2)/25)*EW178+(1-EXP(-LN(2)/25))/(LN(2)/25)*Calculateur!ER179*Calculateur!ET179*VLOOKUP('Données projet'!$B$15,Paramètres!$A$1:$I$89,3,0)*0.475*44/12</f>
        <v>18.620314995286261</v>
      </c>
      <c r="EX179" s="21">
        <f>EXP(-LN(2)/2)*EX178+(1-EXP(-LN(2)/2))/(LN(2)/2)*ER179*EU179*VLOOKUP('Données projet'!$B$15,Paramètres!$A$1:$I$89,3,0)*0.475*44/12</f>
        <v>9.0123597208437533E-5</v>
      </c>
      <c r="EY179" s="22">
        <f t="shared" si="181"/>
        <v>61.61256422961123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2.5579538487363607E-13</v>
      </c>
      <c r="FF179" s="17">
        <f>FE179*VLOOKUP('Données projet'!$B$16,Paramètres!$A$1:$I$89,3,0)*VLOOKUP('Données projet'!$B$16,Paramètres!$A$1:$I$89,5,0)</f>
        <v>2.7533815227798186E-13</v>
      </c>
      <c r="FG179" s="13">
        <f t="shared" si="182"/>
        <v>3.6763598146902537E-12</v>
      </c>
      <c r="FH179" s="20">
        <f t="shared" si="183"/>
        <v>6.88254062580301E-12</v>
      </c>
      <c r="FI179" s="59">
        <f t="shared" si="131"/>
        <v>293.33333333334019</v>
      </c>
      <c r="FJ179" s="59">
        <f ca="1">AVERAGE(OFFSET($FI$3,0,0,'Données projet'!$E$16+1,1))-AVERAGE(OFFSET($H$3,0,0,'Données projet'!$E$16+1,1))</f>
        <v>415.8741608506952</v>
      </c>
      <c r="FK179" s="59">
        <f t="shared" si="156"/>
        <v>259.15848913719356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54.042042673327593</v>
      </c>
      <c r="FR179" s="21">
        <f>EXP(-LN(2)/25)*FR178+(1-EXP(-LN(2)/25))/(LN(2)/25)*Calculateur!FM179*Calculateur!FO179*VLOOKUP('Données projet'!$B$16,Paramètres!$A$1:$I$89,3,0)*0.475*44/12</f>
        <v>7.8226045970305336</v>
      </c>
      <c r="FS179" s="21">
        <f>EXP(-LN(2)/2)*FS178+(1-EXP(-LN(2)/2))/(LN(2)/2)*FM179*FP179*VLOOKUP('Données projet'!$B$16,Paramètres!$A$1:$I$89,3,0)*0.475*44/12</f>
        <v>9.6567270051353891E-7</v>
      </c>
      <c r="FT179" s="22">
        <f t="shared" si="184"/>
        <v>61.864648236030824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2.5579538487363607E-13</v>
      </c>
      <c r="GA179" s="17">
        <f>FZ179*VLOOKUP('Données projet'!$B$17,Paramètres!$A$1:$I$89,3,0)*VLOOKUP('Données projet'!$B$17,Paramètres!$A$1:$I$89,5,0)</f>
        <v>2.1947244022157976E-13</v>
      </c>
      <c r="GB179" s="13">
        <f t="shared" si="185"/>
        <v>3.0088145886933343E-12</v>
      </c>
      <c r="GC179" s="20">
        <f t="shared" si="186"/>
        <v>5.6225999086934742E-12</v>
      </c>
      <c r="GD179" s="59">
        <f t="shared" si="134"/>
        <v>293.33333333333894</v>
      </c>
      <c r="GE179" s="59">
        <f ca="1">AVERAGE(OFFSET($GD$3,0,0,'Données projet'!$E$17+1,1))-AVERAGE(OFFSET($H$3,0,0,'Données projet'!$E$17+1,1))</f>
        <v>322.39807389980882</v>
      </c>
      <c r="GF179" s="59">
        <f t="shared" si="158"/>
        <v>202.59410055732792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53.094895312689538</v>
      </c>
      <c r="GM179" s="21">
        <f>EXP(-LN(2)/25)*GM178+(1-EXP(-LN(2)/25))/(LN(2)/25)*Calculateur!GH179*Calculateur!GJ179*VLOOKUP('Données projet'!$B$17,Paramètres!$A$1:$I$89,3,0)*0.475*44/12</f>
        <v>7.6855046849828144</v>
      </c>
      <c r="GN179" s="21">
        <f>EXP(-LN(2)/2)*GN178+(1-EXP(-LN(2)/2))/(LN(2)/2)*GH179*GK179*VLOOKUP('Données projet'!$B$17,Paramètres!$A$1:$I$89,3,0)*0.475*44/12</f>
        <v>7.6973910910499567E-7</v>
      </c>
      <c r="GO179" s="21">
        <f t="shared" si="187"/>
        <v>60.780400767411464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64.888199999999784</v>
      </c>
      <c r="D180" s="11">
        <f t="shared" si="140"/>
        <v>18.398469672034675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642.9146430823713</v>
      </c>
      <c r="H180" s="67">
        <f t="shared" si="110"/>
        <v>438.39094967879333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1.5961632016114892E-13</v>
      </c>
      <c r="P180" s="13">
        <f t="shared" si="141"/>
        <v>2.2708641912150958E-12</v>
      </c>
      <c r="Q180" s="20">
        <f t="shared" si="162"/>
        <v>4.2330868906469593E-12</v>
      </c>
      <c r="R180" s="59">
        <f t="shared" si="109"/>
        <v>293.33333333333752</v>
      </c>
      <c r="S180" s="59">
        <f ca="1">AVERAGE(OFFSET($R$3,0,0,'Données projet'!$E$9+1,1))-AVERAGE(OFFSET($H$3,0,0,'Données projet'!$E$9+1,1))</f>
        <v>215.77907571824977</v>
      </c>
      <c r="T180" s="59">
        <f t="shared" si="142"/>
        <v>174.69390149594869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34.130599621014198</v>
      </c>
      <c r="AA180" s="21">
        <f>EXP(-LN(2)/25)*AA179+(1-EXP(-LN(2)/25))/(LN(2)/25)*Calculateur!V180*Calculateur!X180*VLOOKUP('Données projet'!$B$9,Paramètres!$A$1:$I$89,3,0)*0.475*44/12</f>
        <v>6.3568291400593528</v>
      </c>
      <c r="AB180" s="21">
        <f>EXP(-LN(2)/2)*AB179+(1-EXP(-LN(2)/2))/(LN(2)/2)*V180*Y180*VLOOKUP('Données projet'!$B$9,Paramètres!$A$1:$I$89,3,0)*0.475*44/12</f>
        <v>1.8328369489657199E-9</v>
      </c>
      <c r="AC180" s="22">
        <f t="shared" si="163"/>
        <v>40.48742876290639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-1.0197709343628959E-13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171.701352621833</v>
      </c>
      <c r="AO180" s="59">
        <f t="shared" si="144"/>
        <v>195.58435749168586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10.482115859587831</v>
      </c>
      <c r="AV180" s="21">
        <f>EXP(-LN(2)/25)*AV179+(1-EXP(-LN(2)/25))/(LN(2)/25)*Calculateur!AQ180*Calculateur!AS180*VLOOKUP('Données projet'!$B$10,Paramètres!$A$1:$I$89,3,0)*0.475*44/12</f>
        <v>1.541331136236648</v>
      </c>
      <c r="AW180" s="21">
        <f>EXP(-LN(2)/2)*AW179+(1-EXP(-LN(2)/2))/(LN(2)/2)*AQ180*AT180*VLOOKUP('Données projet'!$B$10,Paramètres!$A$1:$I$89,3,0)*0.475*44/12</f>
        <v>2.1941515264800572E-16</v>
      </c>
      <c r="AX180" s="21">
        <f t="shared" si="166"/>
        <v>12.023446995824479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-1.1823431123048067E-13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348.29124901999882</v>
      </c>
      <c r="BJ180" s="59">
        <f t="shared" si="146"/>
        <v>284.30034973939053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31.829601011203142</v>
      </c>
      <c r="BQ180" s="21">
        <f>EXP(-LN(2)/25)*BQ179+(1-EXP(-LN(2)/25))/(LN(2)/25)*Calculateur!BL180*Calculateur!BN180*VLOOKUP('Données projet'!$B$11,Paramètres!$A$1:$I$89,3,0)*0.475*44/12</f>
        <v>5.2831020472241779</v>
      </c>
      <c r="BR180" s="21">
        <f>EXP(-LN(2)/2)*BR179+(1-EXP(-LN(2)/2))/(LN(2)/2)*BL180*BO180*VLOOKUP('Données projet'!$B$11,Paramètres!$A$1:$I$89,3,0)*0.475*44/12</f>
        <v>2.11942407898129E-13</v>
      </c>
      <c r="BS180" s="22">
        <f t="shared" si="169"/>
        <v>37.112703058427535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-1.3596945791505279E-13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185.82627135915504</v>
      </c>
      <c r="CE180" s="59">
        <f t="shared" si="148"/>
        <v>155.46126452522037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25.059798408665053</v>
      </c>
      <c r="CL180" s="21">
        <f>EXP(-LN(2)/25)*CL179+(1-EXP(-LN(2)/25))/(LN(2)/25)*Calculateur!CG180*Calculateur!CI180*VLOOKUP('Données projet'!$B$12,Paramètres!$A$1:$I$89,3,0)*0.475*44/12</f>
        <v>4.714914550311347</v>
      </c>
      <c r="CM180" s="21">
        <f>EXP(-LN(2)/2)*CM179+(1-EXP(-LN(2)/2))/(LN(2)/2)*CG180*CJ180*VLOOKUP('Données projet'!$B$12,Paramètres!$A$1:$I$89,3,0)*0.475*44/12</f>
        <v>2.7875669421622523E-9</v>
      </c>
      <c r="CN180" s="22">
        <f t="shared" si="172"/>
        <v>29.774712961763967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-1.2789769243681803E-13</v>
      </c>
      <c r="CU180" s="17">
        <f>CT180*VLOOKUP('Données projet'!$B$13,Paramètres!$A$1:$I$89,3,0)*VLOOKUP('Données projet'!$B$13,Paramètres!$A$1:$I$89,5,0)</f>
        <v>-1.4733814168721438E-13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150.78964413039063</v>
      </c>
      <c r="CZ180" s="59">
        <f t="shared" si="150"/>
        <v>131.90332435966184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13.833838458824312</v>
      </c>
      <c r="DG180" s="21">
        <f>EXP(-LN(2)/25)*DG179+(1-EXP(-LN(2)/25))/(LN(2)/25)*Calculateur!DB180*Calculateur!DD180*VLOOKUP('Données projet'!$B$13,Paramètres!$A$1:$I$89,3,0)*0.475*44/12</f>
        <v>5.1809395720488318</v>
      </c>
      <c r="DH180" s="21">
        <f>EXP(-LN(2)/2)*DH179+(1-EXP(-LN(2)/2))/(LN(2)/2)*DB180*DE180*VLOOKUP('Données projet'!$B$13,Paramètres!$A$1:$I$89,3,0)*0.475*44/12</f>
        <v>1.4099606316675211E-3</v>
      </c>
      <c r="DI180" s="22">
        <f t="shared" si="175"/>
        <v>19.016187991504815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-1.4210854715202004E-14</v>
      </c>
      <c r="DP180" s="17">
        <f>DO180*VLOOKUP('Données projet'!$B$14,Paramètres!$A$1:$I$89,3,0)*VLOOKUP('Données projet'!$B$14,Paramètres!$A$1:$I$89,5,0)</f>
        <v>-1.4853185348329136E-14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110.10595934547638</v>
      </c>
      <c r="DU180" s="59">
        <f t="shared" si="152"/>
        <v>131.10971921141493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4.3849481538769597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4.3849481538769597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7.688333333333337</v>
      </c>
      <c r="EJ180" s="12">
        <f>IF('Données projet'!$A$192&gt;35,EJ179+EI180-ER179,IF(A180&lt;'Données projet'!$A$192,$EG$205^A180,IF(A180='Données projet'!$A$192,'Données projet'!$B$192,EJ179+EI180-ER179)))</f>
        <v>433.47499999999968</v>
      </c>
      <c r="EK180" s="17">
        <f>EJ180*VLOOKUP('Données projet'!$B$15,Paramètres!$A$1:$I$89,3,0)*VLOOKUP('Données projet'!$B$15,Paramètres!$A$1:$I$89,5,0)</f>
        <v>439.54364999999967</v>
      </c>
      <c r="EL180" s="13">
        <f t="shared" si="179"/>
        <v>99.749020817344601</v>
      </c>
      <c r="EM180" s="20">
        <f t="shared" si="180"/>
        <v>939.26806834020806</v>
      </c>
      <c r="EN180" s="59">
        <f t="shared" si="128"/>
        <v>1232.6014016735414</v>
      </c>
      <c r="EO180" s="59">
        <f ca="1">AVERAGE(OFFSET($EN$3,0,0,'Données projet'!$E$15+1,1))-AVERAGE(OFFSET($H$3,0,0,'Données projet'!$E$15+1,1))</f>
        <v>420.38735944595965</v>
      </c>
      <c r="EP180" s="59">
        <f t="shared" si="154"/>
        <v>200.0823542414671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42.149109093194177</v>
      </c>
      <c r="EW180" s="21">
        <f>EXP(-LN(2)/25)*EW179+(1-EXP(-LN(2)/25))/(LN(2)/25)*Calculateur!ER180*Calculateur!ET180*VLOOKUP('Données projet'!$B$15,Paramètres!$A$1:$I$89,3,0)*0.475*44/12</f>
        <v>18.111141502540349</v>
      </c>
      <c r="EX180" s="21">
        <f>EXP(-LN(2)/2)*EX179+(1-EXP(-LN(2)/2))/(LN(2)/2)*ER180*EU180*VLOOKUP('Données projet'!$B$15,Paramètres!$A$1:$I$89,3,0)*0.475*44/12</f>
        <v>6.3727006731011183E-5</v>
      </c>
      <c r="EY180" s="22">
        <f t="shared" si="181"/>
        <v>60.260314322741259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2.5579538487363607E-13</v>
      </c>
      <c r="FF180" s="17">
        <f>FE180*VLOOKUP('Données projet'!$B$16,Paramètres!$A$1:$I$89,3,0)*VLOOKUP('Données projet'!$B$16,Paramètres!$A$1:$I$89,5,0)</f>
        <v>2.7533815227798186E-13</v>
      </c>
      <c r="FG180" s="13">
        <f t="shared" si="182"/>
        <v>3.6763598146902537E-12</v>
      </c>
      <c r="FH180" s="20">
        <f t="shared" si="183"/>
        <v>6.88254062580301E-12</v>
      </c>
      <c r="FI180" s="59">
        <f t="shared" si="131"/>
        <v>293.33333333334019</v>
      </c>
      <c r="FJ180" s="59">
        <f ca="1">AVERAGE(OFFSET($FI$3,0,0,'Données projet'!$E$16+1,1))-AVERAGE(OFFSET($H$3,0,0,'Données projet'!$E$16+1,1))</f>
        <v>415.8741608506952</v>
      </c>
      <c r="FK180" s="59">
        <f t="shared" si="156"/>
        <v>259.15848913719356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52.982311178894903</v>
      </c>
      <c r="FR180" s="21">
        <f>EXP(-LN(2)/25)*FR179+(1-EXP(-LN(2)/25))/(LN(2)/25)*Calculateur!FM180*Calculateur!FO180*VLOOKUP('Données projet'!$B$16,Paramètres!$A$1:$I$89,3,0)*0.475*44/12</f>
        <v>7.6086950629518366</v>
      </c>
      <c r="FS180" s="21">
        <f>EXP(-LN(2)/2)*FS179+(1-EXP(-LN(2)/2))/(LN(2)/2)*FM180*FP180*VLOOKUP('Données projet'!$B$16,Paramètres!$A$1:$I$89,3,0)*0.475*44/12</f>
        <v>6.8283371493984939E-7</v>
      </c>
      <c r="FT180" s="22">
        <f t="shared" si="184"/>
        <v>60.591006924680457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2.5579538487363607E-13</v>
      </c>
      <c r="GA180" s="17">
        <f>FZ180*VLOOKUP('Données projet'!$B$17,Paramètres!$A$1:$I$89,3,0)*VLOOKUP('Données projet'!$B$17,Paramètres!$A$1:$I$89,5,0)</f>
        <v>2.1947244022157976E-13</v>
      </c>
      <c r="GB180" s="13">
        <f t="shared" si="185"/>
        <v>3.0088145886933343E-12</v>
      </c>
      <c r="GC180" s="20">
        <f t="shared" si="186"/>
        <v>5.6225999086934742E-12</v>
      </c>
      <c r="GD180" s="59">
        <f t="shared" si="134"/>
        <v>293.33333333333894</v>
      </c>
      <c r="GE180" s="59">
        <f ca="1">AVERAGE(OFFSET($GD$3,0,0,'Données projet'!$E$17+1,1))-AVERAGE(OFFSET($H$3,0,0,'Données projet'!$E$17+1,1))</f>
        <v>322.39807389980882</v>
      </c>
      <c r="GF180" s="59">
        <f t="shared" si="158"/>
        <v>202.59410055732792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52.053736800296114</v>
      </c>
      <c r="GM180" s="21">
        <f>EXP(-LN(2)/25)*GM179+(1-EXP(-LN(2)/25))/(LN(2)/25)*Calculateur!GH180*Calculateur!GJ180*VLOOKUP('Données projet'!$B$17,Paramètres!$A$1:$I$89,3,0)*0.475*44/12</f>
        <v>7.4753441552088331</v>
      </c>
      <c r="GN180" s="21">
        <f>EXP(-LN(2)/2)*GN179+(1-EXP(-LN(2)/2))/(LN(2)/2)*GH180*GK180*VLOOKUP('Données projet'!$B$17,Paramètres!$A$1:$I$89,3,0)*0.475*44/12</f>
        <v>5.4428774379263419E-7</v>
      </c>
      <c r="GO180" s="21">
        <f t="shared" si="187"/>
        <v>59.529081499792689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65.25479999999979</v>
      </c>
      <c r="D181" s="11">
        <f t="shared" si="140"/>
        <v>18.490286358600766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646.45329820674112</v>
      </c>
      <c r="H181" s="67">
        <f t="shared" si="110"/>
        <v>439.18935874122928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1.5961632016114892E-13</v>
      </c>
      <c r="P181" s="13">
        <f t="shared" si="141"/>
        <v>2.2708641912150958E-12</v>
      </c>
      <c r="Q181" s="20">
        <f t="shared" si="162"/>
        <v>4.2330868906469593E-12</v>
      </c>
      <c r="R181" s="59">
        <f t="shared" si="109"/>
        <v>293.33333333333752</v>
      </c>
      <c r="S181" s="59">
        <f ca="1">AVERAGE(OFFSET($R$3,0,0,'Données projet'!$E$9+1,1))-AVERAGE(OFFSET($H$3,0,0,'Données projet'!$E$9+1,1))</f>
        <v>215.77907571824977</v>
      </c>
      <c r="T181" s="59">
        <f t="shared" si="142"/>
        <v>174.69390149594869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33.46131938005631</v>
      </c>
      <c r="AA181" s="21">
        <f>EXP(-LN(2)/25)*AA180+(1-EXP(-LN(2)/25))/(LN(2)/25)*Calculateur!V181*Calculateur!X181*VLOOKUP('Données projet'!$B$9,Paramètres!$A$1:$I$89,3,0)*0.475*44/12</f>
        <v>6.1830013129333139</v>
      </c>
      <c r="AB181" s="21">
        <f>EXP(-LN(2)/2)*AB180+(1-EXP(-LN(2)/2))/(LN(2)/2)*V181*Y181*VLOOKUP('Données projet'!$B$9,Paramètres!$A$1:$I$89,3,0)*0.475*44/12</f>
        <v>1.2960114354229228E-9</v>
      </c>
      <c r="AC181" s="22">
        <f t="shared" si="163"/>
        <v>39.644320694285632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-1.0197709343628959E-13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171.701352621833</v>
      </c>
      <c r="AO181" s="59">
        <f t="shared" si="144"/>
        <v>195.58435749168586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10.276567961040685</v>
      </c>
      <c r="AV181" s="21">
        <f>EXP(-LN(2)/25)*AV180+(1-EXP(-LN(2)/25))/(LN(2)/25)*Calculateur!AQ181*Calculateur!AS181*VLOOKUP('Données projet'!$B$10,Paramètres!$A$1:$I$89,3,0)*0.475*44/12</f>
        <v>1.4991833552611751</v>
      </c>
      <c r="AW181" s="21">
        <f>EXP(-LN(2)/2)*AW180+(1-EXP(-LN(2)/2))/(LN(2)/2)*AQ181*AT181*VLOOKUP('Données projet'!$B$10,Paramètres!$A$1:$I$89,3,0)*0.475*44/12</f>
        <v>1.5514994233248633E-16</v>
      </c>
      <c r="AX181" s="21">
        <f t="shared" si="166"/>
        <v>11.775751316301861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-1.1823431123048067E-13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348.29124901999882</v>
      </c>
      <c r="BJ181" s="59">
        <f t="shared" si="146"/>
        <v>284.30034973939053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31.205441949513077</v>
      </c>
      <c r="BQ181" s="21">
        <f>EXP(-LN(2)/25)*BQ180+(1-EXP(-LN(2)/25))/(LN(2)/25)*Calculateur!BL181*Calculateur!BN181*VLOOKUP('Données projet'!$B$11,Paramètres!$A$1:$I$89,3,0)*0.475*44/12</f>
        <v>5.1386353439165706</v>
      </c>
      <c r="BR181" s="21">
        <f>EXP(-LN(2)/2)*BR180+(1-EXP(-LN(2)/2))/(LN(2)/2)*BL181*BO181*VLOOKUP('Données projet'!$B$11,Paramètres!$A$1:$I$89,3,0)*0.475*44/12</f>
        <v>1.498659138457723E-13</v>
      </c>
      <c r="BS181" s="22">
        <f t="shared" si="169"/>
        <v>36.344077293429798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-1.3596945791505279E-13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185.82627135915504</v>
      </c>
      <c r="CE181" s="59">
        <f t="shared" si="148"/>
        <v>155.46126452522037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24.568391046838894</v>
      </c>
      <c r="CL181" s="21">
        <f>EXP(-LN(2)/25)*CL180+(1-EXP(-LN(2)/25))/(LN(2)/25)*Calculateur!CG181*Calculateur!CI181*VLOOKUP('Données projet'!$B$12,Paramètres!$A$1:$I$89,3,0)*0.475*44/12</f>
        <v>4.5859849639865029</v>
      </c>
      <c r="CM181" s="21">
        <f>EXP(-LN(2)/2)*CM180+(1-EXP(-LN(2)/2))/(LN(2)/2)*CG181*CJ181*VLOOKUP('Données projet'!$B$12,Paramètres!$A$1:$I$89,3,0)*0.475*44/12</f>
        <v>1.9711074878143771E-9</v>
      </c>
      <c r="CN181" s="22">
        <f t="shared" si="172"/>
        <v>29.154376012796501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-1.2789769243681803E-13</v>
      </c>
      <c r="CU181" s="17">
        <f>CT181*VLOOKUP('Données projet'!$B$13,Paramètres!$A$1:$I$89,3,0)*VLOOKUP('Données projet'!$B$13,Paramètres!$A$1:$I$89,5,0)</f>
        <v>-1.4733814168721438E-13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150.78964413039063</v>
      </c>
      <c r="CZ181" s="59">
        <f t="shared" si="150"/>
        <v>131.90332435966184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13.562565324455063</v>
      </c>
      <c r="DG181" s="21">
        <f>EXP(-LN(2)/25)*DG180+(1-EXP(-LN(2)/25))/(LN(2)/25)*Calculateur!DB181*Calculateur!DD181*VLOOKUP('Données projet'!$B$13,Paramètres!$A$1:$I$89,3,0)*0.475*44/12</f>
        <v>5.0392665069973859</v>
      </c>
      <c r="DH181" s="21">
        <f>EXP(-LN(2)/2)*DH180+(1-EXP(-LN(2)/2))/(LN(2)/2)*DB181*DE181*VLOOKUP('Données projet'!$B$13,Paramètres!$A$1:$I$89,3,0)*0.475*44/12</f>
        <v>9.9699272385817212E-4</v>
      </c>
      <c r="DI181" s="22">
        <f t="shared" si="175"/>
        <v>18.60282882417631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-1.4210854715202004E-14</v>
      </c>
      <c r="DP181" s="17">
        <f>DO181*VLOOKUP('Données projet'!$B$14,Paramètres!$A$1:$I$89,3,0)*VLOOKUP('Données projet'!$B$14,Paramètres!$A$1:$I$89,5,0)</f>
        <v>-1.4853185348329136E-14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110.10595934547638</v>
      </c>
      <c r="DU181" s="59">
        <f t="shared" si="152"/>
        <v>131.10971921141493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4.2650415160147928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4.2650415160147928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7.688333333333337</v>
      </c>
      <c r="EJ181" s="12">
        <f>IF('Données projet'!$A$192&gt;35,EJ180+EI181-ER180,IF(A181&lt;'Données projet'!$A$192,$EG$205^A181,IF(A181='Données projet'!$A$192,'Données projet'!$B$192,EJ180+EI181-ER180)))</f>
        <v>441.16333333333301</v>
      </c>
      <c r="EK181" s="17">
        <f>EJ181*VLOOKUP('Données projet'!$B$15,Paramètres!$A$1:$I$89,3,0)*VLOOKUP('Données projet'!$B$15,Paramètres!$A$1:$I$89,5,0)</f>
        <v>447.33961999999968</v>
      </c>
      <c r="EL181" s="13">
        <f t="shared" si="179"/>
        <v>101.31068228028938</v>
      </c>
      <c r="EM181" s="20">
        <f t="shared" si="180"/>
        <v>955.56594313817016</v>
      </c>
      <c r="EN181" s="59">
        <f t="shared" si="128"/>
        <v>1248.8992764715035</v>
      </c>
      <c r="EO181" s="59">
        <f ca="1">AVERAGE(OFFSET($EN$3,0,0,'Données projet'!$E$15+1,1))-AVERAGE(OFFSET($H$3,0,0,'Données projet'!$E$15+1,1))</f>
        <v>420.38735944595965</v>
      </c>
      <c r="EP181" s="59">
        <f t="shared" si="154"/>
        <v>200.0823542414671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41.322590772294689</v>
      </c>
      <c r="EW181" s="21">
        <f>EXP(-LN(2)/25)*EW180+(1-EXP(-LN(2)/25))/(LN(2)/25)*Calculateur!ER181*Calculateur!ET181*VLOOKUP('Données projet'!$B$15,Paramètres!$A$1:$I$89,3,0)*0.475*44/12</f>
        <v>17.615891385729846</v>
      </c>
      <c r="EX181" s="21">
        <f>EXP(-LN(2)/2)*EX180+(1-EXP(-LN(2)/2))/(LN(2)/2)*ER181*EU181*VLOOKUP('Données projet'!$B$15,Paramètres!$A$1:$I$89,3,0)*0.475*44/12</f>
        <v>4.5061798604218766E-5</v>
      </c>
      <c r="EY181" s="22">
        <f t="shared" si="181"/>
        <v>58.938527219823136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2.5579538487363607E-13</v>
      </c>
      <c r="FF181" s="17">
        <f>FE181*VLOOKUP('Données projet'!$B$16,Paramètres!$A$1:$I$89,3,0)*VLOOKUP('Données projet'!$B$16,Paramètres!$A$1:$I$89,5,0)</f>
        <v>2.7533815227798186E-13</v>
      </c>
      <c r="FG181" s="13">
        <f t="shared" si="182"/>
        <v>3.6763598146902537E-12</v>
      </c>
      <c r="FH181" s="20">
        <f t="shared" si="183"/>
        <v>6.88254062580301E-12</v>
      </c>
      <c r="FI181" s="59">
        <f t="shared" si="131"/>
        <v>293.33333333334019</v>
      </c>
      <c r="FJ181" s="59">
        <f ca="1">AVERAGE(OFFSET($FI$3,0,0,'Données projet'!$E$16+1,1))-AVERAGE(OFFSET($H$3,0,0,'Données projet'!$E$16+1,1))</f>
        <v>415.8741608506952</v>
      </c>
      <c r="FK181" s="59">
        <f t="shared" si="156"/>
        <v>259.15848913719356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51.943360372695651</v>
      </c>
      <c r="FR181" s="21">
        <f>EXP(-LN(2)/25)*FR180+(1-EXP(-LN(2)/25))/(LN(2)/25)*Calculateur!FM181*Calculateur!FO181*VLOOKUP('Données projet'!$B$16,Paramètres!$A$1:$I$89,3,0)*0.475*44/12</f>
        <v>7.4006348963315354</v>
      </c>
      <c r="FS181" s="21">
        <f>EXP(-LN(2)/2)*FS180+(1-EXP(-LN(2)/2))/(LN(2)/2)*FM181*FP181*VLOOKUP('Données projet'!$B$16,Paramètres!$A$1:$I$89,3,0)*0.475*44/12</f>
        <v>4.8283635025676946E-7</v>
      </c>
      <c r="FT181" s="22">
        <f t="shared" si="184"/>
        <v>59.343995751863538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2.5579538487363607E-13</v>
      </c>
      <c r="GA181" s="17">
        <f>FZ181*VLOOKUP('Données projet'!$B$17,Paramètres!$A$1:$I$89,3,0)*VLOOKUP('Données projet'!$B$17,Paramètres!$A$1:$I$89,5,0)</f>
        <v>2.1947244022157976E-13</v>
      </c>
      <c r="GB181" s="13">
        <f t="shared" si="185"/>
        <v>3.0088145886933343E-12</v>
      </c>
      <c r="GC181" s="20">
        <f t="shared" si="186"/>
        <v>5.6225999086934742E-12</v>
      </c>
      <c r="GD181" s="59">
        <f t="shared" si="134"/>
        <v>293.33333333333894</v>
      </c>
      <c r="GE181" s="59">
        <f ca="1">AVERAGE(OFFSET($GD$3,0,0,'Données projet'!$E$17+1,1))-AVERAGE(OFFSET($H$3,0,0,'Données projet'!$E$17+1,1))</f>
        <v>322.39807389980882</v>
      </c>
      <c r="GF181" s="59">
        <f t="shared" si="158"/>
        <v>202.59410055732792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51.032994771286738</v>
      </c>
      <c r="GM181" s="21">
        <f>EXP(-LN(2)/25)*GM180+(1-EXP(-LN(2)/25))/(LN(2)/25)*Calculateur!GH181*Calculateur!GJ181*VLOOKUP('Données projet'!$B$17,Paramètres!$A$1:$I$89,3,0)*0.475*44/12</f>
        <v>7.2709304761733833</v>
      </c>
      <c r="GN181" s="21">
        <f>EXP(-LN(2)/2)*GN180+(1-EXP(-LN(2)/2))/(LN(2)/2)*GH181*GK181*VLOOKUP('Données projet'!$B$17,Paramètres!$A$1:$I$89,3,0)*0.475*44/12</f>
        <v>3.8486955455249783E-7</v>
      </c>
      <c r="GO181" s="21">
        <f t="shared" si="187"/>
        <v>58.303925632329673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65.621399999999795</v>
      </c>
      <c r="D182" s="11">
        <f t="shared" si="140"/>
        <v>18.582043022537125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649.9914899985306</v>
      </c>
      <c r="H182" s="67">
        <f t="shared" si="110"/>
        <v>439.98766326425175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1.5961632016114892E-13</v>
      </c>
      <c r="P182" s="13">
        <f t="shared" si="141"/>
        <v>2.2708641912150958E-12</v>
      </c>
      <c r="Q182" s="20">
        <f t="shared" si="162"/>
        <v>4.2330868906469593E-12</v>
      </c>
      <c r="R182" s="59">
        <f t="shared" si="109"/>
        <v>293.33333333333752</v>
      </c>
      <c r="S182" s="59">
        <f ca="1">AVERAGE(OFFSET($R$3,0,0,'Données projet'!$E$9+1,1))-AVERAGE(OFFSET($H$3,0,0,'Données projet'!$E$9+1,1))</f>
        <v>215.77907571824977</v>
      </c>
      <c r="T182" s="59">
        <f t="shared" si="142"/>
        <v>174.69390149594869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32.805163316402968</v>
      </c>
      <c r="AA182" s="21">
        <f>EXP(-LN(2)/25)*AA181+(1-EXP(-LN(2)/25))/(LN(2)/25)*Calculateur!V182*Calculateur!X182*VLOOKUP('Données projet'!$B$9,Paramètres!$A$1:$I$89,3,0)*0.475*44/12</f>
        <v>6.013926816881245</v>
      </c>
      <c r="AB182" s="21">
        <f>EXP(-LN(2)/2)*AB181+(1-EXP(-LN(2)/2))/(LN(2)/2)*V182*Y182*VLOOKUP('Données projet'!$B$9,Paramètres!$A$1:$I$89,3,0)*0.475*44/12</f>
        <v>9.1641847448286008E-10</v>
      </c>
      <c r="AC182" s="22">
        <f t="shared" si="163"/>
        <v>38.819090134200628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-1.0197709343628959E-13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171.701352621833</v>
      </c>
      <c r="AO182" s="59">
        <f t="shared" si="144"/>
        <v>195.58435749168586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10.075050731412212</v>
      </c>
      <c r="AV182" s="21">
        <f>EXP(-LN(2)/25)*AV181+(1-EXP(-LN(2)/25))/(LN(2)/25)*Calculateur!AQ182*Calculateur!AS182*VLOOKUP('Données projet'!$B$10,Paramètres!$A$1:$I$89,3,0)*0.475*44/12</f>
        <v>1.4581881075729319</v>
      </c>
      <c r="AW182" s="21">
        <f>EXP(-LN(2)/2)*AW181+(1-EXP(-LN(2)/2))/(LN(2)/2)*AQ182*AT182*VLOOKUP('Données projet'!$B$10,Paramètres!$A$1:$I$89,3,0)*0.475*44/12</f>
        <v>1.0970757632400289E-16</v>
      </c>
      <c r="AX182" s="21">
        <f t="shared" si="166"/>
        <v>11.533238838985143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-1.1823431123048067E-13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348.29124901999882</v>
      </c>
      <c r="BJ182" s="59">
        <f t="shared" si="146"/>
        <v>284.30034973939053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30.593522266323319</v>
      </c>
      <c r="BQ182" s="21">
        <f>EXP(-LN(2)/25)*BQ181+(1-EXP(-LN(2)/25))/(LN(2)/25)*Calculateur!BL182*Calculateur!BN182*VLOOKUP('Données projet'!$B$11,Paramètres!$A$1:$I$89,3,0)*0.475*44/12</f>
        <v>4.9981190902080836</v>
      </c>
      <c r="BR182" s="21">
        <f>EXP(-LN(2)/2)*BR181+(1-EXP(-LN(2)/2))/(LN(2)/2)*BL182*BO182*VLOOKUP('Données projet'!$B$11,Paramètres!$A$1:$I$89,3,0)*0.475*44/12</f>
        <v>1.059712039490645E-13</v>
      </c>
      <c r="BS182" s="22">
        <f t="shared" si="169"/>
        <v>35.591641356531511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-1.3596945791505279E-13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185.82627135915504</v>
      </c>
      <c r="CE182" s="59">
        <f t="shared" si="148"/>
        <v>155.46126452522037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24.086619883649252</v>
      </c>
      <c r="CL182" s="21">
        <f>EXP(-LN(2)/25)*CL181+(1-EXP(-LN(2)/25))/(LN(2)/25)*Calculateur!CG182*Calculateur!CI182*VLOOKUP('Données projet'!$B$12,Paramètres!$A$1:$I$89,3,0)*0.475*44/12</f>
        <v>4.4605809639798242</v>
      </c>
      <c r="CM182" s="21">
        <f>EXP(-LN(2)/2)*CM181+(1-EXP(-LN(2)/2))/(LN(2)/2)*CG182*CJ182*VLOOKUP('Données projet'!$B$12,Paramètres!$A$1:$I$89,3,0)*0.475*44/12</f>
        <v>1.3937834710811262E-9</v>
      </c>
      <c r="CN182" s="22">
        <f t="shared" si="172"/>
        <v>28.547200849022861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-1.2789769243681803E-13</v>
      </c>
      <c r="CU182" s="17">
        <f>CT182*VLOOKUP('Données projet'!$B$13,Paramètres!$A$1:$I$89,3,0)*VLOOKUP('Données projet'!$B$13,Paramètres!$A$1:$I$89,5,0)</f>
        <v>-1.4733814168721438E-13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150.78964413039063</v>
      </c>
      <c r="CZ182" s="59">
        <f t="shared" si="150"/>
        <v>131.90332435966184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13.29661169079052</v>
      </c>
      <c r="DG182" s="21">
        <f>EXP(-LN(2)/25)*DG181+(1-EXP(-LN(2)/25))/(LN(2)/25)*Calculateur!DB182*Calculateur!DD182*VLOOKUP('Données projet'!$B$13,Paramètres!$A$1:$I$89,3,0)*0.475*44/12</f>
        <v>4.9014674993600345</v>
      </c>
      <c r="DH182" s="21">
        <f>EXP(-LN(2)/2)*DH181+(1-EXP(-LN(2)/2))/(LN(2)/2)*DB182*DE182*VLOOKUP('Données projet'!$B$13,Paramètres!$A$1:$I$89,3,0)*0.475*44/12</f>
        <v>7.0498031583376053E-4</v>
      </c>
      <c r="DI182" s="22">
        <f t="shared" si="175"/>
        <v>18.198784170466389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-1.4210854715202004E-14</v>
      </c>
      <c r="DP182" s="17">
        <f>DO182*VLOOKUP('Données projet'!$B$14,Paramètres!$A$1:$I$89,3,0)*VLOOKUP('Données projet'!$B$14,Paramètres!$A$1:$I$89,5,0)</f>
        <v>-1.4853185348329136E-14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110.10595934547638</v>
      </c>
      <c r="DU182" s="59">
        <f t="shared" si="152"/>
        <v>131.10971921141493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4.1484137314705825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4.1484137314705825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7.688333333333337</v>
      </c>
      <c r="EJ182" s="12">
        <f>IF('Données projet'!$A$192&gt;35,EJ181+EI182-ER181,IF(A182&lt;'Données projet'!$A$192,$EG$205^A182,IF(A182='Données projet'!$A$192,'Données projet'!$B$192,EJ181+EI182-ER181)))</f>
        <v>448.85166666666635</v>
      </c>
      <c r="EK182" s="17">
        <f>EJ182*VLOOKUP('Données projet'!$B$15,Paramètres!$A$1:$I$89,3,0)*VLOOKUP('Données projet'!$B$15,Paramètres!$A$1:$I$89,5,0)</f>
        <v>455.13558999999975</v>
      </c>
      <c r="EL182" s="13">
        <f t="shared" si="179"/>
        <v>102.86917887604061</v>
      </c>
      <c r="EM182" s="20">
        <f t="shared" si="180"/>
        <v>971.85830579243668</v>
      </c>
      <c r="EN182" s="59">
        <f t="shared" si="128"/>
        <v>1265.1916391257701</v>
      </c>
      <c r="EO182" s="59">
        <f ca="1">AVERAGE(OFFSET($EN$3,0,0,'Données projet'!$E$15+1,1))-AVERAGE(OFFSET($H$3,0,0,'Données projet'!$E$15+1,1))</f>
        <v>420.38735944595965</v>
      </c>
      <c r="EP182" s="59">
        <f t="shared" si="154"/>
        <v>200.0823542414671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40.512279971541645</v>
      </c>
      <c r="EW182" s="21">
        <f>EXP(-LN(2)/25)*EW181+(1-EXP(-LN(2)/25))/(LN(2)/25)*Calculateur!ER182*Calculateur!ET182*VLOOKUP('Données projet'!$B$15,Paramètres!$A$1:$I$89,3,0)*0.475*44/12</f>
        <v>17.134183909407597</v>
      </c>
      <c r="EX182" s="21">
        <f>EXP(-LN(2)/2)*EX181+(1-EXP(-LN(2)/2))/(LN(2)/2)*ER182*EU182*VLOOKUP('Données projet'!$B$15,Paramètres!$A$1:$I$89,3,0)*0.475*44/12</f>
        <v>3.1863503365505592E-5</v>
      </c>
      <c r="EY182" s="22">
        <f t="shared" si="181"/>
        <v>57.646495744452608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2.5579538487363607E-13</v>
      </c>
      <c r="FF182" s="17">
        <f>FE182*VLOOKUP('Données projet'!$B$16,Paramètres!$A$1:$I$89,3,0)*VLOOKUP('Données projet'!$B$16,Paramètres!$A$1:$I$89,5,0)</f>
        <v>2.7533815227798186E-13</v>
      </c>
      <c r="FG182" s="13">
        <f t="shared" si="182"/>
        <v>3.6763598146902537E-12</v>
      </c>
      <c r="FH182" s="20">
        <f t="shared" si="183"/>
        <v>6.88254062580301E-12</v>
      </c>
      <c r="FI182" s="59">
        <f t="shared" si="131"/>
        <v>293.33333333334019</v>
      </c>
      <c r="FJ182" s="59">
        <f ca="1">AVERAGE(OFFSET($FI$3,0,0,'Données projet'!$E$16+1,1))-AVERAGE(OFFSET($H$3,0,0,'Données projet'!$E$16+1,1))</f>
        <v>415.8741608506952</v>
      </c>
      <c r="FK182" s="59">
        <f t="shared" si="156"/>
        <v>259.15848913719356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50.924782758108549</v>
      </c>
      <c r="FR182" s="21">
        <f>EXP(-LN(2)/25)*FR181+(1-EXP(-LN(2)/25))/(LN(2)/25)*Calculateur!FM182*Calculateur!FO182*VLOOKUP('Données projet'!$B$16,Paramètres!$A$1:$I$89,3,0)*0.475*44/12</f>
        <v>7.1982641459088743</v>
      </c>
      <c r="FS182" s="21">
        <f>EXP(-LN(2)/2)*FS181+(1-EXP(-LN(2)/2))/(LN(2)/2)*FM182*FP182*VLOOKUP('Données projet'!$B$16,Paramètres!$A$1:$I$89,3,0)*0.475*44/12</f>
        <v>3.414168574699247E-7</v>
      </c>
      <c r="FT182" s="22">
        <f t="shared" si="184"/>
        <v>58.123047245434279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2.5579538487363607E-13</v>
      </c>
      <c r="GA182" s="17">
        <f>FZ182*VLOOKUP('Données projet'!$B$17,Paramètres!$A$1:$I$89,3,0)*VLOOKUP('Données projet'!$B$17,Paramètres!$A$1:$I$89,5,0)</f>
        <v>2.1947244022157976E-13</v>
      </c>
      <c r="GB182" s="13">
        <f t="shared" si="185"/>
        <v>3.0088145886933343E-12</v>
      </c>
      <c r="GC182" s="20">
        <f t="shared" si="186"/>
        <v>5.6225999086934742E-12</v>
      </c>
      <c r="GD182" s="59">
        <f t="shared" si="134"/>
        <v>293.33333333333894</v>
      </c>
      <c r="GE182" s="59">
        <f ca="1">AVERAGE(OFFSET($GD$3,0,0,'Données projet'!$E$17+1,1))-AVERAGE(OFFSET($H$3,0,0,'Données projet'!$E$17+1,1))</f>
        <v>322.39807389980882</v>
      </c>
      <c r="GF182" s="59">
        <f t="shared" si="158"/>
        <v>202.59410055732792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50.032268870875072</v>
      </c>
      <c r="GM182" s="21">
        <f>EXP(-LN(2)/25)*GM181+(1-EXP(-LN(2)/25))/(LN(2)/25)*Calculateur!GH182*Calculateur!GJ182*VLOOKUP('Données projet'!$B$17,Paramètres!$A$1:$I$89,3,0)*0.475*44/12</f>
        <v>7.0721064999408068</v>
      </c>
      <c r="GN182" s="21">
        <f>EXP(-LN(2)/2)*GN181+(1-EXP(-LN(2)/2))/(LN(2)/2)*GH182*GK182*VLOOKUP('Données projet'!$B$17,Paramètres!$A$1:$I$89,3,0)*0.475*44/12</f>
        <v>2.721438718963171E-7</v>
      </c>
      <c r="GO182" s="21">
        <f t="shared" si="187"/>
        <v>57.104375642959752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65.987999999999801</v>
      </c>
      <c r="D183" s="11">
        <f t="shared" si="140"/>
        <v>18.673740038079401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653.52922134657638</v>
      </c>
      <c r="H183" s="67">
        <f t="shared" si="110"/>
        <v>440.7858638996546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1.5961632016114892E-13</v>
      </c>
      <c r="P183" s="13">
        <f t="shared" si="141"/>
        <v>2.2708641912150958E-12</v>
      </c>
      <c r="Q183" s="20">
        <f t="shared" si="162"/>
        <v>4.2330868906469593E-12</v>
      </c>
      <c r="R183" s="59">
        <f t="shared" si="109"/>
        <v>293.33333333333752</v>
      </c>
      <c r="S183" s="59">
        <f ca="1">AVERAGE(OFFSET($R$3,0,0,'Données projet'!$E$9+1,1))-AVERAGE(OFFSET($H$3,0,0,'Données projet'!$E$9+1,1))</f>
        <v>215.77907571824977</v>
      </c>
      <c r="T183" s="59">
        <f t="shared" si="142"/>
        <v>174.69390149594869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32.16187407294219</v>
      </c>
      <c r="AA183" s="21">
        <f>EXP(-LN(2)/25)*AA182+(1-EXP(-LN(2)/25))/(LN(2)/25)*Calculateur!V183*Calculateur!X183*VLOOKUP('Données projet'!$B$9,Paramètres!$A$1:$I$89,3,0)*0.475*44/12</f>
        <v>5.849475671814961</v>
      </c>
      <c r="AB183" s="21">
        <f>EXP(-LN(2)/2)*AB182+(1-EXP(-LN(2)/2))/(LN(2)/2)*V183*Y183*VLOOKUP('Données projet'!$B$9,Paramètres!$A$1:$I$89,3,0)*0.475*44/12</f>
        <v>6.480057177114615E-10</v>
      </c>
      <c r="AC183" s="22">
        <f t="shared" si="163"/>
        <v>38.011349745405163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-1.0197709343628959E-13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171.701352621833</v>
      </c>
      <c r="AO183" s="59">
        <f t="shared" si="144"/>
        <v>195.58435749168586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9.8774851317433789</v>
      </c>
      <c r="AV183" s="21">
        <f>EXP(-LN(2)/25)*AV182+(1-EXP(-LN(2)/25))/(LN(2)/25)*Calculateur!AQ183*Calculateur!AS183*VLOOKUP('Données projet'!$B$10,Paramètres!$A$1:$I$89,3,0)*0.475*44/12</f>
        <v>1.4183138770885704</v>
      </c>
      <c r="AW183" s="21">
        <f>EXP(-LN(2)/2)*AW182+(1-EXP(-LN(2)/2))/(LN(2)/2)*AQ183*AT183*VLOOKUP('Données projet'!$B$10,Paramètres!$A$1:$I$89,3,0)*0.475*44/12</f>
        <v>7.7574971166243175E-17</v>
      </c>
      <c r="AX183" s="21">
        <f t="shared" si="166"/>
        <v>11.295799008831949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-1.1823431123048067E-13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348.29124901999882</v>
      </c>
      <c r="BJ183" s="59">
        <f t="shared" si="146"/>
        <v>284.30034973939053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29.99360195488676</v>
      </c>
      <c r="BQ183" s="21">
        <f>EXP(-LN(2)/25)*BQ182+(1-EXP(-LN(2)/25))/(LN(2)/25)*Calculateur!BL183*Calculateur!BN183*VLOOKUP('Données projet'!$B$11,Paramètres!$A$1:$I$89,3,0)*0.475*44/12</f>
        <v>4.8614452608466836</v>
      </c>
      <c r="BR183" s="21">
        <f>EXP(-LN(2)/2)*BR182+(1-EXP(-LN(2)/2))/(LN(2)/2)*BL183*BO183*VLOOKUP('Données projet'!$B$11,Paramètres!$A$1:$I$89,3,0)*0.475*44/12</f>
        <v>7.4932956922886152E-14</v>
      </c>
      <c r="BS183" s="22">
        <f t="shared" si="169"/>
        <v>34.855047215733521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-1.3596945791505279E-13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185.82627135915504</v>
      </c>
      <c r="CE183" s="59">
        <f t="shared" si="148"/>
        <v>155.46126452522037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23.614295959118365</v>
      </c>
      <c r="CL183" s="21">
        <f>EXP(-LN(2)/25)*CL182+(1-EXP(-LN(2)/25))/(LN(2)/25)*Calculateur!CG183*Calculateur!CI183*VLOOKUP('Données projet'!$B$12,Paramètres!$A$1:$I$89,3,0)*0.475*44/12</f>
        <v>4.3386061429480378</v>
      </c>
      <c r="CM183" s="21">
        <f>EXP(-LN(2)/2)*CM182+(1-EXP(-LN(2)/2))/(LN(2)/2)*CG183*CJ183*VLOOKUP('Données projet'!$B$12,Paramètres!$A$1:$I$89,3,0)*0.475*44/12</f>
        <v>9.8555374390718854E-10</v>
      </c>
      <c r="CN183" s="22">
        <f t="shared" si="172"/>
        <v>27.952902103051958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-1.2789769243681803E-13</v>
      </c>
      <c r="CU183" s="17">
        <f>CT183*VLOOKUP('Données projet'!$B$13,Paramètres!$A$1:$I$89,3,0)*VLOOKUP('Données projet'!$B$13,Paramètres!$A$1:$I$89,5,0)</f>
        <v>-1.4733814168721438E-13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150.78964413039063</v>
      </c>
      <c r="CZ183" s="59">
        <f t="shared" si="150"/>
        <v>131.90332435966184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13.035873245666441</v>
      </c>
      <c r="DG183" s="21">
        <f>EXP(-LN(2)/25)*DG182+(1-EXP(-LN(2)/25))/(LN(2)/25)*Calculateur!DB183*Calculateur!DD183*VLOOKUP('Données projet'!$B$13,Paramètres!$A$1:$I$89,3,0)*0.475*44/12</f>
        <v>4.7674366128330607</v>
      </c>
      <c r="DH183" s="21">
        <f>EXP(-LN(2)/2)*DH182+(1-EXP(-LN(2)/2))/(LN(2)/2)*DB183*DE183*VLOOKUP('Données projet'!$B$13,Paramètres!$A$1:$I$89,3,0)*0.475*44/12</f>
        <v>4.9849636192908606E-4</v>
      </c>
      <c r="DI183" s="22">
        <f t="shared" si="175"/>
        <v>17.803808354861431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-1.4210854715202004E-14</v>
      </c>
      <c r="DP183" s="17">
        <f>DO183*VLOOKUP('Données projet'!$B$14,Paramètres!$A$1:$I$89,3,0)*VLOOKUP('Données projet'!$B$14,Paramètres!$A$1:$I$89,5,0)</f>
        <v>-1.4853185348329136E-14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110.10595934547638</v>
      </c>
      <c r="DU183" s="59">
        <f t="shared" si="152"/>
        <v>131.10971921141493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4.0349751398279228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4.0349751398279228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456.54</v>
      </c>
      <c r="EH183" s="12">
        <f>VLOOKUP(A183,'Données projet'!$A$191:$I$211,9,0)</f>
        <v>7.688333333333337</v>
      </c>
      <c r="EI183" s="12">
        <f t="array" ref="EI183">INDEX(EH:EH,MIN(IF(ISNUMBER(EH183:EH379),ROW(EH183:EH379),"")))</f>
        <v>7.688333333333337</v>
      </c>
      <c r="EJ183" s="12">
        <f>IF('Données projet'!$A$192&gt;35,EJ182+EI183-ER182,IF(A183&lt;'Données projet'!$A$192,$EG$205^A183,IF(A183='Données projet'!$A$192,'Données projet'!$B$192,EJ182+EI183-ER182)))</f>
        <v>456.53999999999968</v>
      </c>
      <c r="EK183" s="17">
        <f>EJ183*VLOOKUP('Données projet'!$B$15,Paramètres!$A$1:$I$89,3,0)*VLOOKUP('Données projet'!$B$15,Paramètres!$A$1:$I$89,5,0)</f>
        <v>462.93155999999971</v>
      </c>
      <c r="EL183" s="13">
        <f t="shared" si="179"/>
        <v>104.42457107106746</v>
      </c>
      <c r="EM183" s="20">
        <f t="shared" si="180"/>
        <v>988.145261615442</v>
      </c>
      <c r="EN183" s="59">
        <f t="shared" si="128"/>
        <v>1281.4785949487753</v>
      </c>
      <c r="EO183" s="59">
        <f ca="1">AVERAGE(OFFSET($EN$3,0,0,'Données projet'!$E$15+1,1))-AVERAGE(OFFSET($H$3,0,0,'Données projet'!$E$15+1,1))</f>
        <v>420.38735944595965</v>
      </c>
      <c r="EP183" s="59">
        <f t="shared" si="154"/>
        <v>200.0823542414671</v>
      </c>
      <c r="EQ183" s="15">
        <f>IF(ISNA(VLOOKUP(A183,'Données projet'!$A$191:$I$211,3,0)),0,VLOOKUP(A183,'Données projet'!$A$191:$I$211,3,0))</f>
        <v>13</v>
      </c>
      <c r="ER183" s="15">
        <f>IF(ISNA(VLOOKUP(A183,'Données projet'!$A$191:$I$211,4,0)),0,VLOOKUP(A183,'Données projet'!$A$191:$I$211,4,0))</f>
        <v>175.59000000000003</v>
      </c>
      <c r="ES183" s="16">
        <f>IF(ISNA(VLOOKUP(A183,'Données projet'!$A$191:$I$211,5,0)),0%,VLOOKUP(A183,'Données projet'!$A$191:$I$211,5,0)*VLOOKUP('Données projet'!$B$15,Paramètres!$A$1:$I$89,7,0))</f>
        <v>0.215</v>
      </c>
      <c r="ET183" s="16">
        <f>IF(ISNA(VLOOKUP(A183,'Données projet'!$A$191:$I$211,6,0)),0%,VLOOKUP(A183,'Données projet'!$A$191:$I$211,6,0)*VLOOKUP('Données projet'!$B$15,Paramètres!$A$1:$I$89,7,0))</f>
        <v>8.6000000000000007E-2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82.035680546187592</v>
      </c>
      <c r="EW183" s="21">
        <f>EXP(-LN(2)/25)*EW182+(1-EXP(-LN(2)/25))/(LN(2)/25)*Calculateur!ER183*Calculateur!ET183*VLOOKUP('Données projet'!$B$15,Paramètres!$A$1:$I$89,3,0)*0.475*44/12</f>
        <v>33.526128863976865</v>
      </c>
      <c r="EX183" s="21">
        <f>EXP(-LN(2)/2)*EX182+(1-EXP(-LN(2)/2))/(LN(2)/2)*ER183*EU183*VLOOKUP('Données projet'!$B$15,Paramètres!$A$1:$I$89,3,0)*0.475*44/12</f>
        <v>2.2530899302109383E-5</v>
      </c>
      <c r="EY183" s="22">
        <f t="shared" si="181"/>
        <v>115.56183194106376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2.5579538487363607E-13</v>
      </c>
      <c r="FF183" s="17">
        <f>FE183*VLOOKUP('Données projet'!$B$16,Paramètres!$A$1:$I$89,3,0)*VLOOKUP('Données projet'!$B$16,Paramètres!$A$1:$I$89,5,0)</f>
        <v>2.7533815227798186E-13</v>
      </c>
      <c r="FG183" s="13">
        <f t="shared" si="182"/>
        <v>3.6763598146902537E-12</v>
      </c>
      <c r="FH183" s="20">
        <f t="shared" si="183"/>
        <v>6.88254062580301E-12</v>
      </c>
      <c r="FI183" s="59">
        <f t="shared" si="131"/>
        <v>293.33333333334019</v>
      </c>
      <c r="FJ183" s="59">
        <f ca="1">AVERAGE(OFFSET($FI$3,0,0,'Données projet'!$E$16+1,1))-AVERAGE(OFFSET($H$3,0,0,'Données projet'!$E$16+1,1))</f>
        <v>415.8741608506952</v>
      </c>
      <c r="FK183" s="59">
        <f t="shared" si="156"/>
        <v>259.15848913719356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49.926178829272502</v>
      </c>
      <c r="FR183" s="21">
        <f>EXP(-LN(2)/25)*FR182+(1-EXP(-LN(2)/25))/(LN(2)/25)*Calculateur!FM183*Calculateur!FO183*VLOOKUP('Données projet'!$B$16,Paramètres!$A$1:$I$89,3,0)*0.475*44/12</f>
        <v>7.0014272342987365</v>
      </c>
      <c r="FS183" s="21">
        <f>EXP(-LN(2)/2)*FS182+(1-EXP(-LN(2)/2))/(LN(2)/2)*FM183*FP183*VLOOKUP('Données projet'!$B$16,Paramètres!$A$1:$I$89,3,0)*0.475*44/12</f>
        <v>2.4141817512838473E-7</v>
      </c>
      <c r="FT183" s="22">
        <f t="shared" si="184"/>
        <v>56.927606304989418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2.5579538487363607E-13</v>
      </c>
      <c r="GA183" s="17">
        <f>FZ183*VLOOKUP('Données projet'!$B$17,Paramètres!$A$1:$I$89,3,0)*VLOOKUP('Données projet'!$B$17,Paramètres!$A$1:$I$89,5,0)</f>
        <v>2.1947244022157976E-13</v>
      </c>
      <c r="GB183" s="13">
        <f t="shared" si="185"/>
        <v>3.0088145886933343E-12</v>
      </c>
      <c r="GC183" s="20">
        <f t="shared" si="186"/>
        <v>5.6225999086934742E-12</v>
      </c>
      <c r="GD183" s="59">
        <f t="shared" si="134"/>
        <v>293.33333333333894</v>
      </c>
      <c r="GE183" s="59">
        <f ca="1">AVERAGE(OFFSET($GD$3,0,0,'Données projet'!$E$17+1,1))-AVERAGE(OFFSET($H$3,0,0,'Données projet'!$E$17+1,1))</f>
        <v>322.39807389980882</v>
      </c>
      <c r="GF183" s="59">
        <f t="shared" si="158"/>
        <v>202.59410055732792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49.051166594987954</v>
      </c>
      <c r="GM183" s="21">
        <f>EXP(-LN(2)/25)*GM182+(1-EXP(-LN(2)/25))/(LN(2)/25)*Calculateur!GH183*Calculateur!GJ183*VLOOKUP('Données projet'!$B$17,Paramètres!$A$1:$I$89,3,0)*0.475*44/12</f>
        <v>6.8787193757940077</v>
      </c>
      <c r="GN183" s="21">
        <f>EXP(-LN(2)/2)*GN182+(1-EXP(-LN(2)/2))/(LN(2)/2)*GH183*GK183*VLOOKUP('Données projet'!$B$17,Paramètres!$A$1:$I$89,3,0)*0.475*44/12</f>
        <v>1.9243477727624892E-7</v>
      </c>
      <c r="GO183" s="21">
        <f t="shared" si="187"/>
        <v>55.929886163216736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66.354599999999806</v>
      </c>
      <c r="D184" s="11">
        <f t="shared" si="140"/>
        <v>18.765377775064415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657.06649510575892</v>
      </c>
      <c r="H184" s="67">
        <f t="shared" si="110"/>
        <v>441.58396129157018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1.5961632016114892E-13</v>
      </c>
      <c r="P184" s="13">
        <f t="shared" si="141"/>
        <v>2.2708641912150958E-12</v>
      </c>
      <c r="Q184" s="20">
        <f t="shared" si="162"/>
        <v>4.2330868906469593E-12</v>
      </c>
      <c r="R184" s="59">
        <f t="shared" si="109"/>
        <v>293.33333333333752</v>
      </c>
      <c r="S184" s="59">
        <f ca="1">AVERAGE(OFFSET($R$3,0,0,'Données projet'!$E$9+1,1))-AVERAGE(OFFSET($H$3,0,0,'Données projet'!$E$9+1,1))</f>
        <v>215.77907571824977</v>
      </c>
      <c r="T184" s="59">
        <f t="shared" si="142"/>
        <v>174.69390149594869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31.531199339177981</v>
      </c>
      <c r="AA184" s="21">
        <f>EXP(-LN(2)/25)*AA183+(1-EXP(-LN(2)/25))/(LN(2)/25)*Calculateur!V184*Calculateur!X184*VLOOKUP('Données projet'!$B$9,Paramètres!$A$1:$I$89,3,0)*0.475*44/12</f>
        <v>5.6895214519586244</v>
      </c>
      <c r="AB184" s="21">
        <f>EXP(-LN(2)/2)*AB183+(1-EXP(-LN(2)/2))/(LN(2)/2)*V184*Y184*VLOOKUP('Données projet'!$B$9,Paramètres!$A$1:$I$89,3,0)*0.475*44/12</f>
        <v>4.5820923724143014E-10</v>
      </c>
      <c r="AC184" s="22">
        <f t="shared" si="163"/>
        <v>37.220720791594815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-1.0197709343628959E-13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171.701352621833</v>
      </c>
      <c r="AO184" s="59">
        <f t="shared" si="144"/>
        <v>195.58435749168586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9.6837936729809346</v>
      </c>
      <c r="AV184" s="21">
        <f>EXP(-LN(2)/25)*AV183+(1-EXP(-LN(2)/25))/(LN(2)/25)*Calculateur!AQ184*Calculateur!AS184*VLOOKUP('Données projet'!$B$10,Paramètres!$A$1:$I$89,3,0)*0.475*44/12</f>
        <v>1.3795300095336982</v>
      </c>
      <c r="AW184" s="21">
        <f>EXP(-LN(2)/2)*AW183+(1-EXP(-LN(2)/2))/(LN(2)/2)*AQ184*AT184*VLOOKUP('Données projet'!$B$10,Paramètres!$A$1:$I$89,3,0)*0.475*44/12</f>
        <v>5.4853788162001449E-17</v>
      </c>
      <c r="AX184" s="21">
        <f t="shared" si="166"/>
        <v>11.063323682514632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-1.1823431123048067E-13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348.29124901999882</v>
      </c>
      <c r="BJ184" s="59">
        <f t="shared" si="146"/>
        <v>284.30034973939053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29.405445714842212</v>
      </c>
      <c r="BQ184" s="21">
        <f>EXP(-LN(2)/25)*BQ183+(1-EXP(-LN(2)/25))/(LN(2)/25)*Calculateur!BL184*Calculateur!BN184*VLOOKUP('Données projet'!$B$11,Paramètres!$A$1:$I$89,3,0)*0.475*44/12</f>
        <v>4.7285087845365359</v>
      </c>
      <c r="BR184" s="21">
        <f>EXP(-LN(2)/2)*BR183+(1-EXP(-LN(2)/2))/(LN(2)/2)*BL184*BO184*VLOOKUP('Données projet'!$B$11,Paramètres!$A$1:$I$89,3,0)*0.475*44/12</f>
        <v>5.298560197453225E-14</v>
      </c>
      <c r="BS184" s="22">
        <f t="shared" si="169"/>
        <v>34.133954499378795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-1.3596945791505279E-13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185.82627135915504</v>
      </c>
      <c r="CE184" s="59">
        <f t="shared" si="148"/>
        <v>155.46126452522037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23.151234018658382</v>
      </c>
      <c r="CL184" s="21">
        <f>EXP(-LN(2)/25)*CL183+(1-EXP(-LN(2)/25))/(LN(2)/25)*Calculateur!CG184*Calculateur!CI184*VLOOKUP('Données projet'!$B$12,Paramètres!$A$1:$I$89,3,0)*0.475*44/12</f>
        <v>4.2199667298117429</v>
      </c>
      <c r="CM184" s="21">
        <f>EXP(-LN(2)/2)*CM183+(1-EXP(-LN(2)/2))/(LN(2)/2)*CG184*CJ184*VLOOKUP('Données projet'!$B$12,Paramètres!$A$1:$I$89,3,0)*0.475*44/12</f>
        <v>6.9689173554056308E-10</v>
      </c>
      <c r="CN184" s="22">
        <f t="shared" si="172"/>
        <v>27.371200749167016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-1.2789769243681803E-13</v>
      </c>
      <c r="CU184" s="17">
        <f>CT184*VLOOKUP('Données projet'!$B$13,Paramètres!$A$1:$I$89,3,0)*VLOOKUP('Données projet'!$B$13,Paramètres!$A$1:$I$89,5,0)</f>
        <v>-1.4733814168721438E-13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150.78964413039063</v>
      </c>
      <c r="CZ184" s="59">
        <f t="shared" si="150"/>
        <v>131.90332435966184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12.780247722416496</v>
      </c>
      <c r="DG184" s="21">
        <f>EXP(-LN(2)/25)*DG183+(1-EXP(-LN(2)/25))/(LN(2)/25)*Calculateur!DB184*Calculateur!DD184*VLOOKUP('Données projet'!$B$13,Paramètres!$A$1:$I$89,3,0)*0.475*44/12</f>
        <v>4.6370708079465457</v>
      </c>
      <c r="DH184" s="21">
        <f>EXP(-LN(2)/2)*DH183+(1-EXP(-LN(2)/2))/(LN(2)/2)*DB184*DE184*VLOOKUP('Données projet'!$B$13,Paramètres!$A$1:$I$89,3,0)*0.475*44/12</f>
        <v>3.5249015791688026E-4</v>
      </c>
      <c r="DI184" s="22">
        <f t="shared" si="175"/>
        <v>17.417671020520956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-1.4210854715202004E-14</v>
      </c>
      <c r="DP184" s="17">
        <f>DO184*VLOOKUP('Données projet'!$B$14,Paramètres!$A$1:$I$89,3,0)*VLOOKUP('Données projet'!$B$14,Paramètres!$A$1:$I$89,5,0)</f>
        <v>-1.4853185348329136E-14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110.10595934547638</v>
      </c>
      <c r="DU184" s="59">
        <f t="shared" si="152"/>
        <v>131.10971921141493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3.9246385324392077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3.9246385324392077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4.7974999999999994</v>
      </c>
      <c r="EJ184" s="12">
        <f>IF('Données projet'!$A$192&gt;35,EJ183+EI184-ER183,IF(A184&lt;'Données projet'!$A$192,$EG$205^A184,IF(A184='Données projet'!$A$192,'Données projet'!$B$192,EJ183+EI184-ER183)))</f>
        <v>285.74749999999966</v>
      </c>
      <c r="EK184" s="17">
        <f>EJ184*VLOOKUP('Données projet'!$B$15,Paramètres!$A$1:$I$89,3,0)*VLOOKUP('Données projet'!$B$15,Paramètres!$A$1:$I$89,5,0)</f>
        <v>289.74796499999968</v>
      </c>
      <c r="EL184" s="13">
        <f t="shared" si="179"/>
        <v>69.022913217160536</v>
      </c>
      <c r="EM184" s="20">
        <f t="shared" si="180"/>
        <v>624.85927956155399</v>
      </c>
      <c r="EN184" s="59">
        <f t="shared" si="128"/>
        <v>918.19261289488736</v>
      </c>
      <c r="EO184" s="59">
        <f ca="1">AVERAGE(OFFSET($EN$3,0,0,'Données projet'!$E$15+1,1))-AVERAGE(OFFSET($H$3,0,0,'Données projet'!$E$15+1,1))</f>
        <v>420.38735944595965</v>
      </c>
      <c r="EP184" s="59">
        <f t="shared" si="154"/>
        <v>200.0823542414671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80.427010887501254</v>
      </c>
      <c r="EW184" s="21">
        <f>EXP(-LN(2)/25)*EW183+(1-EXP(-LN(2)/25))/(LN(2)/25)*Calculateur!ER184*Calculateur!ET184*VLOOKUP('Données projet'!$B$15,Paramètres!$A$1:$I$89,3,0)*0.475*44/12</f>
        <v>32.609355107128927</v>
      </c>
      <c r="EX184" s="21">
        <f>EXP(-LN(2)/2)*EX183+(1-EXP(-LN(2)/2))/(LN(2)/2)*ER184*EU184*VLOOKUP('Données projet'!$B$15,Paramètres!$A$1:$I$89,3,0)*0.475*44/12</f>
        <v>1.5931751682752796E-5</v>
      </c>
      <c r="EY184" s="22">
        <f t="shared" si="181"/>
        <v>113.03638192638186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2.5579538487363607E-13</v>
      </c>
      <c r="FF184" s="17">
        <f>FE184*VLOOKUP('Données projet'!$B$16,Paramètres!$A$1:$I$89,3,0)*VLOOKUP('Données projet'!$B$16,Paramètres!$A$1:$I$89,5,0)</f>
        <v>2.7533815227798186E-13</v>
      </c>
      <c r="FG184" s="13">
        <f t="shared" si="182"/>
        <v>3.6763598146902537E-12</v>
      </c>
      <c r="FH184" s="20">
        <f t="shared" si="183"/>
        <v>6.88254062580301E-12</v>
      </c>
      <c r="FI184" s="59">
        <f t="shared" si="131"/>
        <v>293.33333333334019</v>
      </c>
      <c r="FJ184" s="59">
        <f ca="1">AVERAGE(OFFSET($FI$3,0,0,'Données projet'!$E$16+1,1))-AVERAGE(OFFSET($H$3,0,0,'Données projet'!$E$16+1,1))</f>
        <v>415.8741608506952</v>
      </c>
      <c r="FK184" s="59">
        <f t="shared" si="156"/>
        <v>259.15848913719356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48.947156914392671</v>
      </c>
      <c r="FR184" s="21">
        <f>EXP(-LN(2)/25)*FR183+(1-EXP(-LN(2)/25))/(LN(2)/25)*Calculateur!FM184*Calculateur!FO184*VLOOKUP('Données projet'!$B$16,Paramètres!$A$1:$I$89,3,0)*0.475*44/12</f>
        <v>6.8099728383877816</v>
      </c>
      <c r="FS184" s="21">
        <f>EXP(-LN(2)/2)*FS183+(1-EXP(-LN(2)/2))/(LN(2)/2)*FM184*FP184*VLOOKUP('Données projet'!$B$16,Paramètres!$A$1:$I$89,3,0)*0.475*44/12</f>
        <v>1.7070842873496235E-7</v>
      </c>
      <c r="FT184" s="22">
        <f t="shared" si="184"/>
        <v>55.757129923488883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2.5579538487363607E-13</v>
      </c>
      <c r="GA184" s="17">
        <f>FZ184*VLOOKUP('Données projet'!$B$17,Paramètres!$A$1:$I$89,3,0)*VLOOKUP('Données projet'!$B$17,Paramètres!$A$1:$I$89,5,0)</f>
        <v>2.1947244022157976E-13</v>
      </c>
      <c r="GB184" s="13">
        <f t="shared" si="185"/>
        <v>3.0088145886933343E-12</v>
      </c>
      <c r="GC184" s="20">
        <f t="shared" si="186"/>
        <v>5.6225999086934742E-12</v>
      </c>
      <c r="GD184" s="59">
        <f t="shared" si="134"/>
        <v>293.33333333333894</v>
      </c>
      <c r="GE184" s="59">
        <f ca="1">AVERAGE(OFFSET($GD$3,0,0,'Données projet'!$E$17+1,1))-AVERAGE(OFFSET($H$3,0,0,'Données projet'!$E$17+1,1))</f>
        <v>322.39807389980882</v>
      </c>
      <c r="GF184" s="59">
        <f t="shared" si="158"/>
        <v>202.59410055732792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48.089303136317682</v>
      </c>
      <c r="GM184" s="21">
        <f>EXP(-LN(2)/25)*GM183+(1-EXP(-LN(2)/25))/(LN(2)/25)*Calculateur!GH184*Calculateur!GJ184*VLOOKUP('Données projet'!$B$17,Paramètres!$A$1:$I$89,3,0)*0.475*44/12</f>
        <v>6.6906204327267904</v>
      </c>
      <c r="GN184" s="21">
        <f>EXP(-LN(2)/2)*GN183+(1-EXP(-LN(2)/2))/(LN(2)/2)*GH184*GK184*VLOOKUP('Données projet'!$B$17,Paramètres!$A$1:$I$89,3,0)*0.475*44/12</f>
        <v>1.3607193594815855E-7</v>
      </c>
      <c r="GO184" s="21">
        <f t="shared" si="187"/>
        <v>54.77992370511641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66.721199999999811</v>
      </c>
      <c r="D185" s="11">
        <f t="shared" si="140"/>
        <v>18.856956599005862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660.6033140975876</v>
      </c>
      <c r="H185" s="67">
        <f t="shared" si="110"/>
        <v>442.38195607660151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1.5961632016114892E-13</v>
      </c>
      <c r="P185" s="13">
        <f t="shared" si="141"/>
        <v>2.2708641912150958E-12</v>
      </c>
      <c r="Q185" s="20">
        <f t="shared" si="162"/>
        <v>4.2330868906469593E-12</v>
      </c>
      <c r="R185" s="59">
        <f t="shared" si="109"/>
        <v>293.33333333333752</v>
      </c>
      <c r="S185" s="59">
        <f ca="1">AVERAGE(OFFSET($R$3,0,0,'Données projet'!$E$9+1,1))-AVERAGE(OFFSET($H$3,0,0,'Données projet'!$E$9+1,1))</f>
        <v>215.77907571824977</v>
      </c>
      <c r="T185" s="59">
        <f t="shared" si="142"/>
        <v>174.69390149594869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30.912891752269282</v>
      </c>
      <c r="AA185" s="21">
        <f>EXP(-LN(2)/25)*AA184+(1-EXP(-LN(2)/25))/(LN(2)/25)*Calculateur!V185*Calculateur!X185*VLOOKUP('Données projet'!$B$9,Paramètres!$A$1:$I$89,3,0)*0.475*44/12</f>
        <v>5.533941188655886</v>
      </c>
      <c r="AB185" s="21">
        <f>EXP(-LN(2)/2)*AB184+(1-EXP(-LN(2)/2))/(LN(2)/2)*V185*Y185*VLOOKUP('Données projet'!$B$9,Paramètres!$A$1:$I$89,3,0)*0.475*44/12</f>
        <v>3.240028588557308E-10</v>
      </c>
      <c r="AC185" s="22">
        <f t="shared" si="163"/>
        <v>36.44683294124917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-1.0197709343628959E-13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171.701352621833</v>
      </c>
      <c r="AO185" s="59">
        <f t="shared" si="144"/>
        <v>195.58435749168586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9.4939003855846984</v>
      </c>
      <c r="AV185" s="21">
        <f>EXP(-LN(2)/25)*AV184+(1-EXP(-LN(2)/25))/(LN(2)/25)*Calculateur!AQ185*Calculateur!AS185*VLOOKUP('Données projet'!$B$10,Paramètres!$A$1:$I$89,3,0)*0.475*44/12</f>
        <v>1.3418066888766689</v>
      </c>
      <c r="AW185" s="21">
        <f>EXP(-LN(2)/2)*AW184+(1-EXP(-LN(2)/2))/(LN(2)/2)*AQ185*AT185*VLOOKUP('Données projet'!$B$10,Paramètres!$A$1:$I$89,3,0)*0.475*44/12</f>
        <v>3.8787485583121594E-17</v>
      </c>
      <c r="AX185" s="21">
        <f t="shared" si="166"/>
        <v>10.835707074461368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-1.1823431123048067E-13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348.29124901999882</v>
      </c>
      <c r="BJ185" s="59">
        <f t="shared" si="146"/>
        <v>284.30034973939053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28.828822859925054</v>
      </c>
      <c r="BQ185" s="21">
        <f>EXP(-LN(2)/25)*BQ184+(1-EXP(-LN(2)/25))/(LN(2)/25)*Calculateur!BL185*Calculateur!BN185*VLOOKUP('Données projet'!$B$11,Paramètres!$A$1:$I$89,3,0)*0.475*44/12</f>
        <v>4.5992074631619149</v>
      </c>
      <c r="BR185" s="21">
        <f>EXP(-LN(2)/2)*BR184+(1-EXP(-LN(2)/2))/(LN(2)/2)*BL185*BO185*VLOOKUP('Données projet'!$B$11,Paramètres!$A$1:$I$89,3,0)*0.475*44/12</f>
        <v>3.7466478461443076E-14</v>
      </c>
      <c r="BS185" s="22">
        <f t="shared" si="169"/>
        <v>33.428030323087008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-1.3596945791505279E-13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185.82627135915504</v>
      </c>
      <c r="CE185" s="59">
        <f t="shared" si="148"/>
        <v>155.46126452522037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22.697252440410924</v>
      </c>
      <c r="CL185" s="21">
        <f>EXP(-LN(2)/25)*CL184+(1-EXP(-LN(2)/25))/(LN(2)/25)*Calculateur!CG185*Calculateur!CI185*VLOOKUP('Données projet'!$B$12,Paramètres!$A$1:$I$89,3,0)*0.475*44/12</f>
        <v>4.1045715176666357</v>
      </c>
      <c r="CM185" s="21">
        <f>EXP(-LN(2)/2)*CM184+(1-EXP(-LN(2)/2))/(LN(2)/2)*CG185*CJ185*VLOOKUP('Données projet'!$B$12,Paramètres!$A$1:$I$89,3,0)*0.475*44/12</f>
        <v>4.9277687195359427E-10</v>
      </c>
      <c r="CN185" s="22">
        <f t="shared" si="172"/>
        <v>26.801823958570335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-1.2789769243681803E-13</v>
      </c>
      <c r="CU185" s="17">
        <f>CT185*VLOOKUP('Données projet'!$B$13,Paramètres!$A$1:$I$89,3,0)*VLOOKUP('Données projet'!$B$13,Paramètres!$A$1:$I$89,5,0)</f>
        <v>-1.4733814168721438E-13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150.78964413039063</v>
      </c>
      <c r="CZ185" s="59">
        <f t="shared" si="150"/>
        <v>131.90332435966184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12.529634859761309</v>
      </c>
      <c r="DG185" s="21">
        <f>EXP(-LN(2)/25)*DG184+(1-EXP(-LN(2)/25))/(LN(2)/25)*Calculateur!DB185*Calculateur!DD185*VLOOKUP('Données projet'!$B$13,Paramètres!$A$1:$I$89,3,0)*0.475*44/12</f>
        <v>4.5102698628502917</v>
      </c>
      <c r="DH185" s="21">
        <f>EXP(-LN(2)/2)*DH184+(1-EXP(-LN(2)/2))/(LN(2)/2)*DB185*DE185*VLOOKUP('Données projet'!$B$13,Paramètres!$A$1:$I$89,3,0)*0.475*44/12</f>
        <v>2.4924818096454303E-4</v>
      </c>
      <c r="DI185" s="22">
        <f t="shared" si="175"/>
        <v>17.040153970792566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-1.4210854715202004E-14</v>
      </c>
      <c r="DP185" s="17">
        <f>DO185*VLOOKUP('Données projet'!$B$14,Paramètres!$A$1:$I$89,3,0)*VLOOKUP('Données projet'!$B$14,Paramètres!$A$1:$I$89,5,0)</f>
        <v>-1.4853185348329136E-14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110.10595934547638</v>
      </c>
      <c r="DU185" s="59">
        <f t="shared" si="152"/>
        <v>131.10971921141493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3.8173190853818868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3.8173190853818868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4.7974999999999994</v>
      </c>
      <c r="EJ185" s="12">
        <f>IF('Données projet'!$A$192&gt;35,EJ184+EI185-ER184,IF(A185&lt;'Données projet'!$A$192,$EG$205^A185,IF(A185='Données projet'!$A$192,'Données projet'!$B$192,EJ184+EI185-ER184)))</f>
        <v>290.54499999999967</v>
      </c>
      <c r="EK185" s="17">
        <f>EJ185*VLOOKUP('Données projet'!$B$15,Paramètres!$A$1:$I$89,3,0)*VLOOKUP('Données projet'!$B$15,Paramètres!$A$1:$I$89,5,0)</f>
        <v>294.61262999999968</v>
      </c>
      <c r="EL185" s="13">
        <f t="shared" si="179"/>
        <v>70.045875436649951</v>
      </c>
      <c r="EM185" s="20">
        <f t="shared" si="180"/>
        <v>635.11356363549817</v>
      </c>
      <c r="EN185" s="59">
        <f t="shared" si="128"/>
        <v>928.44689696883142</v>
      </c>
      <c r="EO185" s="59">
        <f ca="1">AVERAGE(OFFSET($EN$3,0,0,'Données projet'!$E$15+1,1))-AVERAGE(OFFSET($H$3,0,0,'Données projet'!$E$15+1,1))</f>
        <v>420.38735944595965</v>
      </c>
      <c r="EP185" s="59">
        <f t="shared" si="154"/>
        <v>200.0823542414671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78.849886259630154</v>
      </c>
      <c r="EW185" s="21">
        <f>EXP(-LN(2)/25)*EW184+(1-EXP(-LN(2)/25))/(LN(2)/25)*Calculateur!ER185*Calculateur!ET185*VLOOKUP('Données projet'!$B$15,Paramètres!$A$1:$I$89,3,0)*0.475*44/12</f>
        <v>31.71765057687303</v>
      </c>
      <c r="EX185" s="21">
        <f>EXP(-LN(2)/2)*EX184+(1-EXP(-LN(2)/2))/(LN(2)/2)*ER185*EU185*VLOOKUP('Données projet'!$B$15,Paramètres!$A$1:$I$89,3,0)*0.475*44/12</f>
        <v>1.1265449651054692E-5</v>
      </c>
      <c r="EY185" s="22">
        <f t="shared" si="181"/>
        <v>110.56754810195284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2.5579538487363607E-13</v>
      </c>
      <c r="FF185" s="17">
        <f>FE185*VLOOKUP('Données projet'!$B$16,Paramètres!$A$1:$I$89,3,0)*VLOOKUP('Données projet'!$B$16,Paramètres!$A$1:$I$89,5,0)</f>
        <v>2.7533815227798186E-13</v>
      </c>
      <c r="FG185" s="13">
        <f t="shared" si="182"/>
        <v>3.6763598146902537E-12</v>
      </c>
      <c r="FH185" s="20">
        <f t="shared" si="183"/>
        <v>6.88254062580301E-12</v>
      </c>
      <c r="FI185" s="59">
        <f t="shared" si="131"/>
        <v>293.33333333334019</v>
      </c>
      <c r="FJ185" s="59">
        <f ca="1">AVERAGE(OFFSET($FI$3,0,0,'Données projet'!$E$16+1,1))-AVERAGE(OFFSET($H$3,0,0,'Données projet'!$E$16+1,1))</f>
        <v>415.8741608506952</v>
      </c>
      <c r="FK185" s="59">
        <f t="shared" si="156"/>
        <v>259.15848913719356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47.98733302211923</v>
      </c>
      <c r="FR185" s="21">
        <f>EXP(-LN(2)/25)*FR184+(1-EXP(-LN(2)/25))/(LN(2)/25)*Calculateur!FM185*Calculateur!FO185*VLOOKUP('Données projet'!$B$16,Paramètres!$A$1:$I$89,3,0)*0.475*44/12</f>
        <v>6.6237537730011606</v>
      </c>
      <c r="FS185" s="21">
        <f>EXP(-LN(2)/2)*FS184+(1-EXP(-LN(2)/2))/(LN(2)/2)*FM185*FP185*VLOOKUP('Données projet'!$B$16,Paramètres!$A$1:$I$89,3,0)*0.475*44/12</f>
        <v>1.2070908756419236E-7</v>
      </c>
      <c r="FT185" s="22">
        <f t="shared" si="184"/>
        <v>54.611086915829482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2.5579538487363607E-13</v>
      </c>
      <c r="GA185" s="17">
        <f>FZ185*VLOOKUP('Données projet'!$B$17,Paramètres!$A$1:$I$89,3,0)*VLOOKUP('Données projet'!$B$17,Paramètres!$A$1:$I$89,5,0)</f>
        <v>2.1947244022157976E-13</v>
      </c>
      <c r="GB185" s="13">
        <f t="shared" si="185"/>
        <v>3.0088145886933343E-12</v>
      </c>
      <c r="GC185" s="20">
        <f t="shared" si="186"/>
        <v>5.6225999086934742E-12</v>
      </c>
      <c r="GD185" s="59">
        <f t="shared" si="134"/>
        <v>293.33333333333894</v>
      </c>
      <c r="GE185" s="59">
        <f ca="1">AVERAGE(OFFSET($GD$3,0,0,'Données projet'!$E$17+1,1))-AVERAGE(OFFSET($H$3,0,0,'Données projet'!$E$17+1,1))</f>
        <v>322.39807389980882</v>
      </c>
      <c r="GF185" s="59">
        <f t="shared" si="158"/>
        <v>202.59410055732792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47.146301233393153</v>
      </c>
      <c r="GM185" s="21">
        <f>EXP(-LN(2)/25)*GM184+(1-EXP(-LN(2)/25))/(LN(2)/25)*Calculateur!GH185*Calculateur!GJ185*VLOOKUP('Données projet'!$B$17,Paramètres!$A$1:$I$89,3,0)*0.475*44/12</f>
        <v>6.507665065149439</v>
      </c>
      <c r="GN185" s="21">
        <f>EXP(-LN(2)/2)*GN184+(1-EXP(-LN(2)/2))/(LN(2)/2)*GH185*GK185*VLOOKUP('Données projet'!$B$17,Paramètres!$A$1:$I$89,3,0)*0.475*44/12</f>
        <v>9.6217388638124459E-8</v>
      </c>
      <c r="GO185" s="21">
        <f t="shared" si="187"/>
        <v>53.653966394759983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67.087799999999817</v>
      </c>
      <c r="D186" s="11">
        <f t="shared" si="140"/>
        <v>18.948476871168371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664.1396811107719</v>
      </c>
      <c r="H186" s="67">
        <f t="shared" si="110"/>
        <v>443.17984888395119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1.5961632016114892E-13</v>
      </c>
      <c r="P186" s="13">
        <f t="shared" si="141"/>
        <v>2.2708641912150958E-12</v>
      </c>
      <c r="Q186" s="20">
        <f t="shared" si="162"/>
        <v>4.2330868906469593E-12</v>
      </c>
      <c r="R186" s="59">
        <f t="shared" si="109"/>
        <v>293.33333333333752</v>
      </c>
      <c r="S186" s="59">
        <f ca="1">AVERAGE(OFFSET($R$3,0,0,'Données projet'!$E$9+1,1))-AVERAGE(OFFSET($H$3,0,0,'Données projet'!$E$9+1,1))</f>
        <v>215.77907571824977</v>
      </c>
      <c r="T186" s="59">
        <f t="shared" si="142"/>
        <v>174.69390149594869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30.306708800009474</v>
      </c>
      <c r="AA186" s="21">
        <f>EXP(-LN(2)/25)*AA185+(1-EXP(-LN(2)/25))/(LN(2)/25)*Calculateur!V186*Calculateur!X186*VLOOKUP('Données projet'!$B$9,Paramètres!$A$1:$I$89,3,0)*0.475*44/12</f>
        <v>5.3826152758347714</v>
      </c>
      <c r="AB186" s="21">
        <f>EXP(-LN(2)/2)*AB185+(1-EXP(-LN(2)/2))/(LN(2)/2)*V186*Y186*VLOOKUP('Données projet'!$B$9,Paramètres!$A$1:$I$89,3,0)*0.475*44/12</f>
        <v>2.291046186207151E-10</v>
      </c>
      <c r="AC186" s="22">
        <f t="shared" si="163"/>
        <v>35.689324076073355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-1.0197709343628959E-13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171.701352621833</v>
      </c>
      <c r="AO186" s="59">
        <f t="shared" si="144"/>
        <v>195.58435749168586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9.307730789730833</v>
      </c>
      <c r="AV186" s="21">
        <f>EXP(-LN(2)/25)*AV185+(1-EXP(-LN(2)/25))/(LN(2)/25)*Calculateur!AQ186*Calculateur!AS186*VLOOKUP('Données projet'!$B$10,Paramètres!$A$1:$I$89,3,0)*0.475*44/12</f>
        <v>1.3051149144067893</v>
      </c>
      <c r="AW186" s="21">
        <f>EXP(-LN(2)/2)*AW185+(1-EXP(-LN(2)/2))/(LN(2)/2)*AQ186*AT186*VLOOKUP('Données projet'!$B$10,Paramètres!$A$1:$I$89,3,0)*0.475*44/12</f>
        <v>2.7426894081000731E-17</v>
      </c>
      <c r="AX186" s="21">
        <f t="shared" si="166"/>
        <v>10.612845704137623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-1.1823431123048067E-13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348.29124901999882</v>
      </c>
      <c r="BJ186" s="59">
        <f t="shared" si="146"/>
        <v>284.30034973939053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28.263507227487608</v>
      </c>
      <c r="BQ186" s="21">
        <f>EXP(-LN(2)/25)*BQ185+(1-EXP(-LN(2)/25))/(LN(2)/25)*Calculateur!BL186*Calculateur!BN186*VLOOKUP('Données projet'!$B$11,Paramètres!$A$1:$I$89,3,0)*0.475*44/12</f>
        <v>4.4734418932199436</v>
      </c>
      <c r="BR186" s="21">
        <f>EXP(-LN(2)/2)*BR185+(1-EXP(-LN(2)/2))/(LN(2)/2)*BL186*BO186*VLOOKUP('Données projet'!$B$11,Paramètres!$A$1:$I$89,3,0)*0.475*44/12</f>
        <v>2.6492800987266125E-14</v>
      </c>
      <c r="BS186" s="22">
        <f t="shared" si="169"/>
        <v>32.736949120707578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-1.3596945791505279E-13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185.82627135915504</v>
      </c>
      <c r="CE186" s="59">
        <f t="shared" si="148"/>
        <v>155.46126452522037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22.252173164011477</v>
      </c>
      <c r="CL186" s="21">
        <f>EXP(-LN(2)/25)*CL185+(1-EXP(-LN(2)/25))/(LN(2)/25)*Calculateur!CG186*Calculateur!CI186*VLOOKUP('Données projet'!$B$12,Paramètres!$A$1:$I$89,3,0)*0.475*44/12</f>
        <v>3.9923317936660068</v>
      </c>
      <c r="CM186" s="21">
        <f>EXP(-LN(2)/2)*CM185+(1-EXP(-LN(2)/2))/(LN(2)/2)*CG186*CJ186*VLOOKUP('Données projet'!$B$12,Paramètres!$A$1:$I$89,3,0)*0.475*44/12</f>
        <v>3.4844586777028154E-10</v>
      </c>
      <c r="CN186" s="22">
        <f t="shared" si="172"/>
        <v>26.244504958025932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-1.2789769243681803E-13</v>
      </c>
      <c r="CU186" s="17">
        <f>CT186*VLOOKUP('Données projet'!$B$13,Paramètres!$A$1:$I$89,3,0)*VLOOKUP('Données projet'!$B$13,Paramètres!$A$1:$I$89,5,0)</f>
        <v>-1.4733814168721438E-13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150.78964413039063</v>
      </c>
      <c r="CZ186" s="59">
        <f t="shared" si="150"/>
        <v>131.90332435966184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12.283936362484038</v>
      </c>
      <c r="DG186" s="21">
        <f>EXP(-LN(2)/25)*DG185+(1-EXP(-LN(2)/25))/(LN(2)/25)*Calculateur!DB186*Calculateur!DD186*VLOOKUP('Données projet'!$B$13,Paramètres!$A$1:$I$89,3,0)*0.475*44/12</f>
        <v>4.3869362962658665</v>
      </c>
      <c r="DH186" s="21">
        <f>EXP(-LN(2)/2)*DH185+(1-EXP(-LN(2)/2))/(LN(2)/2)*DB186*DE186*VLOOKUP('Données projet'!$B$13,Paramètres!$A$1:$I$89,3,0)*0.475*44/12</f>
        <v>1.7624507895844013E-4</v>
      </c>
      <c r="DI186" s="22">
        <f t="shared" si="175"/>
        <v>16.671048903828861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-1.4210854715202004E-14</v>
      </c>
      <c r="DP186" s="17">
        <f>DO186*VLOOKUP('Données projet'!$B$14,Paramètres!$A$1:$I$89,3,0)*VLOOKUP('Données projet'!$B$14,Paramètres!$A$1:$I$89,5,0)</f>
        <v>-1.4853185348329136E-14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110.10595934547638</v>
      </c>
      <c r="DU186" s="59">
        <f t="shared" si="152"/>
        <v>131.10971921141493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3.7129342942480328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3.7129342942480328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4.7974999999999994</v>
      </c>
      <c r="EJ186" s="12">
        <f>IF('Données projet'!$A$192&gt;35,EJ185+EI186-ER185,IF(A186&lt;'Données projet'!$A$192,$EG$205^A186,IF(A186='Données projet'!$A$192,'Données projet'!$B$192,EJ185+EI186-ER185)))</f>
        <v>295.34249999999969</v>
      </c>
      <c r="EK186" s="17">
        <f>EJ186*VLOOKUP('Données projet'!$B$15,Paramètres!$A$1:$I$89,3,0)*VLOOKUP('Données projet'!$B$15,Paramètres!$A$1:$I$89,5,0)</f>
        <v>299.47729499999969</v>
      </c>
      <c r="EL186" s="13">
        <f t="shared" si="179"/>
        <v>71.066873311318389</v>
      </c>
      <c r="EM186" s="20">
        <f t="shared" si="180"/>
        <v>645.36442647554566</v>
      </c>
      <c r="EN186" s="59">
        <f t="shared" si="128"/>
        <v>938.69775980887903</v>
      </c>
      <c r="EO186" s="59">
        <f ca="1">AVERAGE(OFFSET($EN$3,0,0,'Données projet'!$E$15+1,1))-AVERAGE(OFFSET($H$3,0,0,'Données projet'!$E$15+1,1))</f>
        <v>420.38735944595965</v>
      </c>
      <c r="EP186" s="59">
        <f t="shared" si="154"/>
        <v>200.0823542414671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77.303688083760562</v>
      </c>
      <c r="EW186" s="21">
        <f>EXP(-LN(2)/25)*EW185+(1-EXP(-LN(2)/25))/(LN(2)/25)*Calculateur!ER186*Calculateur!ET186*VLOOKUP('Données projet'!$B$15,Paramètres!$A$1:$I$89,3,0)*0.475*44/12</f>
        <v>30.850329753889685</v>
      </c>
      <c r="EX186" s="21">
        <f>EXP(-LN(2)/2)*EX185+(1-EXP(-LN(2)/2))/(LN(2)/2)*ER186*EU186*VLOOKUP('Données projet'!$B$15,Paramètres!$A$1:$I$89,3,0)*0.475*44/12</f>
        <v>7.9658758413763979E-6</v>
      </c>
      <c r="EY186" s="22">
        <f t="shared" si="181"/>
        <v>108.15402580352608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2.5579538487363607E-13</v>
      </c>
      <c r="FF186" s="17">
        <f>FE186*VLOOKUP('Données projet'!$B$16,Paramètres!$A$1:$I$89,3,0)*VLOOKUP('Données projet'!$B$16,Paramètres!$A$1:$I$89,5,0)</f>
        <v>2.7533815227798186E-13</v>
      </c>
      <c r="FG186" s="13">
        <f t="shared" si="182"/>
        <v>3.6763598146902537E-12</v>
      </c>
      <c r="FH186" s="20">
        <f t="shared" si="183"/>
        <v>6.88254062580301E-12</v>
      </c>
      <c r="FI186" s="59">
        <f t="shared" si="131"/>
        <v>293.33333333334019</v>
      </c>
      <c r="FJ186" s="59">
        <f ca="1">AVERAGE(OFFSET($FI$3,0,0,'Données projet'!$E$16+1,1))-AVERAGE(OFFSET($H$3,0,0,'Données projet'!$E$16+1,1))</f>
        <v>415.8741608506952</v>
      </c>
      <c r="FK186" s="59">
        <f t="shared" si="156"/>
        <v>259.15848913719356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47.046330690938504</v>
      </c>
      <c r="FR186" s="21">
        <f>EXP(-LN(2)/25)*FR185+(1-EXP(-LN(2)/25))/(LN(2)/25)*Calculateur!FM186*Calculateur!FO186*VLOOKUP('Données projet'!$B$16,Paramètres!$A$1:$I$89,3,0)*0.475*44/12</f>
        <v>6.4426268777503717</v>
      </c>
      <c r="FS186" s="21">
        <f>EXP(-LN(2)/2)*FS185+(1-EXP(-LN(2)/2))/(LN(2)/2)*FM186*FP186*VLOOKUP('Données projet'!$B$16,Paramètres!$A$1:$I$89,3,0)*0.475*44/12</f>
        <v>8.5354214367481174E-8</v>
      </c>
      <c r="FT186" s="22">
        <f t="shared" si="184"/>
        <v>53.488957654043091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2.5579538487363607E-13</v>
      </c>
      <c r="GA186" s="17">
        <f>FZ186*VLOOKUP('Données projet'!$B$17,Paramètres!$A$1:$I$89,3,0)*VLOOKUP('Données projet'!$B$17,Paramètres!$A$1:$I$89,5,0)</f>
        <v>2.1947244022157976E-13</v>
      </c>
      <c r="GB186" s="13">
        <f t="shared" si="185"/>
        <v>3.0088145886933343E-12</v>
      </c>
      <c r="GC186" s="20">
        <f t="shared" si="186"/>
        <v>5.6225999086934742E-12</v>
      </c>
      <c r="GD186" s="59">
        <f t="shared" si="134"/>
        <v>293.33333333333894</v>
      </c>
      <c r="GE186" s="59">
        <f ca="1">AVERAGE(OFFSET($GD$3,0,0,'Données projet'!$E$17+1,1))-AVERAGE(OFFSET($H$3,0,0,'Données projet'!$E$17+1,1))</f>
        <v>322.39807389980882</v>
      </c>
      <c r="GF186" s="59">
        <f t="shared" si="158"/>
        <v>202.59410055732792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46.22179102261061</v>
      </c>
      <c r="GM186" s="21">
        <f>EXP(-LN(2)/25)*GM185+(1-EXP(-LN(2)/25))/(LN(2)/25)*Calculateur!GH186*Calculateur!GJ186*VLOOKUP('Données projet'!$B$17,Paramètres!$A$1:$I$89,3,0)*0.475*44/12</f>
        <v>6.3297126217196951</v>
      </c>
      <c r="GN186" s="21">
        <f>EXP(-LN(2)/2)*GN185+(1-EXP(-LN(2)/2))/(LN(2)/2)*GH186*GK186*VLOOKUP('Données projet'!$B$17,Paramètres!$A$1:$I$89,3,0)*0.475*44/12</f>
        <v>6.8035967974079274E-8</v>
      </c>
      <c r="GO186" s="21">
        <f t="shared" si="187"/>
        <v>52.551503712366269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67.454399999999822</v>
      </c>
      <c r="D187" s="11">
        <f t="shared" si="140"/>
        <v>19.03993894863974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667.67559890177915</v>
      </c>
      <c r="H187" s="67">
        <f t="shared" si="110"/>
        <v>443.97764033554722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1.5961632016114892E-13</v>
      </c>
      <c r="P187" s="13">
        <f t="shared" si="141"/>
        <v>2.2708641912150958E-12</v>
      </c>
      <c r="Q187" s="20">
        <f t="shared" si="162"/>
        <v>4.2330868906469593E-12</v>
      </c>
      <c r="R187" s="59">
        <f t="shared" si="109"/>
        <v>293.33333333333752</v>
      </c>
      <c r="S187" s="59">
        <f ca="1">AVERAGE(OFFSET($R$3,0,0,'Données projet'!$E$9+1,1))-AVERAGE(OFFSET($H$3,0,0,'Données projet'!$E$9+1,1))</f>
        <v>215.77907571824977</v>
      </c>
      <c r="T187" s="59">
        <f t="shared" si="142"/>
        <v>174.69390149594869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29.712412725708386</v>
      </c>
      <c r="AA187" s="21">
        <f>EXP(-LN(2)/25)*AA186+(1-EXP(-LN(2)/25))/(LN(2)/25)*Calculateur!V187*Calculateur!X187*VLOOKUP('Données projet'!$B$9,Paramètres!$A$1:$I$89,3,0)*0.475*44/12</f>
        <v>5.2354273780576346</v>
      </c>
      <c r="AB187" s="21">
        <f>EXP(-LN(2)/2)*AB186+(1-EXP(-LN(2)/2))/(LN(2)/2)*V187*Y187*VLOOKUP('Données projet'!$B$9,Paramètres!$A$1:$I$89,3,0)*0.475*44/12</f>
        <v>1.6200142942786543E-10</v>
      </c>
      <c r="AC187" s="22">
        <f t="shared" si="163"/>
        <v>34.947840103928023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-1.0197709343628959E-13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171.701352621833</v>
      </c>
      <c r="AO187" s="59">
        <f t="shared" si="144"/>
        <v>195.58435749168586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9.1252118660994199</v>
      </c>
      <c r="AV187" s="21">
        <f>EXP(-LN(2)/25)*AV186+(1-EXP(-LN(2)/25))/(LN(2)/25)*Calculateur!AQ187*Calculateur!AS187*VLOOKUP('Données projet'!$B$10,Paramètres!$A$1:$I$89,3,0)*0.475*44/12</f>
        <v>1.2694264784393252</v>
      </c>
      <c r="AW187" s="21">
        <f>EXP(-LN(2)/2)*AW186+(1-EXP(-LN(2)/2))/(LN(2)/2)*AQ187*AT187*VLOOKUP('Données projet'!$B$10,Paramètres!$A$1:$I$89,3,0)*0.475*44/12</f>
        <v>1.93937427915608E-17</v>
      </c>
      <c r="AX187" s="21">
        <f t="shared" si="166"/>
        <v>10.394638344538745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-1.1823431123048067E-13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348.29124901999882</v>
      </c>
      <c r="BJ187" s="59">
        <f t="shared" si="146"/>
        <v>284.30034973939053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27.709277089793773</v>
      </c>
      <c r="BQ187" s="21">
        <f>EXP(-LN(2)/25)*BQ186+(1-EXP(-LN(2)/25))/(LN(2)/25)*Calculateur!BL187*Calculateur!BN187*VLOOKUP('Données projet'!$B$11,Paramètres!$A$1:$I$89,3,0)*0.475*44/12</f>
        <v>4.3511153894017589</v>
      </c>
      <c r="BR187" s="21">
        <f>EXP(-LN(2)/2)*BR186+(1-EXP(-LN(2)/2))/(LN(2)/2)*BL187*BO187*VLOOKUP('Données projet'!$B$11,Paramètres!$A$1:$I$89,3,0)*0.475*44/12</f>
        <v>1.8733239230721538E-14</v>
      </c>
      <c r="BS187" s="22">
        <f t="shared" si="169"/>
        <v>32.060392479195549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-1.3596945791505279E-13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185.82627135915504</v>
      </c>
      <c r="CE187" s="59">
        <f t="shared" si="148"/>
        <v>155.46126452522037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21.815821620750672</v>
      </c>
      <c r="CL187" s="21">
        <f>EXP(-LN(2)/25)*CL186+(1-EXP(-LN(2)/25))/(LN(2)/25)*Calculateur!CG187*Calculateur!CI187*VLOOKUP('Données projet'!$B$12,Paramètres!$A$1:$I$89,3,0)*0.475*44/12</f>
        <v>3.8831612708206054</v>
      </c>
      <c r="CM187" s="21">
        <f>EXP(-LN(2)/2)*CM186+(1-EXP(-LN(2)/2))/(LN(2)/2)*CG187*CJ187*VLOOKUP('Données projet'!$B$12,Paramètres!$A$1:$I$89,3,0)*0.475*44/12</f>
        <v>2.4638843597679714E-10</v>
      </c>
      <c r="CN187" s="22">
        <f t="shared" si="172"/>
        <v>25.698982891817664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-1.2789769243681803E-13</v>
      </c>
      <c r="CU187" s="17">
        <f>CT187*VLOOKUP('Données projet'!$B$13,Paramètres!$A$1:$I$89,3,0)*VLOOKUP('Données projet'!$B$13,Paramètres!$A$1:$I$89,5,0)</f>
        <v>-1.4733814168721438E-13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150.78964413039063</v>
      </c>
      <c r="CZ187" s="59">
        <f t="shared" si="150"/>
        <v>131.90332435966184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12.043055862877088</v>
      </c>
      <c r="DG187" s="21">
        <f>EXP(-LN(2)/25)*DG186+(1-EXP(-LN(2)/25))/(LN(2)/25)*Calculateur!DB187*Calculateur!DD187*VLOOKUP('Données projet'!$B$13,Paramètres!$A$1:$I$89,3,0)*0.475*44/12</f>
        <v>4.2669752925455233</v>
      </c>
      <c r="DH187" s="21">
        <f>EXP(-LN(2)/2)*DH186+(1-EXP(-LN(2)/2))/(LN(2)/2)*DB187*DE187*VLOOKUP('Données projet'!$B$13,Paramètres!$A$1:$I$89,3,0)*0.475*44/12</f>
        <v>1.2462409048227151E-4</v>
      </c>
      <c r="DI187" s="22">
        <f t="shared" si="175"/>
        <v>16.310155779513092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-1.4210854715202004E-14</v>
      </c>
      <c r="DP187" s="17">
        <f>DO187*VLOOKUP('Données projet'!$B$14,Paramètres!$A$1:$I$89,3,0)*VLOOKUP('Données projet'!$B$14,Paramètres!$A$1:$I$89,5,0)</f>
        <v>-1.4853185348329136E-14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110.10595934547638</v>
      </c>
      <c r="DU187" s="59">
        <f t="shared" si="152"/>
        <v>131.10971921141493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3.6114039107170917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3.6114039107170917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>
        <f>VLOOKUP(A187,'Données projet'!$A$191:$I$211,2,0)</f>
        <v>300.14</v>
      </c>
      <c r="EH187" s="12">
        <f>VLOOKUP(A187,'Données projet'!$A$191:$I$211,9,0)</f>
        <v>4.7974999999999994</v>
      </c>
      <c r="EI187" s="12">
        <f t="array" ref="EI187">INDEX(EH:EH,MIN(IF(ISNUMBER(EH187:EH383),ROW(EH187:EH383),"")))</f>
        <v>4.7974999999999994</v>
      </c>
      <c r="EJ187" s="12">
        <f>IF('Données projet'!$A$192&gt;35,EJ186+EI187-ER186,IF(A187&lt;'Données projet'!$A$192,$EG$205^A187,IF(A187='Données projet'!$A$192,'Données projet'!$B$192,EJ186+EI187-ER186)))</f>
        <v>300.1399999999997</v>
      </c>
      <c r="EK187" s="17">
        <f>EJ187*VLOOKUP('Données projet'!$B$15,Paramètres!$A$1:$I$89,3,0)*VLOOKUP('Données projet'!$B$15,Paramètres!$A$1:$I$89,5,0)</f>
        <v>304.34195999999969</v>
      </c>
      <c r="EL187" s="13">
        <f t="shared" si="179"/>
        <v>72.085942433343163</v>
      </c>
      <c r="EM187" s="20">
        <f t="shared" si="180"/>
        <v>655.61193007140548</v>
      </c>
      <c r="EN187" s="59">
        <f t="shared" si="128"/>
        <v>948.94526340473885</v>
      </c>
      <c r="EO187" s="59">
        <f ca="1">AVERAGE(OFFSET($EN$3,0,0,'Données projet'!$E$15+1,1))-AVERAGE(OFFSET($H$3,0,0,'Données projet'!$E$15+1,1))</f>
        <v>420.38735944595965</v>
      </c>
      <c r="EP187" s="59">
        <f t="shared" si="154"/>
        <v>200.0823542414671</v>
      </c>
      <c r="EQ187" s="15">
        <f>IF(ISNA(VLOOKUP(A187,'Données projet'!$A$191:$I$211,3,0)),0,VLOOKUP(A187,'Données projet'!$A$191:$I$211,3,0))</f>
        <v>14</v>
      </c>
      <c r="ER187" s="15">
        <f>IF(ISNA(VLOOKUP(A187,'Données projet'!$A$191:$I$211,4,0)),0,VLOOKUP(A187,'Données projet'!$A$191:$I$211,4,0))</f>
        <v>101.19999999999999</v>
      </c>
      <c r="ES187" s="16">
        <f>IF(ISNA(VLOOKUP(A187,'Données projet'!$A$191:$I$211,5,0)),0%,VLOOKUP(A187,'Données projet'!$A$191:$I$211,5,0)*VLOOKUP('Données projet'!$B$15,Paramètres!$A$1:$I$89,7,0))</f>
        <v>0.215</v>
      </c>
      <c r="ET187" s="16">
        <f>IF(ISNA(VLOOKUP(A187,'Données projet'!$A$191:$I$211,6,0)),0%,VLOOKUP(A187,'Données projet'!$A$191:$I$211,6,0)*VLOOKUP('Données projet'!$B$15,Paramètres!$A$1:$I$89,7,0))</f>
        <v>8.6000000000000007E-2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100.17737397216023</v>
      </c>
      <c r="EW187" s="21">
        <f>EXP(-LN(2)/25)*EW186+(1-EXP(-LN(2)/25))/(LN(2)/25)*Calculateur!ER187*Calculateur!ET187*VLOOKUP('Données projet'!$B$15,Paramètres!$A$1:$I$89,3,0)*0.475*44/12</f>
        <v>39.724139086128069</v>
      </c>
      <c r="EX187" s="21">
        <f>EXP(-LN(2)/2)*EX186+(1-EXP(-LN(2)/2))/(LN(2)/2)*ER187*EU187*VLOOKUP('Données projet'!$B$15,Paramètres!$A$1:$I$89,3,0)*0.475*44/12</f>
        <v>5.6327248255273458E-6</v>
      </c>
      <c r="EY187" s="22">
        <f t="shared" si="181"/>
        <v>139.90151869101311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2.5579538487363607E-13</v>
      </c>
      <c r="FF187" s="17">
        <f>FE187*VLOOKUP('Données projet'!$B$16,Paramètres!$A$1:$I$89,3,0)*VLOOKUP('Données projet'!$B$16,Paramètres!$A$1:$I$89,5,0)</f>
        <v>2.7533815227798186E-13</v>
      </c>
      <c r="FG187" s="13">
        <f t="shared" si="182"/>
        <v>3.6763598146902537E-12</v>
      </c>
      <c r="FH187" s="20">
        <f t="shared" si="183"/>
        <v>6.88254062580301E-12</v>
      </c>
      <c r="FI187" s="59">
        <f t="shared" si="131"/>
        <v>293.33333333334019</v>
      </c>
      <c r="FJ187" s="59">
        <f ca="1">AVERAGE(OFFSET($FI$3,0,0,'Données projet'!$E$16+1,1))-AVERAGE(OFFSET($H$3,0,0,'Données projet'!$E$16+1,1))</f>
        <v>415.8741608506952</v>
      </c>
      <c r="FK187" s="59">
        <f t="shared" si="156"/>
        <v>259.15848913719356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46.12378084151748</v>
      </c>
      <c r="FR187" s="21">
        <f>EXP(-LN(2)/25)*FR186+(1-EXP(-LN(2)/25))/(LN(2)/25)*Calculateur!FM187*Calculateur!FO187*VLOOKUP('Données projet'!$B$16,Paramètres!$A$1:$I$89,3,0)*0.475*44/12</f>
        <v>6.2664529069752648</v>
      </c>
      <c r="FS187" s="21">
        <f>EXP(-LN(2)/2)*FS186+(1-EXP(-LN(2)/2))/(LN(2)/2)*FM187*FP187*VLOOKUP('Données projet'!$B$16,Paramètres!$A$1:$I$89,3,0)*0.475*44/12</f>
        <v>6.0354543782096182E-8</v>
      </c>
      <c r="FT187" s="22">
        <f t="shared" si="184"/>
        <v>52.390233808847292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2.5579538487363607E-13</v>
      </c>
      <c r="GA187" s="17">
        <f>FZ187*VLOOKUP('Données projet'!$B$17,Paramètres!$A$1:$I$89,3,0)*VLOOKUP('Données projet'!$B$17,Paramètres!$A$1:$I$89,5,0)</f>
        <v>2.1947244022157976E-13</v>
      </c>
      <c r="GB187" s="13">
        <f t="shared" si="185"/>
        <v>3.0088145886933343E-12</v>
      </c>
      <c r="GC187" s="20">
        <f t="shared" si="186"/>
        <v>5.6225999086934742E-12</v>
      </c>
      <c r="GD187" s="59">
        <f t="shared" si="134"/>
        <v>293.33333333333894</v>
      </c>
      <c r="GE187" s="59">
        <f ca="1">AVERAGE(OFFSET($GD$3,0,0,'Données projet'!$E$17+1,1))-AVERAGE(OFFSET($H$3,0,0,'Données projet'!$E$17+1,1))</f>
        <v>322.39807389980882</v>
      </c>
      <c r="GF187" s="59">
        <f t="shared" si="158"/>
        <v>202.59410055732792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45.315409893165963</v>
      </c>
      <c r="GM187" s="21">
        <f>EXP(-LN(2)/25)*GM186+(1-EXP(-LN(2)/25))/(LN(2)/25)*Calculateur!GH187*Calculateur!GJ187*VLOOKUP('Données projet'!$B$17,Paramètres!$A$1:$I$89,3,0)*0.475*44/12</f>
        <v>6.1566262972136503</v>
      </c>
      <c r="GN187" s="21">
        <f>EXP(-LN(2)/2)*GN186+(1-EXP(-LN(2)/2))/(LN(2)/2)*GH187*GK187*VLOOKUP('Données projet'!$B$17,Paramètres!$A$1:$I$89,3,0)*0.475*44/12</f>
        <v>4.8108694319062229E-8</v>
      </c>
      <c r="GO187" s="21">
        <f t="shared" si="187"/>
        <v>51.472036238488307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67.820999999999827</v>
      </c>
      <c r="D188" s="11">
        <f t="shared" si="140"/>
        <v>19.131343184401793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671.21107019538101</v>
      </c>
      <c r="H188" s="67">
        <f t="shared" si="110"/>
        <v>444.77533104616612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1.5961632016114892E-13</v>
      </c>
      <c r="P188" s="13">
        <f t="shared" si="141"/>
        <v>2.2708641912150958E-12</v>
      </c>
      <c r="Q188" s="20">
        <f t="shared" si="162"/>
        <v>4.2330868906469593E-12</v>
      </c>
      <c r="R188" s="59">
        <f t="shared" si="109"/>
        <v>293.33333333333752</v>
      </c>
      <c r="S188" s="59">
        <f ca="1">AVERAGE(OFFSET($R$3,0,0,'Données projet'!$E$9+1,1))-AVERAGE(OFFSET($H$3,0,0,'Données projet'!$E$9+1,1))</f>
        <v>215.77907571824977</v>
      </c>
      <c r="T188" s="59">
        <f t="shared" si="142"/>
        <v>174.69390149594869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29.12977043493953</v>
      </c>
      <c r="AA188" s="21">
        <f>EXP(-LN(2)/25)*AA187+(1-EXP(-LN(2)/25))/(LN(2)/25)*Calculateur!V188*Calculateur!X188*VLOOKUP('Données projet'!$B$9,Paramètres!$A$1:$I$89,3,0)*0.475*44/12</f>
        <v>5.0922643410854889</v>
      </c>
      <c r="AB188" s="21">
        <f>EXP(-LN(2)/2)*AB187+(1-EXP(-LN(2)/2))/(LN(2)/2)*V188*Y188*VLOOKUP('Données projet'!$B$9,Paramètres!$A$1:$I$89,3,0)*0.475*44/12</f>
        <v>1.1455230931035757E-10</v>
      </c>
      <c r="AC188" s="22">
        <f t="shared" si="163"/>
        <v>34.222034776139573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-1.0197709343628959E-13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171.701352621833</v>
      </c>
      <c r="AO188" s="59">
        <f t="shared" si="144"/>
        <v>195.58435749168586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8.946272027234869</v>
      </c>
      <c r="AV188" s="21">
        <f>EXP(-LN(2)/25)*AV187+(1-EXP(-LN(2)/25))/(LN(2)/25)*Calculateur!AQ188*Calculateur!AS188*VLOOKUP('Données projet'!$B$10,Paramètres!$A$1:$I$89,3,0)*0.475*44/12</f>
        <v>1.2347139446301647</v>
      </c>
      <c r="AW188" s="21">
        <f>EXP(-LN(2)/2)*AW187+(1-EXP(-LN(2)/2))/(LN(2)/2)*AQ188*AT188*VLOOKUP('Données projet'!$B$10,Paramètres!$A$1:$I$89,3,0)*0.475*44/12</f>
        <v>1.3713447040500367E-17</v>
      </c>
      <c r="AX188" s="21">
        <f t="shared" si="166"/>
        <v>10.180985971865034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-1.1823431123048067E-13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348.29124901999882</v>
      </c>
      <c r="BJ188" s="59">
        <f t="shared" si="146"/>
        <v>284.30034973939053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27.165915067053106</v>
      </c>
      <c r="BQ188" s="21">
        <f>EXP(-LN(2)/25)*BQ187+(1-EXP(-LN(2)/25))/(LN(2)/25)*Calculateur!BL188*Calculateur!BN188*VLOOKUP('Données projet'!$B$11,Paramètres!$A$1:$I$89,3,0)*0.475*44/12</f>
        <v>4.2321339102633537</v>
      </c>
      <c r="BR188" s="21">
        <f>EXP(-LN(2)/2)*BR187+(1-EXP(-LN(2)/2))/(LN(2)/2)*BL188*BO188*VLOOKUP('Données projet'!$B$11,Paramètres!$A$1:$I$89,3,0)*0.475*44/12</f>
        <v>1.3246400493633063E-14</v>
      </c>
      <c r="BS188" s="22">
        <f t="shared" si="169"/>
        <v>31.398048977316474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-1.3596945791505279E-13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185.82627135915504</v>
      </c>
      <c r="CE188" s="59">
        <f t="shared" si="148"/>
        <v>155.46126452522037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21.388026665105048</v>
      </c>
      <c r="CL188" s="21">
        <f>EXP(-LN(2)/25)*CL187+(1-EXP(-LN(2)/25))/(LN(2)/25)*Calculateur!CG188*Calculateur!CI188*VLOOKUP('Données projet'!$B$12,Paramètres!$A$1:$I$89,3,0)*0.475*44/12</f>
        <v>3.7769760216634398</v>
      </c>
      <c r="CM188" s="21">
        <f>EXP(-LN(2)/2)*CM187+(1-EXP(-LN(2)/2))/(LN(2)/2)*CG188*CJ188*VLOOKUP('Données projet'!$B$12,Paramètres!$A$1:$I$89,3,0)*0.475*44/12</f>
        <v>1.7422293388514077E-10</v>
      </c>
      <c r="CN188" s="22">
        <f t="shared" si="172"/>
        <v>25.16500268694271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-1.2789769243681803E-13</v>
      </c>
      <c r="CU188" s="17">
        <f>CT188*VLOOKUP('Données projet'!$B$13,Paramètres!$A$1:$I$89,3,0)*VLOOKUP('Données projet'!$B$13,Paramètres!$A$1:$I$89,5,0)</f>
        <v>-1.4733814168721438E-13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150.78964413039063</v>
      </c>
      <c r="CZ188" s="59">
        <f t="shared" si="150"/>
        <v>131.90332435966184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11.806898882944832</v>
      </c>
      <c r="DG188" s="21">
        <f>EXP(-LN(2)/25)*DG187+(1-EXP(-LN(2)/25))/(LN(2)/25)*Calculateur!DB188*Calculateur!DD188*VLOOKUP('Données projet'!$B$13,Paramètres!$A$1:$I$89,3,0)*0.475*44/12</f>
        <v>4.1502946287803875</v>
      </c>
      <c r="DH188" s="21">
        <f>EXP(-LN(2)/2)*DH187+(1-EXP(-LN(2)/2))/(LN(2)/2)*DB188*DE188*VLOOKUP('Données projet'!$B$13,Paramètres!$A$1:$I$89,3,0)*0.475*44/12</f>
        <v>8.8122539479220066E-5</v>
      </c>
      <c r="DI188" s="22">
        <f t="shared" si="175"/>
        <v>15.957281634264698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-1.4210854715202004E-14</v>
      </c>
      <c r="DP188" s="17">
        <f>DO188*VLOOKUP('Données projet'!$B$14,Paramètres!$A$1:$I$89,3,0)*VLOOKUP('Données projet'!$B$14,Paramètres!$A$1:$I$89,5,0)</f>
        <v>-1.4853185348329136E-14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110.10595934547638</v>
      </c>
      <c r="DU188" s="59">
        <f t="shared" si="152"/>
        <v>131.10971921141493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3.5126498808630551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3.5126498808630551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3.0825000000000031</v>
      </c>
      <c r="EJ188" s="12">
        <f>IF('Données projet'!$A$192&gt;35,EJ187+EI188-ER187,IF(A188&lt;'Données projet'!$A$192,$EG$205^A188,IF(A188='Données projet'!$A$192,'Données projet'!$B$192,EJ187+EI188-ER187)))</f>
        <v>202.0224999999997</v>
      </c>
      <c r="EK188" s="17">
        <f>EJ188*VLOOKUP('Données projet'!$B$15,Paramètres!$A$1:$I$89,3,0)*VLOOKUP('Données projet'!$B$15,Paramètres!$A$1:$I$89,5,0)</f>
        <v>204.8508149999997</v>
      </c>
      <c r="EL188" s="13">
        <f t="shared" si="179"/>
        <v>50.808738613533862</v>
      </c>
      <c r="EM188" s="20">
        <f t="shared" si="180"/>
        <v>445.27372254357095</v>
      </c>
      <c r="EN188" s="59">
        <f t="shared" si="128"/>
        <v>738.60705587690427</v>
      </c>
      <c r="EO188" s="59">
        <f ca="1">AVERAGE(OFFSET($EN$3,0,0,'Données projet'!$E$15+1,1))-AVERAGE(OFFSET($H$3,0,0,'Données projet'!$E$15+1,1))</f>
        <v>420.38735944595965</v>
      </c>
      <c r="EP188" s="59">
        <f t="shared" si="154"/>
        <v>200.0823542414671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98.212956770730955</v>
      </c>
      <c r="EW188" s="21">
        <f>EXP(-LN(2)/25)*EW187+(1-EXP(-LN(2)/25))/(LN(2)/25)*Calculateur!ER188*Calculateur!ET188*VLOOKUP('Données projet'!$B$15,Paramètres!$A$1:$I$89,3,0)*0.475*44/12</f>
        <v>38.637880413816212</v>
      </c>
      <c r="EX188" s="21">
        <f>EXP(-LN(2)/2)*EX187+(1-EXP(-LN(2)/2))/(LN(2)/2)*ER188*EU188*VLOOKUP('Données projet'!$B$15,Paramètres!$A$1:$I$89,3,0)*0.475*44/12</f>
        <v>3.982937920688199E-6</v>
      </c>
      <c r="EY188" s="22">
        <f t="shared" si="181"/>
        <v>136.8508411674851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2.5579538487363607E-13</v>
      </c>
      <c r="FF188" s="17">
        <f>FE188*VLOOKUP('Données projet'!$B$16,Paramètres!$A$1:$I$89,3,0)*VLOOKUP('Données projet'!$B$16,Paramètres!$A$1:$I$89,5,0)</f>
        <v>2.7533815227798186E-13</v>
      </c>
      <c r="FG188" s="13">
        <f t="shared" si="182"/>
        <v>3.6763598146902537E-12</v>
      </c>
      <c r="FH188" s="20">
        <f t="shared" si="183"/>
        <v>6.88254062580301E-12</v>
      </c>
      <c r="FI188" s="59">
        <f t="shared" si="131"/>
        <v>293.33333333334019</v>
      </c>
      <c r="FJ188" s="59">
        <f ca="1">AVERAGE(OFFSET($FI$3,0,0,'Données projet'!$E$16+1,1))-AVERAGE(OFFSET($H$3,0,0,'Données projet'!$E$16+1,1))</f>
        <v>415.8741608506952</v>
      </c>
      <c r="FK188" s="59">
        <f t="shared" si="156"/>
        <v>259.15848913719356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45.219321631943757</v>
      </c>
      <c r="FR188" s="21">
        <f>EXP(-LN(2)/25)*FR187+(1-EXP(-LN(2)/25))/(LN(2)/25)*Calculateur!FM188*Calculateur!FO188*VLOOKUP('Données projet'!$B$16,Paramètres!$A$1:$I$89,3,0)*0.475*44/12</f>
        <v>6.0950964226955904</v>
      </c>
      <c r="FS188" s="21">
        <f>EXP(-LN(2)/2)*FS187+(1-EXP(-LN(2)/2))/(LN(2)/2)*FM188*FP188*VLOOKUP('Données projet'!$B$16,Paramètres!$A$1:$I$89,3,0)*0.475*44/12</f>
        <v>4.2677107183740587E-8</v>
      </c>
      <c r="FT188" s="22">
        <f t="shared" si="184"/>
        <v>51.314418097316455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2.5579538487363607E-13</v>
      </c>
      <c r="GA188" s="17">
        <f>FZ188*VLOOKUP('Données projet'!$B$17,Paramètres!$A$1:$I$89,3,0)*VLOOKUP('Données projet'!$B$17,Paramètres!$A$1:$I$89,5,0)</f>
        <v>2.1947244022157976E-13</v>
      </c>
      <c r="GB188" s="13">
        <f t="shared" si="185"/>
        <v>3.0088145886933343E-12</v>
      </c>
      <c r="GC188" s="20">
        <f t="shared" si="186"/>
        <v>5.6225999086934742E-12</v>
      </c>
      <c r="GD188" s="59">
        <f t="shared" si="134"/>
        <v>293.33333333333894</v>
      </c>
      <c r="GE188" s="59">
        <f ca="1">AVERAGE(OFFSET($GD$3,0,0,'Données projet'!$E$17+1,1))-AVERAGE(OFFSET($H$3,0,0,'Données projet'!$E$17+1,1))</f>
        <v>322.39807389980882</v>
      </c>
      <c r="GF188" s="59">
        <f t="shared" si="158"/>
        <v>202.59410055732792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44.42680234483182</v>
      </c>
      <c r="GM188" s="21">
        <f>EXP(-LN(2)/25)*GM187+(1-EXP(-LN(2)/25))/(LN(2)/25)*Calculateur!GH188*Calculateur!GJ188*VLOOKUP('Données projet'!$B$17,Paramètres!$A$1:$I$89,3,0)*0.475*44/12</f>
        <v>5.9882730273534373</v>
      </c>
      <c r="GN188" s="21">
        <f>EXP(-LN(2)/2)*GN187+(1-EXP(-LN(2)/2))/(LN(2)/2)*GH188*GK188*VLOOKUP('Données projet'!$B$17,Paramètres!$A$1:$I$89,3,0)*0.475*44/12</f>
        <v>3.4017983987039637E-8</v>
      </c>
      <c r="GO188" s="21">
        <f t="shared" si="187"/>
        <v>50.415075406203243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189" s="11">
        <f t="shared" si="140"/>
        <v>19.222689927399379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674.74609768518701</v>
      </c>
      <c r="H189" s="67">
        <f t="shared" si="110"/>
        <v>445.57292162355361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1.5961632016114892E-13</v>
      </c>
      <c r="P189" s="13">
        <f t="shared" si="141"/>
        <v>2.2708641912150958E-12</v>
      </c>
      <c r="Q189" s="20">
        <f t="shared" si="162"/>
        <v>4.2330868906469593E-12</v>
      </c>
      <c r="R189" s="59">
        <f t="shared" si="109"/>
        <v>293.33333333333752</v>
      </c>
      <c r="S189" s="59">
        <f ca="1">AVERAGE(OFFSET($R$3,0,0,'Données projet'!$E$9+1,1))-AVERAGE(OFFSET($H$3,0,0,'Données projet'!$E$9+1,1))</f>
        <v>215.77907571824977</v>
      </c>
      <c r="T189" s="59">
        <f t="shared" si="142"/>
        <v>174.69390149594869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28.558553404115944</v>
      </c>
      <c r="AA189" s="21">
        <f>EXP(-LN(2)/25)*AA188+(1-EXP(-LN(2)/25))/(LN(2)/25)*Calculateur!V189*Calculateur!X189*VLOOKUP('Données projet'!$B$9,Paramètres!$A$1:$I$89,3,0)*0.475*44/12</f>
        <v>4.9530161048879631</v>
      </c>
      <c r="AB189" s="21">
        <f>EXP(-LN(2)/2)*AB188+(1-EXP(-LN(2)/2))/(LN(2)/2)*V189*Y189*VLOOKUP('Données projet'!$B$9,Paramètres!$A$1:$I$89,3,0)*0.475*44/12</f>
        <v>8.1000714713932727E-11</v>
      </c>
      <c r="AC189" s="22">
        <f t="shared" si="163"/>
        <v>33.511569509084907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-1.0197709343628959E-13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171.701352621833</v>
      </c>
      <c r="AO189" s="59">
        <f t="shared" si="144"/>
        <v>195.58435749168586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8.7708410894679272</v>
      </c>
      <c r="AV189" s="21">
        <f>EXP(-LN(2)/25)*AV188+(1-EXP(-LN(2)/25))/(LN(2)/25)*Calculateur!AQ189*Calculateur!AS189*VLOOKUP('Données projet'!$B$10,Paramètres!$A$1:$I$89,3,0)*0.475*44/12</f>
        <v>1.2009506268834684</v>
      </c>
      <c r="AW189" s="21">
        <f>EXP(-LN(2)/2)*AW188+(1-EXP(-LN(2)/2))/(LN(2)/2)*AQ189*AT189*VLOOKUP('Données projet'!$B$10,Paramètres!$A$1:$I$89,3,0)*0.475*44/12</f>
        <v>9.6968713957804015E-18</v>
      </c>
      <c r="AX189" s="21">
        <f t="shared" si="166"/>
        <v>9.9717917163513956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-1.1823431123048067E-13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348.29124901999882</v>
      </c>
      <c r="BJ189" s="59">
        <f t="shared" si="146"/>
        <v>284.30034973939053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26.633208042160277</v>
      </c>
      <c r="BQ189" s="21">
        <f>EXP(-LN(2)/25)*BQ188+(1-EXP(-LN(2)/25))/(LN(2)/25)*Calculateur!BL189*Calculateur!BN189*VLOOKUP('Données projet'!$B$11,Paramètres!$A$1:$I$89,3,0)*0.475*44/12</f>
        <v>4.116405985928953</v>
      </c>
      <c r="BR189" s="21">
        <f>EXP(-LN(2)/2)*BR188+(1-EXP(-LN(2)/2))/(LN(2)/2)*BL189*BO189*VLOOKUP('Données projet'!$B$11,Paramètres!$A$1:$I$89,3,0)*0.475*44/12</f>
        <v>9.366619615360769E-15</v>
      </c>
      <c r="BS189" s="22">
        <f t="shared" si="169"/>
        <v>30.74961402808924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-1.3596945791505279E-13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185.82627135915504</v>
      </c>
      <c r="CE189" s="59">
        <f t="shared" si="148"/>
        <v>155.46126452522037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20.968620507610478</v>
      </c>
      <c r="CL189" s="21">
        <f>EXP(-LN(2)/25)*CL188+(1-EXP(-LN(2)/25))/(LN(2)/25)*Calculateur!CG189*Calculateur!CI189*VLOOKUP('Données projet'!$B$12,Paramètres!$A$1:$I$89,3,0)*0.475*44/12</f>
        <v>3.6736944137285166</v>
      </c>
      <c r="CM189" s="21">
        <f>EXP(-LN(2)/2)*CM188+(1-EXP(-LN(2)/2))/(LN(2)/2)*CG189*CJ189*VLOOKUP('Données projet'!$B$12,Paramètres!$A$1:$I$89,3,0)*0.475*44/12</f>
        <v>1.2319421798839857E-10</v>
      </c>
      <c r="CN189" s="22">
        <f t="shared" si="172"/>
        <v>24.642314921462187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-1.2789769243681803E-13</v>
      </c>
      <c r="CU189" s="17">
        <f>CT189*VLOOKUP('Données projet'!$B$13,Paramètres!$A$1:$I$89,3,0)*VLOOKUP('Données projet'!$B$13,Paramètres!$A$1:$I$89,5,0)</f>
        <v>-1.4733814168721438E-13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150.78964413039063</v>
      </c>
      <c r="CZ189" s="59">
        <f t="shared" si="150"/>
        <v>131.90332435966184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11.575372797347514</v>
      </c>
      <c r="DG189" s="21">
        <f>EXP(-LN(2)/25)*DG188+(1-EXP(-LN(2)/25))/(LN(2)/25)*Calculateur!DB189*Calculateur!DD189*VLOOKUP('Données projet'!$B$13,Paramètres!$A$1:$I$89,3,0)*0.475*44/12</f>
        <v>4.0368046039018788</v>
      </c>
      <c r="DH189" s="21">
        <f>EXP(-LN(2)/2)*DH188+(1-EXP(-LN(2)/2))/(LN(2)/2)*DB189*DE189*VLOOKUP('Données projet'!$B$13,Paramètres!$A$1:$I$89,3,0)*0.475*44/12</f>
        <v>6.2312045241135757E-5</v>
      </c>
      <c r="DI189" s="22">
        <f t="shared" si="175"/>
        <v>15.612239713294635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-1.4210854715202004E-14</v>
      </c>
      <c r="DP189" s="17">
        <f>DO189*VLOOKUP('Données projet'!$B$14,Paramètres!$A$1:$I$89,3,0)*VLOOKUP('Données projet'!$B$14,Paramètres!$A$1:$I$89,5,0)</f>
        <v>-1.4853185348329136E-14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110.10595934547638</v>
      </c>
      <c r="DU189" s="59">
        <f t="shared" si="152"/>
        <v>131.10971921141493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3.4165962851486258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3.4165962851486258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3.0825000000000031</v>
      </c>
      <c r="EJ189" s="12">
        <f>IF('Données projet'!$A$192&gt;35,EJ188+EI189-ER188,IF(A189&lt;'Données projet'!$A$192,$EG$205^A189,IF(A189='Données projet'!$A$192,'Données projet'!$B$192,EJ188+EI189-ER188)))</f>
        <v>205.10499999999971</v>
      </c>
      <c r="EK189" s="17">
        <f>EJ189*VLOOKUP('Données projet'!$B$15,Paramètres!$A$1:$I$89,3,0)*VLOOKUP('Données projet'!$B$15,Paramètres!$A$1:$I$89,5,0)</f>
        <v>207.97646999999969</v>
      </c>
      <c r="EL189" s="13">
        <f t="shared" si="179"/>
        <v>51.493144603798712</v>
      </c>
      <c r="EM189" s="20">
        <f t="shared" si="180"/>
        <v>451.90957876828219</v>
      </c>
      <c r="EN189" s="59">
        <f t="shared" si="128"/>
        <v>745.2429121016155</v>
      </c>
      <c r="EO189" s="59">
        <f ca="1">AVERAGE(OFFSET($EN$3,0,0,'Données projet'!$E$15+1,1))-AVERAGE(OFFSET($H$3,0,0,'Données projet'!$E$15+1,1))</f>
        <v>420.38735944595965</v>
      </c>
      <c r="EP189" s="59">
        <f t="shared" si="154"/>
        <v>200.0823542414671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96.287060592445528</v>
      </c>
      <c r="EW189" s="21">
        <f>EXP(-LN(2)/25)*EW188+(1-EXP(-LN(2)/25))/(LN(2)/25)*Calculateur!ER189*Calculateur!ET189*VLOOKUP('Données projet'!$B$15,Paramètres!$A$1:$I$89,3,0)*0.475*44/12</f>
        <v>37.581325542022583</v>
      </c>
      <c r="EX189" s="21">
        <f>EXP(-LN(2)/2)*EX188+(1-EXP(-LN(2)/2))/(LN(2)/2)*ER189*EU189*VLOOKUP('Données projet'!$B$15,Paramètres!$A$1:$I$89,3,0)*0.475*44/12</f>
        <v>2.8163624127636729E-6</v>
      </c>
      <c r="EY189" s="22">
        <f t="shared" si="181"/>
        <v>133.86838895083051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2.5579538487363607E-13</v>
      </c>
      <c r="FF189" s="17">
        <f>FE189*VLOOKUP('Données projet'!$B$16,Paramètres!$A$1:$I$89,3,0)*VLOOKUP('Données projet'!$B$16,Paramètres!$A$1:$I$89,5,0)</f>
        <v>2.7533815227798186E-13</v>
      </c>
      <c r="FG189" s="13">
        <f t="shared" si="182"/>
        <v>3.6763598146902537E-12</v>
      </c>
      <c r="FH189" s="20">
        <f t="shared" si="183"/>
        <v>6.88254062580301E-12</v>
      </c>
      <c r="FI189" s="59">
        <f t="shared" si="131"/>
        <v>293.33333333334019</v>
      </c>
      <c r="FJ189" s="59">
        <f ca="1">AVERAGE(OFFSET($FI$3,0,0,'Données projet'!$E$16+1,1))-AVERAGE(OFFSET($H$3,0,0,'Données projet'!$E$16+1,1))</f>
        <v>415.8741608506952</v>
      </c>
      <c r="FK189" s="59">
        <f t="shared" si="156"/>
        <v>259.15848913719356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44.332598315804134</v>
      </c>
      <c r="FR189" s="21">
        <f>EXP(-LN(2)/25)*FR188+(1-EXP(-LN(2)/25))/(LN(2)/25)*Calculateur!FM189*Calculateur!FO189*VLOOKUP('Données projet'!$B$16,Paramètres!$A$1:$I$89,3,0)*0.475*44/12</f>
        <v>5.9284256904897887</v>
      </c>
      <c r="FS189" s="21">
        <f>EXP(-LN(2)/2)*FS188+(1-EXP(-LN(2)/2))/(LN(2)/2)*FM189*FP189*VLOOKUP('Données projet'!$B$16,Paramètres!$A$1:$I$89,3,0)*0.475*44/12</f>
        <v>3.0177271891048091E-8</v>
      </c>
      <c r="FT189" s="22">
        <f t="shared" si="184"/>
        <v>50.261024036471191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2.5579538487363607E-13</v>
      </c>
      <c r="GA189" s="17">
        <f>FZ189*VLOOKUP('Données projet'!$B$17,Paramètres!$A$1:$I$89,3,0)*VLOOKUP('Données projet'!$B$17,Paramètres!$A$1:$I$89,5,0)</f>
        <v>2.1947244022157976E-13</v>
      </c>
      <c r="GB189" s="13">
        <f t="shared" si="185"/>
        <v>3.0088145886933343E-12</v>
      </c>
      <c r="GC189" s="20">
        <f t="shared" si="186"/>
        <v>5.6225999086934742E-12</v>
      </c>
      <c r="GD189" s="59">
        <f t="shared" si="134"/>
        <v>293.33333333333894</v>
      </c>
      <c r="GE189" s="59">
        <f ca="1">AVERAGE(OFFSET($GD$3,0,0,'Données projet'!$E$17+1,1))-AVERAGE(OFFSET($H$3,0,0,'Données projet'!$E$17+1,1))</f>
        <v>322.39807389980882</v>
      </c>
      <c r="GF189" s="59">
        <f t="shared" si="158"/>
        <v>202.59410055732792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43.555619848523428</v>
      </c>
      <c r="GM189" s="21">
        <f>EXP(-LN(2)/25)*GM188+(1-EXP(-LN(2)/25))/(LN(2)/25)*Calculateur!GH189*Calculateur!GJ189*VLOOKUP('Données projet'!$B$17,Paramètres!$A$1:$I$89,3,0)*0.475*44/12</f>
        <v>5.8245233865108652</v>
      </c>
      <c r="GN189" s="21">
        <f>EXP(-LN(2)/2)*GN188+(1-EXP(-LN(2)/2))/(LN(2)/2)*GH189*GK189*VLOOKUP('Données projet'!$B$17,Paramètres!$A$1:$I$89,3,0)*0.475*44/12</f>
        <v>2.4054347159531115E-8</v>
      </c>
      <c r="GO189" s="21">
        <f t="shared" si="187"/>
        <v>49.380143259088641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68.554199999999838</v>
      </c>
      <c r="D190" s="11">
        <f t="shared" si="140"/>
        <v>19.313979522608122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678.28068403416671</v>
      </c>
      <c r="H190" s="67">
        <f t="shared" si="110"/>
        <v>446.37041266854214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1.5961632016114892E-13</v>
      </c>
      <c r="P190" s="13">
        <f t="shared" si="141"/>
        <v>2.2708641912150958E-12</v>
      </c>
      <c r="Q190" s="20">
        <f t="shared" si="162"/>
        <v>4.2330868906469593E-12</v>
      </c>
      <c r="R190" s="59">
        <f t="shared" si="109"/>
        <v>293.33333333333752</v>
      </c>
      <c r="S190" s="59">
        <f ca="1">AVERAGE(OFFSET($R$3,0,0,'Données projet'!$E$9+1,1))-AVERAGE(OFFSET($H$3,0,0,'Données projet'!$E$9+1,1))</f>
        <v>215.77907571824977</v>
      </c>
      <c r="T190" s="59">
        <f t="shared" si="142"/>
        <v>174.69390149594869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27.998537590858824</v>
      </c>
      <c r="AA190" s="21">
        <f>EXP(-LN(2)/25)*AA189+(1-EXP(-LN(2)/25))/(LN(2)/25)*Calculateur!V190*Calculateur!X190*VLOOKUP('Données projet'!$B$9,Paramètres!$A$1:$I$89,3,0)*0.475*44/12</f>
        <v>4.8175756190320049</v>
      </c>
      <c r="AB190" s="21">
        <f>EXP(-LN(2)/2)*AB189+(1-EXP(-LN(2)/2))/(LN(2)/2)*V190*Y190*VLOOKUP('Données projet'!$B$9,Paramètres!$A$1:$I$89,3,0)*0.475*44/12</f>
        <v>5.7276154655178794E-11</v>
      </c>
      <c r="AC190" s="22">
        <f t="shared" si="163"/>
        <v>32.816113209948107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-1.0197709343628959E-13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171.701352621833</v>
      </c>
      <c r="AO190" s="59">
        <f t="shared" si="144"/>
        <v>195.58435749168586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8.598850245388288</v>
      </c>
      <c r="AV190" s="21">
        <f>EXP(-LN(2)/25)*AV189+(1-EXP(-LN(2)/25))/(LN(2)/25)*Calculateur!AQ190*Calculateur!AS190*VLOOKUP('Données projet'!$B$10,Paramètres!$A$1:$I$89,3,0)*0.475*44/12</f>
        <v>1.1681105688360913</v>
      </c>
      <c r="AW190" s="21">
        <f>EXP(-LN(2)/2)*AW189+(1-EXP(-LN(2)/2))/(LN(2)/2)*AQ190*AT190*VLOOKUP('Données projet'!$B$10,Paramètres!$A$1:$I$89,3,0)*0.475*44/12</f>
        <v>6.8567235202501842E-18</v>
      </c>
      <c r="AX190" s="21">
        <f t="shared" si="166"/>
        <v>9.7669608142243796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-1.1823431123048067E-13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348.29124901999882</v>
      </c>
      <c r="BJ190" s="59">
        <f t="shared" si="146"/>
        <v>284.30034973939053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26.110947077106392</v>
      </c>
      <c r="BQ190" s="21">
        <f>EXP(-LN(2)/25)*BQ189+(1-EXP(-LN(2)/25))/(LN(2)/25)*Calculateur!BL190*Calculateur!BN190*VLOOKUP('Données projet'!$B$11,Paramètres!$A$1:$I$89,3,0)*0.475*44/12</f>
        <v>4.0038426477713429</v>
      </c>
      <c r="BR190" s="21">
        <f>EXP(-LN(2)/2)*BR189+(1-EXP(-LN(2)/2))/(LN(2)/2)*BL190*BO190*VLOOKUP('Données projet'!$B$11,Paramètres!$A$1:$I$89,3,0)*0.475*44/12</f>
        <v>6.6232002468165313E-15</v>
      </c>
      <c r="BS190" s="22">
        <f t="shared" si="169"/>
        <v>30.114789724877742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-1.3596945791505279E-13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185.82627135915504</v>
      </c>
      <c r="CE190" s="59">
        <f t="shared" si="148"/>
        <v>155.46126452522037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20.557438649051878</v>
      </c>
      <c r="CL190" s="21">
        <f>EXP(-LN(2)/25)*CL189+(1-EXP(-LN(2)/25))/(LN(2)/25)*Calculateur!CG190*Calculateur!CI190*VLOOKUP('Données projet'!$B$12,Paramètres!$A$1:$I$89,3,0)*0.475*44/12</f>
        <v>3.5732370467939174</v>
      </c>
      <c r="CM190" s="21">
        <f>EXP(-LN(2)/2)*CM189+(1-EXP(-LN(2)/2))/(LN(2)/2)*CG190*CJ190*VLOOKUP('Données projet'!$B$12,Paramètres!$A$1:$I$89,3,0)*0.475*44/12</f>
        <v>8.7111466942570385E-11</v>
      </c>
      <c r="CN190" s="22">
        <f t="shared" si="172"/>
        <v>24.130675695932908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-1.2789769243681803E-13</v>
      </c>
      <c r="CU190" s="17">
        <f>CT190*VLOOKUP('Données projet'!$B$13,Paramètres!$A$1:$I$89,3,0)*VLOOKUP('Données projet'!$B$13,Paramètres!$A$1:$I$89,5,0)</f>
        <v>-1.4733814168721438E-13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150.78964413039063</v>
      </c>
      <c r="CZ190" s="59">
        <f t="shared" si="150"/>
        <v>131.90332435966184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11.348386797071791</v>
      </c>
      <c r="DG190" s="21">
        <f>EXP(-LN(2)/25)*DG189+(1-EXP(-LN(2)/25))/(LN(2)/25)*Calculateur!DB190*Calculateur!DD190*VLOOKUP('Données projet'!$B$13,Paramètres!$A$1:$I$89,3,0)*0.475*44/12</f>
        <v>3.9264179697218542</v>
      </c>
      <c r="DH190" s="21">
        <f>EXP(-LN(2)/2)*DH189+(1-EXP(-LN(2)/2))/(LN(2)/2)*DB190*DE190*VLOOKUP('Données projet'!$B$13,Paramètres!$A$1:$I$89,3,0)*0.475*44/12</f>
        <v>4.4061269739610033E-5</v>
      </c>
      <c r="DI190" s="22">
        <f t="shared" si="175"/>
        <v>15.274848828063385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-1.4210854715202004E-14</v>
      </c>
      <c r="DP190" s="17">
        <f>DO190*VLOOKUP('Données projet'!$B$14,Paramètres!$A$1:$I$89,3,0)*VLOOKUP('Données projet'!$B$14,Paramètres!$A$1:$I$89,5,0)</f>
        <v>-1.4853185348329136E-14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110.10595934547638</v>
      </c>
      <c r="DU190" s="59">
        <f t="shared" si="152"/>
        <v>131.10971921141493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3.3231692800602466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3.3231692800602466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3.0825000000000031</v>
      </c>
      <c r="EJ190" s="12">
        <f>IF('Données projet'!$A$192&gt;35,EJ189+EI190-ER189,IF(A190&lt;'Données projet'!$A$192,$EG$205^A190,IF(A190='Données projet'!$A$192,'Données projet'!$B$192,EJ189+EI190-ER189)))</f>
        <v>208.18749999999972</v>
      </c>
      <c r="EK190" s="17">
        <f>EJ190*VLOOKUP('Données projet'!$B$15,Paramètres!$A$1:$I$89,3,0)*VLOOKUP('Données projet'!$B$15,Paramètres!$A$1:$I$89,5,0)</f>
        <v>211.10212499999972</v>
      </c>
      <c r="EL190" s="13">
        <f t="shared" si="179"/>
        <v>52.176354318882368</v>
      </c>
      <c r="EM190" s="20">
        <f t="shared" si="180"/>
        <v>458.54335148038626</v>
      </c>
      <c r="EN190" s="59">
        <f t="shared" si="128"/>
        <v>751.87668481371952</v>
      </c>
      <c r="EO190" s="59">
        <f ca="1">AVERAGE(OFFSET($EN$3,0,0,'Données projet'!$E$15+1,1))-AVERAGE(OFFSET($H$3,0,0,'Données projet'!$E$15+1,1))</f>
        <v>420.38735944595965</v>
      </c>
      <c r="EP190" s="59">
        <f t="shared" si="154"/>
        <v>200.0823542414671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94.398930063535602</v>
      </c>
      <c r="EW190" s="21">
        <f>EXP(-LN(2)/25)*EW189+(1-EXP(-LN(2)/25))/(LN(2)/25)*Calculateur!ER190*Calculateur!ET190*VLOOKUP('Données projet'!$B$15,Paramètres!$A$1:$I$89,3,0)*0.475*44/12</f>
        <v>36.55366221875996</v>
      </c>
      <c r="EX190" s="21">
        <f>EXP(-LN(2)/2)*EX189+(1-EXP(-LN(2)/2))/(LN(2)/2)*ER190*EU190*VLOOKUP('Données projet'!$B$15,Paramètres!$A$1:$I$89,3,0)*0.475*44/12</f>
        <v>1.9914689603440995E-6</v>
      </c>
      <c r="EY190" s="22">
        <f t="shared" si="181"/>
        <v>130.95259427376453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2.5579538487363607E-13</v>
      </c>
      <c r="FF190" s="17">
        <f>FE190*VLOOKUP('Données projet'!$B$16,Paramètres!$A$1:$I$89,3,0)*VLOOKUP('Données projet'!$B$16,Paramètres!$A$1:$I$89,5,0)</f>
        <v>2.7533815227798186E-13</v>
      </c>
      <c r="FG190" s="13">
        <f t="shared" si="182"/>
        <v>3.6763598146902537E-12</v>
      </c>
      <c r="FH190" s="20">
        <f t="shared" si="183"/>
        <v>6.88254062580301E-12</v>
      </c>
      <c r="FI190" s="59">
        <f t="shared" si="131"/>
        <v>293.33333333334019</v>
      </c>
      <c r="FJ190" s="59">
        <f ca="1">AVERAGE(OFFSET($FI$3,0,0,'Données projet'!$E$16+1,1))-AVERAGE(OFFSET($H$3,0,0,'Données projet'!$E$16+1,1))</f>
        <v>415.8741608506952</v>
      </c>
      <c r="FK190" s="59">
        <f t="shared" si="156"/>
        <v>259.15848913719356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43.463263103046188</v>
      </c>
      <c r="FR190" s="21">
        <f>EXP(-LN(2)/25)*FR189+(1-EXP(-LN(2)/25))/(LN(2)/25)*Calculateur!FM190*Calculateur!FO190*VLOOKUP('Données projet'!$B$16,Paramètres!$A$1:$I$89,3,0)*0.475*44/12</f>
        <v>5.7663125782209876</v>
      </c>
      <c r="FS190" s="21">
        <f>EXP(-LN(2)/2)*FS189+(1-EXP(-LN(2)/2))/(LN(2)/2)*FM190*FP190*VLOOKUP('Données projet'!$B$16,Paramètres!$A$1:$I$89,3,0)*0.475*44/12</f>
        <v>2.1338553591870294E-8</v>
      </c>
      <c r="FT190" s="22">
        <f t="shared" si="184"/>
        <v>49.229575702605729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2.5579538487363607E-13</v>
      </c>
      <c r="GA190" s="17">
        <f>FZ190*VLOOKUP('Données projet'!$B$17,Paramètres!$A$1:$I$89,3,0)*VLOOKUP('Données projet'!$B$17,Paramètres!$A$1:$I$89,5,0)</f>
        <v>2.1947244022157976E-13</v>
      </c>
      <c r="GB190" s="13">
        <f t="shared" si="185"/>
        <v>3.0088145886933343E-12</v>
      </c>
      <c r="GC190" s="20">
        <f t="shared" si="186"/>
        <v>5.6225999086934742E-12</v>
      </c>
      <c r="GD190" s="59">
        <f t="shared" si="134"/>
        <v>293.33333333333894</v>
      </c>
      <c r="GE190" s="59">
        <f ca="1">AVERAGE(OFFSET($GD$3,0,0,'Données projet'!$E$17+1,1))-AVERAGE(OFFSET($H$3,0,0,'Données projet'!$E$17+1,1))</f>
        <v>322.39807389980882</v>
      </c>
      <c r="GF190" s="59">
        <f t="shared" si="158"/>
        <v>202.59410055732792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42.701520709598789</v>
      </c>
      <c r="GM190" s="21">
        <f>EXP(-LN(2)/25)*GM189+(1-EXP(-LN(2)/25))/(LN(2)/25)*Calculateur!GH190*Calculateur!GJ190*VLOOKUP('Données projet'!$B$17,Paramètres!$A$1:$I$89,3,0)*0.475*44/12</f>
        <v>5.6652514882083524</v>
      </c>
      <c r="GN190" s="21">
        <f>EXP(-LN(2)/2)*GN189+(1-EXP(-LN(2)/2))/(LN(2)/2)*GH190*GK190*VLOOKUP('Données projet'!$B$17,Paramètres!$A$1:$I$89,3,0)*0.475*44/12</f>
        <v>1.7008991993519819E-8</v>
      </c>
      <c r="GO190" s="21">
        <f t="shared" si="187"/>
        <v>48.366772214816137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68.920799999999844</v>
      </c>
      <c r="D191" s="11">
        <f t="shared" si="140"/>
        <v>19.405212311100492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681.81483187516039</v>
      </c>
      <c r="H191" s="67">
        <f t="shared" si="110"/>
        <v>447.16780477516636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1.5961632016114892E-13</v>
      </c>
      <c r="P191" s="13">
        <f t="shared" si="141"/>
        <v>2.2708641912150958E-12</v>
      </c>
      <c r="Q191" s="20">
        <f t="shared" si="162"/>
        <v>4.2330868906469593E-12</v>
      </c>
      <c r="R191" s="59">
        <f t="shared" si="109"/>
        <v>293.33333333333752</v>
      </c>
      <c r="S191" s="59">
        <f ca="1">AVERAGE(OFFSET($R$3,0,0,'Données projet'!$E$9+1,1))-AVERAGE(OFFSET($H$3,0,0,'Données projet'!$E$9+1,1))</f>
        <v>215.77907571824977</v>
      </c>
      <c r="T191" s="59">
        <f t="shared" si="142"/>
        <v>174.69390149594869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27.449503346123759</v>
      </c>
      <c r="AA191" s="21">
        <f>EXP(-LN(2)/25)*AA190+(1-EXP(-LN(2)/25))/(LN(2)/25)*Calculateur!V191*Calculateur!X191*VLOOKUP('Données projet'!$B$9,Paramètres!$A$1:$I$89,3,0)*0.475*44/12</f>
        <v>4.6858387603842839</v>
      </c>
      <c r="AB191" s="21">
        <f>EXP(-LN(2)/2)*AB190+(1-EXP(-LN(2)/2))/(LN(2)/2)*V191*Y191*VLOOKUP('Données projet'!$B$9,Paramètres!$A$1:$I$89,3,0)*0.475*44/12</f>
        <v>4.050035735696637E-11</v>
      </c>
      <c r="AC191" s="22">
        <f t="shared" si="163"/>
        <v>32.135342106548542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-1.0197709343628959E-13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171.701352621833</v>
      </c>
      <c r="AO191" s="59">
        <f t="shared" si="144"/>
        <v>195.58435749168586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8.4302320368569941</v>
      </c>
      <c r="AV191" s="21">
        <f>EXP(-LN(2)/25)*AV190+(1-EXP(-LN(2)/25))/(LN(2)/25)*Calculateur!AQ191*Calculateur!AS191*VLOOKUP('Données projet'!$B$10,Paramètres!$A$1:$I$89,3,0)*0.475*44/12</f>
        <v>1.1361685239030033</v>
      </c>
      <c r="AW191" s="21">
        <f>EXP(-LN(2)/2)*AW190+(1-EXP(-LN(2)/2))/(LN(2)/2)*AQ191*AT191*VLOOKUP('Données projet'!$B$10,Paramètres!$A$1:$I$89,3,0)*0.475*44/12</f>
        <v>4.8484356978902015E-18</v>
      </c>
      <c r="AX191" s="21">
        <f t="shared" si="166"/>
        <v>9.5664005607599982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-1.1823431123048067E-13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348.29124901999882</v>
      </c>
      <c r="BJ191" s="59">
        <f t="shared" si="146"/>
        <v>284.30034973939053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25.598927331029479</v>
      </c>
      <c r="BQ191" s="21">
        <f>EXP(-LN(2)/25)*BQ190+(1-EXP(-LN(2)/25))/(LN(2)/25)*Calculateur!BL191*Calculateur!BN191*VLOOKUP('Données projet'!$B$11,Paramètres!$A$1:$I$89,3,0)*0.475*44/12</f>
        <v>3.8943573600151016</v>
      </c>
      <c r="BR191" s="21">
        <f>EXP(-LN(2)/2)*BR190+(1-EXP(-LN(2)/2))/(LN(2)/2)*BL191*BO191*VLOOKUP('Données projet'!$B$11,Paramètres!$A$1:$I$89,3,0)*0.475*44/12</f>
        <v>4.6833098076803845E-15</v>
      </c>
      <c r="BS191" s="22">
        <f t="shared" si="169"/>
        <v>29.493284691044583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-1.3596945791505279E-13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185.82627135915504</v>
      </c>
      <c r="CE191" s="59">
        <f t="shared" si="148"/>
        <v>155.46126452522037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20.154319815943442</v>
      </c>
      <c r="CL191" s="21">
        <f>EXP(-LN(2)/25)*CL190+(1-EXP(-LN(2)/25))/(LN(2)/25)*Calculateur!CG191*Calculateur!CI191*VLOOKUP('Données projet'!$B$12,Paramètres!$A$1:$I$89,3,0)*0.475*44/12</f>
        <v>3.4755266918409684</v>
      </c>
      <c r="CM191" s="21">
        <f>EXP(-LN(2)/2)*CM190+(1-EXP(-LN(2)/2))/(LN(2)/2)*CG191*CJ191*VLOOKUP('Données projet'!$B$12,Paramètres!$A$1:$I$89,3,0)*0.475*44/12</f>
        <v>6.1597108994199284E-11</v>
      </c>
      <c r="CN191" s="22">
        <f t="shared" si="172"/>
        <v>23.629846507846008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-1.2789769243681803E-13</v>
      </c>
      <c r="CU191" s="17">
        <f>CT191*VLOOKUP('Données projet'!$B$13,Paramètres!$A$1:$I$89,3,0)*VLOOKUP('Données projet'!$B$13,Paramètres!$A$1:$I$89,5,0)</f>
        <v>-1.4733814168721438E-13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150.78964413039063</v>
      </c>
      <c r="CZ191" s="59">
        <f t="shared" si="150"/>
        <v>131.90332435966184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11.125851853813685</v>
      </c>
      <c r="DG191" s="21">
        <f>EXP(-LN(2)/25)*DG190+(1-EXP(-LN(2)/25))/(LN(2)/25)*Calculateur!DB191*Calculateur!DD191*VLOOKUP('Données projet'!$B$13,Paramètres!$A$1:$I$89,3,0)*0.475*44/12</f>
        <v>3.8190498638584631</v>
      </c>
      <c r="DH191" s="21">
        <f>EXP(-LN(2)/2)*DH190+(1-EXP(-LN(2)/2))/(LN(2)/2)*DB191*DE191*VLOOKUP('Données projet'!$B$13,Paramètres!$A$1:$I$89,3,0)*0.475*44/12</f>
        <v>3.1156022620567879E-5</v>
      </c>
      <c r="DI191" s="22">
        <f t="shared" si="175"/>
        <v>14.94493287369477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-1.4210854715202004E-14</v>
      </c>
      <c r="DP191" s="17">
        <f>DO191*VLOOKUP('Données projet'!$B$14,Paramètres!$A$1:$I$89,3,0)*VLOOKUP('Données projet'!$B$14,Paramètres!$A$1:$I$89,5,0)</f>
        <v>-1.4853185348329136E-14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110.10595934547638</v>
      </c>
      <c r="DU191" s="59">
        <f t="shared" si="152"/>
        <v>131.10971921141493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3.2322970413391219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3.2322970413391219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>
        <f>VLOOKUP(A191,'Données projet'!$A$191:$I$211,2,0)</f>
        <v>211.27</v>
      </c>
      <c r="EH191" s="12">
        <f>VLOOKUP(A191,'Données projet'!$A$191:$I$211,9,0)</f>
        <v>3.0825000000000031</v>
      </c>
      <c r="EI191" s="12">
        <f t="array" ref="EI191">INDEX(EH:EH,MIN(IF(ISNUMBER(EH191:EH387),ROW(EH191:EH387),"")))</f>
        <v>3.0825000000000031</v>
      </c>
      <c r="EJ191" s="12">
        <f>IF('Données projet'!$A$192&gt;35,EJ190+EI191-ER190,IF(A191&lt;'Données projet'!$A$192,$EG$205^A191,IF(A191='Données projet'!$A$192,'Données projet'!$B$192,EJ190+EI191-ER190)))</f>
        <v>211.26999999999973</v>
      </c>
      <c r="EK191" s="17">
        <f>EJ191*VLOOKUP('Données projet'!$B$15,Paramètres!$A$1:$I$89,3,0)*VLOOKUP('Données projet'!$B$15,Paramètres!$A$1:$I$89,5,0)</f>
        <v>214.22777999999974</v>
      </c>
      <c r="EL191" s="13">
        <f t="shared" si="179"/>
        <v>52.858387517427865</v>
      </c>
      <c r="EM191" s="20">
        <f t="shared" si="180"/>
        <v>465.17507509285309</v>
      </c>
      <c r="EN191" s="59">
        <f t="shared" si="128"/>
        <v>758.50840842618641</v>
      </c>
      <c r="EO191" s="59">
        <f ca="1">AVERAGE(OFFSET($EN$3,0,0,'Données projet'!$E$15+1,1))-AVERAGE(OFFSET($H$3,0,0,'Données projet'!$E$15+1,1))</f>
        <v>420.38735944595965</v>
      </c>
      <c r="EP191" s="59">
        <f t="shared" si="154"/>
        <v>200.0823542414671</v>
      </c>
      <c r="EQ191" s="15">
        <f>IF(ISNA(VLOOKUP(A191,'Données projet'!$A$191:$I$211,3,0)),0,VLOOKUP(A191,'Données projet'!$A$191:$I$211,3,0))</f>
        <v>15</v>
      </c>
      <c r="ER191" s="15">
        <f>IF(ISNA(VLOOKUP(A191,'Données projet'!$A$191:$I$211,4,0)),0,VLOOKUP(A191,'Données projet'!$A$191:$I$211,4,0))</f>
        <v>72.180000000000007</v>
      </c>
      <c r="ES191" s="16">
        <f>IF(ISNA(VLOOKUP(A191,'Données projet'!$A$191:$I$211,5,0)),0%,VLOOKUP(A191,'Données projet'!$A$191:$I$211,5,0)*VLOOKUP('Données projet'!$B$15,Paramètres!$A$1:$I$89,7,0))</f>
        <v>0.215</v>
      </c>
      <c r="ET191" s="16">
        <f>IF(ISNA(VLOOKUP(A191,'Données projet'!$A$191:$I$211,6,0)),0%,VLOOKUP(A191,'Données projet'!$A$191:$I$211,6,0)*VLOOKUP('Données projet'!$B$15,Paramètres!$A$1:$I$89,7,0))</f>
        <v>8.6000000000000007E-2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109.94346428601369</v>
      </c>
      <c r="EW191" s="21">
        <f>EXP(-LN(2)/25)*EW190+(1-EXP(-LN(2)/25))/(LN(2)/25)*Calculateur!ER191*Calculateur!ET191*VLOOKUP('Données projet'!$B$15,Paramètres!$A$1:$I$89,3,0)*0.475*44/12</f>
        <v>42.484958963814016</v>
      </c>
      <c r="EX191" s="21">
        <f>EXP(-LN(2)/2)*EX190+(1-EXP(-LN(2)/2))/(LN(2)/2)*ER191*EU191*VLOOKUP('Données projet'!$B$15,Paramètres!$A$1:$I$89,3,0)*0.475*44/12</f>
        <v>1.4081812063818365E-6</v>
      </c>
      <c r="EY191" s="22">
        <f t="shared" si="181"/>
        <v>152.42842465800894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2.5579538487363607E-13</v>
      </c>
      <c r="FF191" s="17">
        <f>FE191*VLOOKUP('Données projet'!$B$16,Paramètres!$A$1:$I$89,3,0)*VLOOKUP('Données projet'!$B$16,Paramètres!$A$1:$I$89,5,0)</f>
        <v>2.7533815227798186E-13</v>
      </c>
      <c r="FG191" s="13">
        <f t="shared" si="182"/>
        <v>3.6763598146902537E-12</v>
      </c>
      <c r="FH191" s="20">
        <f t="shared" si="183"/>
        <v>6.88254062580301E-12</v>
      </c>
      <c r="FI191" s="59">
        <f t="shared" si="131"/>
        <v>293.33333333334019</v>
      </c>
      <c r="FJ191" s="59">
        <f ca="1">AVERAGE(OFFSET($FI$3,0,0,'Données projet'!$E$16+1,1))-AVERAGE(OFFSET($H$3,0,0,'Données projet'!$E$16+1,1))</f>
        <v>415.8741608506952</v>
      </c>
      <c r="FK191" s="59">
        <f t="shared" si="156"/>
        <v>259.15848913719356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42.610975023568301</v>
      </c>
      <c r="FR191" s="21">
        <f>EXP(-LN(2)/25)*FR190+(1-EXP(-LN(2)/25))/(LN(2)/25)*Calculateur!FM191*Calculateur!FO191*VLOOKUP('Données projet'!$B$16,Paramètres!$A$1:$I$89,3,0)*0.475*44/12</f>
        <v>5.6086324575323356</v>
      </c>
      <c r="FS191" s="21">
        <f>EXP(-LN(2)/2)*FS190+(1-EXP(-LN(2)/2))/(LN(2)/2)*FM191*FP191*VLOOKUP('Données projet'!$B$16,Paramètres!$A$1:$I$89,3,0)*0.475*44/12</f>
        <v>1.5088635945524046E-8</v>
      </c>
      <c r="FT191" s="22">
        <f t="shared" si="184"/>
        <v>48.219607496189276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2.5579538487363607E-13</v>
      </c>
      <c r="GA191" s="17">
        <f>FZ191*VLOOKUP('Données projet'!$B$17,Paramètres!$A$1:$I$89,3,0)*VLOOKUP('Données projet'!$B$17,Paramètres!$A$1:$I$89,5,0)</f>
        <v>2.1947244022157976E-13</v>
      </c>
      <c r="GB191" s="13">
        <f t="shared" si="185"/>
        <v>3.0088145886933343E-12</v>
      </c>
      <c r="GC191" s="20">
        <f t="shared" si="186"/>
        <v>5.6225999086934742E-12</v>
      </c>
      <c r="GD191" s="59">
        <f t="shared" si="134"/>
        <v>293.33333333333894</v>
      </c>
      <c r="GE191" s="59">
        <f ca="1">AVERAGE(OFFSET($GD$3,0,0,'Données projet'!$E$17+1,1))-AVERAGE(OFFSET($H$3,0,0,'Données projet'!$E$17+1,1))</f>
        <v>322.39807389980882</v>
      </c>
      <c r="GF191" s="59">
        <f t="shared" si="158"/>
        <v>202.59410055732792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41.864169933839428</v>
      </c>
      <c r="GM191" s="21">
        <f>EXP(-LN(2)/25)*GM190+(1-EXP(-LN(2)/25))/(LN(2)/25)*Calculateur!GH191*Calculateur!GJ191*VLOOKUP('Données projet'!$B$17,Paramètres!$A$1:$I$89,3,0)*0.475*44/12</f>
        <v>5.5103348883406671</v>
      </c>
      <c r="GN191" s="21">
        <f>EXP(-LN(2)/2)*GN190+(1-EXP(-LN(2)/2))/(LN(2)/2)*GH191*GK191*VLOOKUP('Données projet'!$B$17,Paramètres!$A$1:$I$89,3,0)*0.475*44/12</f>
        <v>1.2027173579765557E-8</v>
      </c>
      <c r="GO191" s="21">
        <f t="shared" si="187"/>
        <v>47.374504834207265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69.287399999999849</v>
      </c>
      <c r="D192" s="11">
        <f t="shared" si="140"/>
        <v>19.496388630110438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685.34854381137757</v>
      </c>
      <c r="H192" s="67">
        <f t="shared" si="110"/>
        <v>447.96509853077544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1.5961632016114892E-13</v>
      </c>
      <c r="P192" s="13">
        <f t="shared" si="141"/>
        <v>2.2708641912150958E-12</v>
      </c>
      <c r="Q192" s="20">
        <f t="shared" si="162"/>
        <v>4.2330868906469593E-12</v>
      </c>
      <c r="R192" s="59">
        <f t="shared" si="109"/>
        <v>293.33333333333752</v>
      </c>
      <c r="S192" s="59">
        <f ca="1">AVERAGE(OFFSET($R$3,0,0,'Données projet'!$E$9+1,1))-AVERAGE(OFFSET($H$3,0,0,'Données projet'!$E$9+1,1))</f>
        <v>215.77907571824977</v>
      </c>
      <c r="T192" s="59">
        <f t="shared" si="142"/>
        <v>174.69390149594869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26.911235328050125</v>
      </c>
      <c r="AA192" s="21">
        <f>EXP(-LN(2)/25)*AA191+(1-EXP(-LN(2)/25))/(LN(2)/25)*Calculateur!V192*Calculateur!X192*VLOOKUP('Données projet'!$B$9,Paramètres!$A$1:$I$89,3,0)*0.475*44/12</f>
        <v>4.557704253064025</v>
      </c>
      <c r="AB192" s="21">
        <f>EXP(-LN(2)/2)*AB191+(1-EXP(-LN(2)/2))/(LN(2)/2)*V192*Y192*VLOOKUP('Données projet'!$B$9,Paramètres!$A$1:$I$89,3,0)*0.475*44/12</f>
        <v>2.86380773275894E-11</v>
      </c>
      <c r="AC192" s="22">
        <f t="shared" si="163"/>
        <v>31.468939581142788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-1.0197709343628959E-13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171.701352621833</v>
      </c>
      <c r="AO192" s="59">
        <f t="shared" si="144"/>
        <v>195.58435749168586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8.2649203285480475</v>
      </c>
      <c r="AV192" s="21">
        <f>EXP(-LN(2)/25)*AV191+(1-EXP(-LN(2)/25))/(LN(2)/25)*Calculateur!AQ192*Calculateur!AS192*VLOOKUP('Données projet'!$B$10,Paramètres!$A$1:$I$89,3,0)*0.475*44/12</f>
        <v>1.1050999358683697</v>
      </c>
      <c r="AW192" s="21">
        <f>EXP(-LN(2)/2)*AW191+(1-EXP(-LN(2)/2))/(LN(2)/2)*AQ192*AT192*VLOOKUP('Données projet'!$B$10,Paramètres!$A$1:$I$89,3,0)*0.475*44/12</f>
        <v>3.4283617601250929E-18</v>
      </c>
      <c r="AX192" s="21">
        <f t="shared" si="166"/>
        <v>9.3700202644164179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-1.1823431123048067E-13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348.29124901999882</v>
      </c>
      <c r="BJ192" s="59">
        <f t="shared" si="146"/>
        <v>284.30034973939053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25.096947979871928</v>
      </c>
      <c r="BQ192" s="21">
        <f>EXP(-LN(2)/25)*BQ191+(1-EXP(-LN(2)/25))/(LN(2)/25)*Calculateur!BL192*Calculateur!BN192*VLOOKUP('Données projet'!$B$11,Paramètres!$A$1:$I$89,3,0)*0.475*44/12</f>
        <v>3.7878659532101357</v>
      </c>
      <c r="BR192" s="21">
        <f>EXP(-LN(2)/2)*BR191+(1-EXP(-LN(2)/2))/(LN(2)/2)*BL192*BO192*VLOOKUP('Données projet'!$B$11,Paramètres!$A$1:$I$89,3,0)*0.475*44/12</f>
        <v>3.3116001234082656E-15</v>
      </c>
      <c r="BS192" s="22">
        <f t="shared" si="169"/>
        <v>28.884813933082068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-1.3596945791505279E-13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185.82627135915504</v>
      </c>
      <c r="CE192" s="59">
        <f t="shared" si="148"/>
        <v>155.46126452522037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19.759105897274054</v>
      </c>
      <c r="CL192" s="21">
        <f>EXP(-LN(2)/25)*CL191+(1-EXP(-LN(2)/25))/(LN(2)/25)*Calculateur!CG192*Calculateur!CI192*VLOOKUP('Données projet'!$B$12,Paramètres!$A$1:$I$89,3,0)*0.475*44/12</f>
        <v>3.380488231682572</v>
      </c>
      <c r="CM192" s="21">
        <f>EXP(-LN(2)/2)*CM191+(1-EXP(-LN(2)/2))/(LN(2)/2)*CG192*CJ192*VLOOKUP('Données projet'!$B$12,Paramètres!$A$1:$I$89,3,0)*0.475*44/12</f>
        <v>4.3555733471285193E-11</v>
      </c>
      <c r="CN192" s="22">
        <f t="shared" si="172"/>
        <v>23.139594129000184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-1.2789769243681803E-13</v>
      </c>
      <c r="CU192" s="17">
        <f>CT192*VLOOKUP('Données projet'!$B$13,Paramètres!$A$1:$I$89,3,0)*VLOOKUP('Données projet'!$B$13,Paramètres!$A$1:$I$89,5,0)</f>
        <v>-1.4733814168721438E-13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150.78964413039063</v>
      </c>
      <c r="CZ192" s="59">
        <f t="shared" si="150"/>
        <v>131.90332435966184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10.907680685059958</v>
      </c>
      <c r="DG192" s="21">
        <f>EXP(-LN(2)/25)*DG191+(1-EXP(-LN(2)/25))/(LN(2)/25)*Calculateur!DB192*Calculateur!DD192*VLOOKUP('Données projet'!$B$13,Paramètres!$A$1:$I$89,3,0)*0.475*44/12</f>
        <v>3.7146177444961497</v>
      </c>
      <c r="DH192" s="21">
        <f>EXP(-LN(2)/2)*DH191+(1-EXP(-LN(2)/2))/(LN(2)/2)*DB192*DE192*VLOOKUP('Données projet'!$B$13,Paramètres!$A$1:$I$89,3,0)*0.475*44/12</f>
        <v>2.2030634869805017E-5</v>
      </c>
      <c r="DI192" s="22">
        <f t="shared" si="175"/>
        <v>14.622320460190977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-1.4210854715202004E-14</v>
      </c>
      <c r="DP192" s="17">
        <f>DO192*VLOOKUP('Données projet'!$B$14,Paramètres!$A$1:$I$89,3,0)*VLOOKUP('Données projet'!$B$14,Paramètres!$A$1:$I$89,5,0)</f>
        <v>-1.4853185348329136E-14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110.10595934547638</v>
      </c>
      <c r="DU192" s="59">
        <f t="shared" si="152"/>
        <v>131.10971921141493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3.1439097087645895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3.1439097087645895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1.9733333333333292</v>
      </c>
      <c r="EJ192" s="12">
        <f>IF('Données projet'!$A$192&gt;35,EJ191+EI192-ER191,IF(A192&lt;'Données projet'!$A$192,$EG$205^A192,IF(A192='Données projet'!$A$192,'Données projet'!$B$192,EJ191+EI192-ER191)))</f>
        <v>141.06333333333305</v>
      </c>
      <c r="EK192" s="17">
        <f>EJ192*VLOOKUP('Données projet'!$B$15,Paramètres!$A$1:$I$89,3,0)*VLOOKUP('Données projet'!$B$15,Paramètres!$A$1:$I$89,5,0)</f>
        <v>143.03821999999974</v>
      </c>
      <c r="EL192" s="13">
        <f t="shared" si="179"/>
        <v>36.992146964895987</v>
      </c>
      <c r="EM192" s="20">
        <f t="shared" si="180"/>
        <v>313.55288913052675</v>
      </c>
      <c r="EN192" s="59">
        <f t="shared" si="128"/>
        <v>606.88622246386012</v>
      </c>
      <c r="EO192" s="59">
        <f ca="1">AVERAGE(OFFSET($EN$3,0,0,'Données projet'!$E$15+1,1))-AVERAGE(OFFSET($H$3,0,0,'Données projet'!$E$15+1,1))</f>
        <v>420.38735944595965</v>
      </c>
      <c r="EP192" s="59">
        <f t="shared" si="154"/>
        <v>200.0823542414671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107.78754001025666</v>
      </c>
      <c r="EW192" s="21">
        <f>EXP(-LN(2)/25)*EW191+(1-EXP(-LN(2)/25))/(LN(2)/25)*Calculateur!ER192*Calculateur!ET192*VLOOKUP('Données projet'!$B$15,Paramètres!$A$1:$I$89,3,0)*0.475*44/12</f>
        <v>41.323205526761633</v>
      </c>
      <c r="EX192" s="21">
        <f>EXP(-LN(2)/2)*EX191+(1-EXP(-LN(2)/2))/(LN(2)/2)*ER192*EU192*VLOOKUP('Données projet'!$B$15,Paramètres!$A$1:$I$89,3,0)*0.475*44/12</f>
        <v>9.9573448017204974E-7</v>
      </c>
      <c r="EY192" s="22">
        <f t="shared" si="181"/>
        <v>149.11074653275276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2.5579538487363607E-13</v>
      </c>
      <c r="FF192" s="17">
        <f>FE192*VLOOKUP('Données projet'!$B$16,Paramètres!$A$1:$I$89,3,0)*VLOOKUP('Données projet'!$B$16,Paramètres!$A$1:$I$89,5,0)</f>
        <v>2.7533815227798186E-13</v>
      </c>
      <c r="FG192" s="13">
        <f t="shared" si="182"/>
        <v>3.6763598146902537E-12</v>
      </c>
      <c r="FH192" s="20">
        <f t="shared" si="183"/>
        <v>6.88254062580301E-12</v>
      </c>
      <c r="FI192" s="59">
        <f t="shared" si="131"/>
        <v>293.33333333334019</v>
      </c>
      <c r="FJ192" s="59">
        <f ca="1">AVERAGE(OFFSET($FI$3,0,0,'Données projet'!$E$16+1,1))-AVERAGE(OFFSET($H$3,0,0,'Données projet'!$E$16+1,1))</f>
        <v>415.8741608506952</v>
      </c>
      <c r="FK192" s="59">
        <f t="shared" si="156"/>
        <v>259.15848913719356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41.775399793484581</v>
      </c>
      <c r="FR192" s="21">
        <f>EXP(-LN(2)/25)*FR191+(1-EXP(-LN(2)/25))/(LN(2)/25)*Calculateur!FM192*Calculateur!FO192*VLOOKUP('Données projet'!$B$16,Paramètres!$A$1:$I$89,3,0)*0.475*44/12</f>
        <v>5.4552641080359514</v>
      </c>
      <c r="FS192" s="21">
        <f>EXP(-LN(2)/2)*FS191+(1-EXP(-LN(2)/2))/(LN(2)/2)*FM192*FP192*VLOOKUP('Données projet'!$B$16,Paramètres!$A$1:$I$89,3,0)*0.475*44/12</f>
        <v>1.0669276795935147E-8</v>
      </c>
      <c r="FT192" s="22">
        <f t="shared" si="184"/>
        <v>47.230663912189804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2.5579538487363607E-13</v>
      </c>
      <c r="GA192" s="17">
        <f>FZ192*VLOOKUP('Données projet'!$B$17,Paramètres!$A$1:$I$89,3,0)*VLOOKUP('Données projet'!$B$17,Paramètres!$A$1:$I$89,5,0)</f>
        <v>2.1947244022157976E-13</v>
      </c>
      <c r="GB192" s="13">
        <f t="shared" si="185"/>
        <v>3.0088145886933343E-12</v>
      </c>
      <c r="GC192" s="20">
        <f t="shared" si="186"/>
        <v>5.6225999086934742E-12</v>
      </c>
      <c r="GD192" s="59">
        <f t="shared" si="134"/>
        <v>293.33333333333894</v>
      </c>
      <c r="GE192" s="59">
        <f ca="1">AVERAGE(OFFSET($GD$3,0,0,'Données projet'!$E$17+1,1))-AVERAGE(OFFSET($H$3,0,0,'Données projet'!$E$17+1,1))</f>
        <v>322.39807389980882</v>
      </c>
      <c r="GF192" s="59">
        <f t="shared" si="158"/>
        <v>202.59410055732792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41.04323909605916</v>
      </c>
      <c r="GM192" s="21">
        <f>EXP(-LN(2)/25)*GM191+(1-EXP(-LN(2)/25))/(LN(2)/25)*Calculateur!GH192*Calculateur!GJ192*VLOOKUP('Données projet'!$B$17,Paramètres!$A$1:$I$89,3,0)*0.475*44/12</f>
        <v>5.3596544910430737</v>
      </c>
      <c r="GN192" s="21">
        <f>EXP(-LN(2)/2)*GN191+(1-EXP(-LN(2)/2))/(LN(2)/2)*GH192*GK192*VLOOKUP('Données projet'!$B$17,Paramètres!$A$1:$I$89,3,0)*0.475*44/12</f>
        <v>8.5044959967599093E-9</v>
      </c>
      <c r="GO192" s="21">
        <f t="shared" si="187"/>
        <v>46.402893595606727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69.653999999999854</v>
      </c>
      <c r="D193" s="11">
        <f t="shared" si="140"/>
        <v>19.587508813096758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688.88182241688617</v>
      </c>
      <c r="H193" s="67">
        <f t="shared" si="110"/>
        <v>448.76229451614324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1.5961632016114892E-13</v>
      </c>
      <c r="P193" s="13">
        <f t="shared" si="141"/>
        <v>2.2708641912150958E-12</v>
      </c>
      <c r="Q193" s="20">
        <f t="shared" si="162"/>
        <v>4.2330868906469593E-12</v>
      </c>
      <c r="R193" s="59">
        <f t="shared" si="109"/>
        <v>293.33333333333752</v>
      </c>
      <c r="S193" s="59">
        <f ca="1">AVERAGE(OFFSET($R$3,0,0,'Données projet'!$E$9+1,1))-AVERAGE(OFFSET($H$3,0,0,'Données projet'!$E$9+1,1))</f>
        <v>215.77907571824977</v>
      </c>
      <c r="T193" s="59">
        <f t="shared" si="142"/>
        <v>174.69390149594869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26.38352241749984</v>
      </c>
      <c r="AA193" s="21">
        <f>EXP(-LN(2)/25)*AA192+(1-EXP(-LN(2)/25))/(LN(2)/25)*Calculateur!V193*Calculateur!X193*VLOOKUP('Données projet'!$B$9,Paramètres!$A$1:$I$89,3,0)*0.475*44/12</f>
        <v>4.4330735905847396</v>
      </c>
      <c r="AB193" s="21">
        <f>EXP(-LN(2)/2)*AB192+(1-EXP(-LN(2)/2))/(LN(2)/2)*V193*Y193*VLOOKUP('Données projet'!$B$9,Paramètres!$A$1:$I$89,3,0)*0.475*44/12</f>
        <v>2.0250178678483188E-11</v>
      </c>
      <c r="AC193" s="22">
        <f t="shared" si="163"/>
        <v>30.816596008104831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-1.0197709343628959E-13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171.701352621833</v>
      </c>
      <c r="AO193" s="59">
        <f t="shared" si="144"/>
        <v>195.58435749168586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8.1028502820088537</v>
      </c>
      <c r="AV193" s="21">
        <f>EXP(-LN(2)/25)*AV192+(1-EXP(-LN(2)/25))/(LN(2)/25)*Calculateur!AQ193*Calculateur!AS193*VLOOKUP('Données projet'!$B$10,Paramètres!$A$1:$I$89,3,0)*0.475*44/12</f>
        <v>1.0748809200073692</v>
      </c>
      <c r="AW193" s="21">
        <f>EXP(-LN(2)/2)*AW192+(1-EXP(-LN(2)/2))/(LN(2)/2)*AQ193*AT193*VLOOKUP('Données projet'!$B$10,Paramètres!$A$1:$I$89,3,0)*0.475*44/12</f>
        <v>2.4242178489451012E-18</v>
      </c>
      <c r="AX193" s="21">
        <f t="shared" si="166"/>
        <v>9.1777312020162221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-1.1823431123048067E-13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348.29124901999882</v>
      </c>
      <c r="BJ193" s="59">
        <f t="shared" si="146"/>
        <v>284.30034973939053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24.604812137613404</v>
      </c>
      <c r="BQ193" s="21">
        <f>EXP(-LN(2)/25)*BQ192+(1-EXP(-LN(2)/25))/(LN(2)/25)*Calculateur!BL193*Calculateur!BN193*VLOOKUP('Données projet'!$B$11,Paramètres!$A$1:$I$89,3,0)*0.475*44/12</f>
        <v>3.6842865595243914</v>
      </c>
      <c r="BR193" s="21">
        <f>EXP(-LN(2)/2)*BR192+(1-EXP(-LN(2)/2))/(LN(2)/2)*BL193*BO193*VLOOKUP('Données projet'!$B$11,Paramètres!$A$1:$I$89,3,0)*0.475*44/12</f>
        <v>2.3416549038401922E-15</v>
      </c>
      <c r="BS193" s="22">
        <f t="shared" si="169"/>
        <v>28.289098697137799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-1.3596945791505279E-13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185.82627135915504</v>
      </c>
      <c r="CE193" s="59">
        <f t="shared" si="148"/>
        <v>155.46126452522037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19.371641882493083</v>
      </c>
      <c r="CL193" s="21">
        <f>EXP(-LN(2)/25)*CL192+(1-EXP(-LN(2)/25))/(LN(2)/25)*Calculateur!CG193*Calculateur!CI193*VLOOKUP('Données projet'!$B$12,Paramètres!$A$1:$I$89,3,0)*0.475*44/12</f>
        <v>3.2880486032150622</v>
      </c>
      <c r="CM193" s="21">
        <f>EXP(-LN(2)/2)*CM192+(1-EXP(-LN(2)/2))/(LN(2)/2)*CG193*CJ193*VLOOKUP('Données projet'!$B$12,Paramètres!$A$1:$I$89,3,0)*0.475*44/12</f>
        <v>3.0798554497099642E-11</v>
      </c>
      <c r="CN193" s="22">
        <f t="shared" si="172"/>
        <v>22.659690485738945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-1.2789769243681803E-13</v>
      </c>
      <c r="CU193" s="17">
        <f>CT193*VLOOKUP('Données projet'!$B$13,Paramètres!$A$1:$I$89,3,0)*VLOOKUP('Données projet'!$B$13,Paramètres!$A$1:$I$89,5,0)</f>
        <v>-1.4733814168721438E-13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150.78964413039063</v>
      </c>
      <c r="CZ193" s="59">
        <f t="shared" si="150"/>
        <v>131.90332435966184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10.693787719854217</v>
      </c>
      <c r="DG193" s="21">
        <f>EXP(-LN(2)/25)*DG192+(1-EXP(-LN(2)/25))/(LN(2)/25)*Calculateur!DB193*Calculateur!DD193*VLOOKUP('Données projet'!$B$13,Paramètres!$A$1:$I$89,3,0)*0.475*44/12</f>
        <v>3.6130413269296451</v>
      </c>
      <c r="DH193" s="21">
        <f>EXP(-LN(2)/2)*DH192+(1-EXP(-LN(2)/2))/(LN(2)/2)*DB193*DE193*VLOOKUP('Données projet'!$B$13,Paramètres!$A$1:$I$89,3,0)*0.475*44/12</f>
        <v>1.5578011310283939E-5</v>
      </c>
      <c r="DI193" s="22">
        <f t="shared" si="175"/>
        <v>14.306844624795174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-1.4210854715202004E-14</v>
      </c>
      <c r="DP193" s="17">
        <f>DO193*VLOOKUP('Données projet'!$B$14,Paramètres!$A$1:$I$89,3,0)*VLOOKUP('Données projet'!$B$14,Paramètres!$A$1:$I$89,5,0)</f>
        <v>-1.4853185348329136E-14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110.10595934547638</v>
      </c>
      <c r="DU193" s="59">
        <f t="shared" si="152"/>
        <v>131.10971921141493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3.0579393324473956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3.0579393324473956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1.9733333333333292</v>
      </c>
      <c r="EJ193" s="12">
        <f>IF('Données projet'!$A$192&gt;35,EJ192+EI193-ER192,IF(A193&lt;'Données projet'!$A$192,$EG$205^A193,IF(A193='Données projet'!$A$192,'Données projet'!$B$192,EJ192+EI193-ER192)))</f>
        <v>143.03666666666638</v>
      </c>
      <c r="EK193" s="17">
        <f>EJ193*VLOOKUP('Données projet'!$B$15,Paramètres!$A$1:$I$89,3,0)*VLOOKUP('Données projet'!$B$15,Paramètres!$A$1:$I$89,5,0)</f>
        <v>145.0391799999997</v>
      </c>
      <c r="EL193" s="13">
        <f t="shared" si="179"/>
        <v>37.449024342936362</v>
      </c>
      <c r="EM193" s="20">
        <f t="shared" si="180"/>
        <v>317.8336225639469</v>
      </c>
      <c r="EN193" s="59">
        <f t="shared" si="128"/>
        <v>611.16695589728022</v>
      </c>
      <c r="EO193" s="59">
        <f ca="1">AVERAGE(OFFSET($EN$3,0,0,'Données projet'!$E$15+1,1))-AVERAGE(OFFSET($H$3,0,0,'Données projet'!$E$15+1,1))</f>
        <v>420.38735944595965</v>
      </c>
      <c r="EP193" s="59">
        <f t="shared" si="154"/>
        <v>200.0823542414671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105.67389209456327</v>
      </c>
      <c r="EW193" s="21">
        <f>EXP(-LN(2)/25)*EW192+(1-EXP(-LN(2)/25))/(LN(2)/25)*Calculateur!ER193*Calculateur!ET193*VLOOKUP('Données projet'!$B$15,Paramètres!$A$1:$I$89,3,0)*0.475*44/12</f>
        <v>40.193220298539401</v>
      </c>
      <c r="EX193" s="21">
        <f>EXP(-LN(2)/2)*EX192+(1-EXP(-LN(2)/2))/(LN(2)/2)*ER193*EU193*VLOOKUP('Données projet'!$B$15,Paramètres!$A$1:$I$89,3,0)*0.475*44/12</f>
        <v>7.0409060319091823E-7</v>
      </c>
      <c r="EY193" s="22">
        <f t="shared" si="181"/>
        <v>145.86711309719328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2.5579538487363607E-13</v>
      </c>
      <c r="FF193" s="17">
        <f>FE193*VLOOKUP('Données projet'!$B$16,Paramètres!$A$1:$I$89,3,0)*VLOOKUP('Données projet'!$B$16,Paramètres!$A$1:$I$89,5,0)</f>
        <v>2.7533815227798186E-13</v>
      </c>
      <c r="FG193" s="13">
        <f t="shared" si="182"/>
        <v>3.6763598146902537E-12</v>
      </c>
      <c r="FH193" s="20">
        <f t="shared" si="183"/>
        <v>6.88254062580301E-12</v>
      </c>
      <c r="FI193" s="59">
        <f t="shared" si="131"/>
        <v>293.33333333334019</v>
      </c>
      <c r="FJ193" s="59">
        <f ca="1">AVERAGE(OFFSET($FI$3,0,0,'Données projet'!$E$16+1,1))-AVERAGE(OFFSET($H$3,0,0,'Données projet'!$E$16+1,1))</f>
        <v>415.8741608506952</v>
      </c>
      <c r="FK193" s="59">
        <f t="shared" si="156"/>
        <v>259.15848913719356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40.956209684012236</v>
      </c>
      <c r="FR193" s="21">
        <f>EXP(-LN(2)/25)*FR192+(1-EXP(-LN(2)/25))/(LN(2)/25)*Calculateur!FM193*Calculateur!FO193*VLOOKUP('Données projet'!$B$16,Paramètres!$A$1:$I$89,3,0)*0.475*44/12</f>
        <v>5.3060896241218369</v>
      </c>
      <c r="FS193" s="21">
        <f>EXP(-LN(2)/2)*FS192+(1-EXP(-LN(2)/2))/(LN(2)/2)*FM193*FP193*VLOOKUP('Données projet'!$B$16,Paramètres!$A$1:$I$89,3,0)*0.475*44/12</f>
        <v>7.5443179727620228E-9</v>
      </c>
      <c r="FT193" s="22">
        <f t="shared" si="184"/>
        <v>46.262299315678391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2.5579538487363607E-13</v>
      </c>
      <c r="GA193" s="17">
        <f>FZ193*VLOOKUP('Données projet'!$B$17,Paramètres!$A$1:$I$89,3,0)*VLOOKUP('Données projet'!$B$17,Paramètres!$A$1:$I$89,5,0)</f>
        <v>2.1947244022157976E-13</v>
      </c>
      <c r="GB193" s="13">
        <f t="shared" si="185"/>
        <v>3.0088145886933343E-12</v>
      </c>
      <c r="GC193" s="20">
        <f t="shared" si="186"/>
        <v>5.6225999086934742E-12</v>
      </c>
      <c r="GD193" s="59">
        <f t="shared" si="134"/>
        <v>293.33333333333894</v>
      </c>
      <c r="GE193" s="59">
        <f ca="1">AVERAGE(OFFSET($GD$3,0,0,'Données projet'!$E$17+1,1))-AVERAGE(OFFSET($H$3,0,0,'Données projet'!$E$17+1,1))</f>
        <v>322.39807389980882</v>
      </c>
      <c r="GF193" s="59">
        <f t="shared" si="158"/>
        <v>202.59410055732792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40.238406211289394</v>
      </c>
      <c r="GM193" s="21">
        <f>EXP(-LN(2)/25)*GM192+(1-EXP(-LN(2)/25))/(LN(2)/25)*Calculateur!GH193*Calculateur!GJ193*VLOOKUP('Données projet'!$B$17,Paramètres!$A$1:$I$89,3,0)*0.475*44/12</f>
        <v>5.2130944571335212</v>
      </c>
      <c r="GN193" s="21">
        <f>EXP(-LN(2)/2)*GN192+(1-EXP(-LN(2)/2))/(LN(2)/2)*GH193*GK193*VLOOKUP('Données projet'!$B$17,Paramètres!$A$1:$I$89,3,0)*0.475*44/12</f>
        <v>6.0135867898827787E-9</v>
      </c>
      <c r="GO193" s="21">
        <f t="shared" si="187"/>
        <v>45.451500674436502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70.02059999999986</v>
      </c>
      <c r="D194" s="11">
        <f t="shared" si="140"/>
        <v>19.678573189804951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692.41467023708981</v>
      </c>
      <c r="H194" s="67">
        <f t="shared" si="110"/>
        <v>449.55939330557669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1.5961632016114892E-13</v>
      </c>
      <c r="P194" s="13">
        <f t="shared" si="141"/>
        <v>2.2708641912150958E-12</v>
      </c>
      <c r="Q194" s="20">
        <f t="shared" si="162"/>
        <v>4.2330868906469593E-12</v>
      </c>
      <c r="R194" s="59">
        <f t="shared" si="109"/>
        <v>293.33333333333752</v>
      </c>
      <c r="S194" s="59">
        <f ca="1">AVERAGE(OFFSET($R$3,0,0,'Données projet'!$E$9+1,1))-AVERAGE(OFFSET($H$3,0,0,'Données projet'!$E$9+1,1))</f>
        <v>215.77907571824977</v>
      </c>
      <c r="T194" s="59">
        <f t="shared" si="142"/>
        <v>174.69390149594869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25.866157635252353</v>
      </c>
      <c r="AA194" s="21">
        <f>EXP(-LN(2)/25)*AA193+(1-EXP(-LN(2)/25))/(LN(2)/25)*Calculateur!V194*Calculateur!X194*VLOOKUP('Données projet'!$B$9,Paramètres!$A$1:$I$89,3,0)*0.475*44/12</f>
        <v>4.3118509601249917</v>
      </c>
      <c r="AB194" s="21">
        <f>EXP(-LN(2)/2)*AB193+(1-EXP(-LN(2)/2))/(LN(2)/2)*V194*Y194*VLOOKUP('Données projet'!$B$9,Paramètres!$A$1:$I$89,3,0)*0.475*44/12</f>
        <v>1.4319038663794703E-11</v>
      </c>
      <c r="AC194" s="22">
        <f t="shared" si="163"/>
        <v>30.178008595391663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-1.0197709343628959E-13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171.701352621833</v>
      </c>
      <c r="AO194" s="59">
        <f t="shared" si="144"/>
        <v>195.58435749168586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7.9439583302293251</v>
      </c>
      <c r="AV194" s="21">
        <f>EXP(-LN(2)/25)*AV193+(1-EXP(-LN(2)/25))/(LN(2)/25)*Calculateur!AQ194*Calculateur!AS194*VLOOKUP('Données projet'!$B$10,Paramètres!$A$1:$I$89,3,0)*0.475*44/12</f>
        <v>1.0454882447242368</v>
      </c>
      <c r="AW194" s="21">
        <f>EXP(-LN(2)/2)*AW193+(1-EXP(-LN(2)/2))/(LN(2)/2)*AQ194*AT194*VLOOKUP('Données projet'!$B$10,Paramètres!$A$1:$I$89,3,0)*0.475*44/12</f>
        <v>1.7141808800625466E-18</v>
      </c>
      <c r="AX194" s="21">
        <f t="shared" si="166"/>
        <v>8.9894465749535613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-1.1823431123048067E-13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348.29124901999882</v>
      </c>
      <c r="BJ194" s="59">
        <f t="shared" si="146"/>
        <v>284.30034973939053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24.122326779048347</v>
      </c>
      <c r="BQ194" s="21">
        <f>EXP(-LN(2)/25)*BQ193+(1-EXP(-LN(2)/25))/(LN(2)/25)*Calculateur!BL194*Calculateur!BN194*VLOOKUP('Données projet'!$B$11,Paramètres!$A$1:$I$89,3,0)*0.475*44/12</f>
        <v>3.5835395498059874</v>
      </c>
      <c r="BR194" s="21">
        <f>EXP(-LN(2)/2)*BR193+(1-EXP(-LN(2)/2))/(LN(2)/2)*BL194*BO194*VLOOKUP('Données projet'!$B$11,Paramètres!$A$1:$I$89,3,0)*0.475*44/12</f>
        <v>1.6558000617041328E-15</v>
      </c>
      <c r="BS194" s="22">
        <f t="shared" si="169"/>
        <v>27.705866328854334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-1.3596945791505279E-13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185.82627135915504</v>
      </c>
      <c r="CE194" s="59">
        <f t="shared" si="148"/>
        <v>155.46126452522037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18.991775800712254</v>
      </c>
      <c r="CL194" s="21">
        <f>EXP(-LN(2)/25)*CL193+(1-EXP(-LN(2)/25))/(LN(2)/25)*Calculateur!CG194*Calculateur!CI194*VLOOKUP('Données projet'!$B$12,Paramètres!$A$1:$I$89,3,0)*0.475*44/12</f>
        <v>3.198136741249185</v>
      </c>
      <c r="CM194" s="21">
        <f>EXP(-LN(2)/2)*CM193+(1-EXP(-LN(2)/2))/(LN(2)/2)*CG194*CJ194*VLOOKUP('Données projet'!$B$12,Paramètres!$A$1:$I$89,3,0)*0.475*44/12</f>
        <v>2.1777866735642596E-11</v>
      </c>
      <c r="CN194" s="22">
        <f t="shared" si="172"/>
        <v>22.189912541983219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-1.2789769243681803E-13</v>
      </c>
      <c r="CU194" s="17">
        <f>CT194*VLOOKUP('Données projet'!$B$13,Paramètres!$A$1:$I$89,3,0)*VLOOKUP('Données projet'!$B$13,Paramètres!$A$1:$I$89,5,0)</f>
        <v>-1.4733814168721438E-13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150.78964413039063</v>
      </c>
      <c r="CZ194" s="59">
        <f t="shared" si="150"/>
        <v>131.90332435966184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10.484089065234336</v>
      </c>
      <c r="DG194" s="21">
        <f>EXP(-LN(2)/25)*DG193+(1-EXP(-LN(2)/25))/(LN(2)/25)*Calculateur!DB194*Calculateur!DD194*VLOOKUP('Données projet'!$B$13,Paramètres!$A$1:$I$89,3,0)*0.475*44/12</f>
        <v>3.5142425218431681</v>
      </c>
      <c r="DH194" s="21">
        <f>EXP(-LN(2)/2)*DH193+(1-EXP(-LN(2)/2))/(LN(2)/2)*DB194*DE194*VLOOKUP('Données projet'!$B$13,Paramètres!$A$1:$I$89,3,0)*0.475*44/12</f>
        <v>1.1015317434902508E-5</v>
      </c>
      <c r="DI194" s="22">
        <f t="shared" si="175"/>
        <v>13.99834260239494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-1.4210854715202004E-14</v>
      </c>
      <c r="DP194" s="17">
        <f>DO194*VLOOKUP('Données projet'!$B$14,Paramètres!$A$1:$I$89,3,0)*VLOOKUP('Données projet'!$B$14,Paramètres!$A$1:$I$89,5,0)</f>
        <v>-1.4853185348329136E-14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110.10595934547638</v>
      </c>
      <c r="DU194" s="59">
        <f t="shared" si="152"/>
        <v>131.10971921141493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2.9743198205915808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2.9743198205915808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>
        <f>VLOOKUP(A194,'Données projet'!$A$191:$I$211,2,0)</f>
        <v>145.01</v>
      </c>
      <c r="EH194" s="12">
        <f>VLOOKUP(A194,'Données projet'!$A$191:$I$211,9,0)</f>
        <v>1.9733333333333292</v>
      </c>
      <c r="EI194" s="12">
        <f t="array" ref="EI194">INDEX(EH:EH,MIN(IF(ISNUMBER(EH194:EH390),ROW(EH194:EH390),"")))</f>
        <v>1.9733333333333292</v>
      </c>
      <c r="EJ194" s="12">
        <f>IF('Données projet'!$A$192&gt;35,EJ193+EI194-ER193,IF(A194&lt;'Données projet'!$A$192,$EG$205^A194,IF(A194='Données projet'!$A$192,'Données projet'!$B$192,EJ193+EI194-ER193)))</f>
        <v>145.00999999999971</v>
      </c>
      <c r="EK194" s="17">
        <f>EJ194*VLOOKUP('Données projet'!$B$15,Paramètres!$A$1:$I$89,3,0)*VLOOKUP('Données projet'!$B$15,Paramètres!$A$1:$I$89,5,0)</f>
        <v>147.04013999999972</v>
      </c>
      <c r="EL194" s="13">
        <f t="shared" si="179"/>
        <v>37.905168606806875</v>
      </c>
      <c r="EM194" s="20">
        <f t="shared" si="180"/>
        <v>322.11307915685478</v>
      </c>
      <c r="EN194" s="59">
        <f t="shared" si="128"/>
        <v>615.4464124901881</v>
      </c>
      <c r="EO194" s="59">
        <f ca="1">AVERAGE(OFFSET($EN$3,0,0,'Données projet'!$E$15+1,1))-AVERAGE(OFFSET($H$3,0,0,'Données projet'!$E$15+1,1))</f>
        <v>420.38735944595965</v>
      </c>
      <c r="EP194" s="59">
        <f t="shared" si="154"/>
        <v>200.0823542414671</v>
      </c>
      <c r="EQ194" s="15">
        <f>IF(ISNA(VLOOKUP(A194,'Données projet'!$A$191:$I$211,3,0)),0,VLOOKUP(A194,'Données projet'!$A$191:$I$211,3,0))</f>
        <v>16</v>
      </c>
      <c r="ER194" s="15">
        <f>IF(ISNA(VLOOKUP(A194,'Données projet'!$A$191:$I$211,4,0)),0,VLOOKUP(A194,'Données projet'!$A$191:$I$211,4,0))</f>
        <v>145.01</v>
      </c>
      <c r="ES194" s="16">
        <f>IF(ISNA(VLOOKUP(A194,'Données projet'!$A$191:$I$211,5,0)),0%,VLOOKUP(A194,'Données projet'!$A$191:$I$211,5,0)*VLOOKUP('Données projet'!$B$15,Paramètres!$A$1:$I$89,7,0))</f>
        <v>0.19350000000000001</v>
      </c>
      <c r="ET194" s="16">
        <f>IF(ISNA(VLOOKUP(A194,'Données projet'!$A$191:$I$211,6,0)),0%,VLOOKUP(A194,'Données projet'!$A$191:$I$211,6,0)*VLOOKUP('Données projet'!$B$15,Paramètres!$A$1:$I$89,7,0))</f>
        <v>2.1500000000000002E-2</v>
      </c>
      <c r="EU194" s="16">
        <f>IF(ISNA(VLOOKUP(A194,'Données projet'!$A$191:$I$211,7,0)),0%,VLOOKUP(A194,'Données projet'!$A$191:$I$211,7,0))</f>
        <v>0.05</v>
      </c>
      <c r="EV194" s="21">
        <f>EXP(-LN(2)/35)*EV193+(1-EXP(-LN(2)/35))/(LN(2)/35)*ER194*ES194*VLOOKUP('Données projet'!$B$15,Paramètres!$A$1:$I$89,3,0)*0.475*44/12</f>
        <v>135.05483002385387</v>
      </c>
      <c r="EW194" s="21">
        <f>EXP(-LN(2)/25)*EW193+(1-EXP(-LN(2)/25))/(LN(2)/25)*Calculateur!ER194*Calculateur!ET194*VLOOKUP('Données projet'!$B$15,Paramètres!$A$1:$I$89,3,0)*0.475*44/12</f>
        <v>42.575167409995252</v>
      </c>
      <c r="EX194" s="21">
        <f>EXP(-LN(2)/2)*EX193+(1-EXP(-LN(2)/2))/(LN(2)/2)*ER194*EU194*VLOOKUP('Données projet'!$B$15,Paramètres!$A$1:$I$89,3,0)*0.475*44/12</f>
        <v>6.9368169787344574</v>
      </c>
      <c r="EY194" s="22">
        <f t="shared" si="181"/>
        <v>184.5668144125836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2.5579538487363607E-13</v>
      </c>
      <c r="FF194" s="17">
        <f>FE194*VLOOKUP('Données projet'!$B$16,Paramètres!$A$1:$I$89,3,0)*VLOOKUP('Données projet'!$B$16,Paramètres!$A$1:$I$89,5,0)</f>
        <v>2.7533815227798186E-13</v>
      </c>
      <c r="FG194" s="13">
        <f t="shared" si="182"/>
        <v>3.6763598146902537E-12</v>
      </c>
      <c r="FH194" s="20">
        <f t="shared" si="183"/>
        <v>6.88254062580301E-12</v>
      </c>
      <c r="FI194" s="59">
        <f t="shared" si="131"/>
        <v>293.33333333334019</v>
      </c>
      <c r="FJ194" s="59">
        <f ca="1">AVERAGE(OFFSET($FI$3,0,0,'Données projet'!$E$16+1,1))-AVERAGE(OFFSET($H$3,0,0,'Données projet'!$E$16+1,1))</f>
        <v>415.8741608506952</v>
      </c>
      <c r="FK194" s="59">
        <f t="shared" si="156"/>
        <v>259.15848913719356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40.153083392930014</v>
      </c>
      <c r="FR194" s="21">
        <f>EXP(-LN(2)/25)*FR193+(1-EXP(-LN(2)/25))/(LN(2)/25)*Calculateur!FM194*Calculateur!FO194*VLOOKUP('Données projet'!$B$16,Paramètres!$A$1:$I$89,3,0)*0.475*44/12</f>
        <v>5.1609943243150989</v>
      </c>
      <c r="FS194" s="21">
        <f>EXP(-LN(2)/2)*FS193+(1-EXP(-LN(2)/2))/(LN(2)/2)*FM194*FP194*VLOOKUP('Données projet'!$B$16,Paramètres!$A$1:$I$89,3,0)*0.475*44/12</f>
        <v>5.3346383979675734E-9</v>
      </c>
      <c r="FT194" s="22">
        <f t="shared" si="184"/>
        <v>45.314077722579754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2.5579538487363607E-13</v>
      </c>
      <c r="GA194" s="17">
        <f>FZ194*VLOOKUP('Données projet'!$B$17,Paramètres!$A$1:$I$89,3,0)*VLOOKUP('Données projet'!$B$17,Paramètres!$A$1:$I$89,5,0)</f>
        <v>2.1947244022157976E-13</v>
      </c>
      <c r="GB194" s="13">
        <f t="shared" si="185"/>
        <v>3.0088145886933343E-12</v>
      </c>
      <c r="GC194" s="20">
        <f t="shared" si="186"/>
        <v>5.6225999086934742E-12</v>
      </c>
      <c r="GD194" s="59">
        <f t="shared" si="134"/>
        <v>293.33333333333894</v>
      </c>
      <c r="GE194" s="59">
        <f ca="1">AVERAGE(OFFSET($GD$3,0,0,'Données projet'!$E$17+1,1))-AVERAGE(OFFSET($H$3,0,0,'Données projet'!$E$17+1,1))</f>
        <v>322.39807389980882</v>
      </c>
      <c r="GF194" s="59">
        <f t="shared" si="158"/>
        <v>202.59410055732792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39.449355608490379</v>
      </c>
      <c r="GM194" s="21">
        <f>EXP(-LN(2)/25)*GM193+(1-EXP(-LN(2)/25))/(LN(2)/25)*Calculateur!GH194*Calculateur!GJ194*VLOOKUP('Données projet'!$B$17,Paramètres!$A$1:$I$89,3,0)*0.475*44/12</f>
        <v>5.0705421150584824</v>
      </c>
      <c r="GN194" s="21">
        <f>EXP(-LN(2)/2)*GN193+(1-EXP(-LN(2)/2))/(LN(2)/2)*GH194*GK194*VLOOKUP('Données projet'!$B$17,Paramètres!$A$1:$I$89,3,0)*0.475*44/12</f>
        <v>4.2522479983799546E-9</v>
      </c>
      <c r="GO194" s="21">
        <f t="shared" si="187"/>
        <v>44.519897727801109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70.387199999999865</v>
      </c>
      <c r="D195" s="11">
        <f t="shared" si="140"/>
        <v>19.76958208632778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695.94708978919596</v>
      </c>
      <c r="H195" s="67">
        <f t="shared" si="110"/>
        <v>450.3563954670206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1.5961632016114892E-13</v>
      </c>
      <c r="P195" s="13">
        <f t="shared" si="141"/>
        <v>2.2708641912150958E-12</v>
      </c>
      <c r="Q195" s="20">
        <f t="shared" si="162"/>
        <v>4.2330868906469593E-12</v>
      </c>
      <c r="R195" s="59">
        <f t="shared" ref="R195:R203" si="191">Q195+(I195+J195)*44/12</f>
        <v>293.33333333333752</v>
      </c>
      <c r="S195" s="59">
        <f ca="1">AVERAGE(OFFSET($R$3,0,0,'Données projet'!$E$9+1,1))-AVERAGE(OFFSET($H$3,0,0,'Données projet'!$E$9+1,1))</f>
        <v>215.77907571824977</v>
      </c>
      <c r="T195" s="59">
        <f t="shared" si="142"/>
        <v>174.69390149594869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25.358938060823384</v>
      </c>
      <c r="AA195" s="21">
        <f>EXP(-LN(2)/25)*AA194+(1-EXP(-LN(2)/25))/(LN(2)/25)*Calculateur!V195*Calculateur!X195*VLOOKUP('Données projet'!$B$9,Paramètres!$A$1:$I$89,3,0)*0.475*44/12</f>
        <v>4.1939431688699864</v>
      </c>
      <c r="AB195" s="21">
        <f>EXP(-LN(2)/2)*AB194+(1-EXP(-LN(2)/2))/(LN(2)/2)*V195*Y195*VLOOKUP('Données projet'!$B$9,Paramètres!$A$1:$I$89,3,0)*0.475*44/12</f>
        <v>1.0125089339241596E-11</v>
      </c>
      <c r="AC195" s="22">
        <f t="shared" si="163"/>
        <v>29.552881229703495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-1.0197709343628959E-13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171.701352621833</v>
      </c>
      <c r="AO195" s="59">
        <f t="shared" si="144"/>
        <v>195.58435749168586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7.7881821527096724</v>
      </c>
      <c r="AV195" s="21">
        <f>EXP(-LN(2)/25)*AV194+(1-EXP(-LN(2)/25))/(LN(2)/25)*Calculateur!AQ195*Calculateur!AS195*VLOOKUP('Données projet'!$B$10,Paramètres!$A$1:$I$89,3,0)*0.475*44/12</f>
        <v>1.0168993136924154</v>
      </c>
      <c r="AW195" s="21">
        <f>EXP(-LN(2)/2)*AW194+(1-EXP(-LN(2)/2))/(LN(2)/2)*AQ195*AT195*VLOOKUP('Données projet'!$B$10,Paramètres!$A$1:$I$89,3,0)*0.475*44/12</f>
        <v>1.2121089244725508E-18</v>
      </c>
      <c r="AX195" s="21">
        <f t="shared" si="166"/>
        <v>8.805081466402088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-1.1823431123048067E-13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348.29124901999882</v>
      </c>
      <c r="BJ195" s="59">
        <f t="shared" si="146"/>
        <v>284.30034973939053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23.649302664077741</v>
      </c>
      <c r="BQ195" s="21">
        <f>EXP(-LN(2)/25)*BQ194+(1-EXP(-LN(2)/25))/(LN(2)/25)*Calculateur!BL195*Calculateur!BN195*VLOOKUP('Données projet'!$B$11,Paramètres!$A$1:$I$89,3,0)*0.475*44/12</f>
        <v>3.4855474723663882</v>
      </c>
      <c r="BR195" s="21">
        <f>EXP(-LN(2)/2)*BR194+(1-EXP(-LN(2)/2))/(LN(2)/2)*BL195*BO195*VLOOKUP('Données projet'!$B$11,Paramètres!$A$1:$I$89,3,0)*0.475*44/12</f>
        <v>1.1708274519200961E-15</v>
      </c>
      <c r="BS195" s="22">
        <f t="shared" si="169"/>
        <v>27.134850136444129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-1.3596945791505279E-13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185.82627135915504</v>
      </c>
      <c r="CE195" s="59">
        <f t="shared" si="148"/>
        <v>155.46126452522037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18.619358661099717</v>
      </c>
      <c r="CL195" s="21">
        <f>EXP(-LN(2)/25)*CL194+(1-EXP(-LN(2)/25))/(LN(2)/25)*Calculateur!CG195*Calculateur!CI195*VLOOKUP('Données projet'!$B$12,Paramètres!$A$1:$I$89,3,0)*0.475*44/12</f>
        <v>3.1106835238770243</v>
      </c>
      <c r="CM195" s="21">
        <f>EXP(-LN(2)/2)*CM194+(1-EXP(-LN(2)/2))/(LN(2)/2)*CG195*CJ195*VLOOKUP('Données projet'!$B$12,Paramètres!$A$1:$I$89,3,0)*0.475*44/12</f>
        <v>1.5399277248549821E-11</v>
      </c>
      <c r="CN195" s="22">
        <f t="shared" si="172"/>
        <v>21.730042184992143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-1.2789769243681803E-13</v>
      </c>
      <c r="CU195" s="17">
        <f>CT195*VLOOKUP('Données projet'!$B$13,Paramètres!$A$1:$I$89,3,0)*VLOOKUP('Données projet'!$B$13,Paramètres!$A$1:$I$89,5,0)</f>
        <v>-1.4733814168721438E-13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150.78964413039063</v>
      </c>
      <c r="CZ195" s="59">
        <f t="shared" si="150"/>
        <v>131.90332435966184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10.278502473328</v>
      </c>
      <c r="DG195" s="21">
        <f>EXP(-LN(2)/25)*DG194+(1-EXP(-LN(2)/25))/(LN(2)/25)*Calculateur!DB195*Calculateur!DD195*VLOOKUP('Données projet'!$B$13,Paramètres!$A$1:$I$89,3,0)*0.475*44/12</f>
        <v>3.4181453752773843</v>
      </c>
      <c r="DH195" s="21">
        <f>EXP(-LN(2)/2)*DH194+(1-EXP(-LN(2)/2))/(LN(2)/2)*DB195*DE195*VLOOKUP('Données projet'!$B$13,Paramètres!$A$1:$I$89,3,0)*0.475*44/12</f>
        <v>7.7890056551419697E-6</v>
      </c>
      <c r="DI195" s="22">
        <f t="shared" si="175"/>
        <v>13.696655637611039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-1.4210854715202004E-14</v>
      </c>
      <c r="DP195" s="17">
        <f>DO195*VLOOKUP('Données projet'!$B$14,Paramètres!$A$1:$I$89,3,0)*VLOOKUP('Données projet'!$B$14,Paramètres!$A$1:$I$89,5,0)</f>
        <v>-1.4853185348329136E-14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110.10595934547638</v>
      </c>
      <c r="DU195" s="59">
        <f t="shared" si="152"/>
        <v>131.10971921141493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2.8929868886848227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2.8929868886848227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-2.8819613362429665E-13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420.38735944595965</v>
      </c>
      <c r="EP195" s="59">
        <f t="shared" si="154"/>
        <v>200.0823542414671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132.40648718239851</v>
      </c>
      <c r="EW195" s="21">
        <f>EXP(-LN(2)/25)*EW194+(1-EXP(-LN(2)/25))/(LN(2)/25)*Calculateur!ER195*Calculateur!ET195*VLOOKUP('Données projet'!$B$15,Paramètres!$A$1:$I$89,3,0)*0.475*44/12</f>
        <v>41.410947218238185</v>
      </c>
      <c r="EX195" s="21">
        <f>EXP(-LN(2)/2)*EX194+(1-EXP(-LN(2)/2))/(LN(2)/2)*ER195*EU195*VLOOKUP('Données projet'!$B$15,Paramètres!$A$1:$I$89,3,0)*0.475*44/12</f>
        <v>4.9050703255131136</v>
      </c>
      <c r="EY195" s="22">
        <f t="shared" si="181"/>
        <v>178.72250472614982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2.5579538487363607E-13</v>
      </c>
      <c r="FF195" s="17">
        <f>FE195*VLOOKUP('Données projet'!$B$16,Paramètres!$A$1:$I$89,3,0)*VLOOKUP('Données projet'!$B$16,Paramètres!$A$1:$I$89,5,0)</f>
        <v>2.7533815227798186E-13</v>
      </c>
      <c r="FG195" s="13">
        <f t="shared" si="182"/>
        <v>3.6763598146902537E-12</v>
      </c>
      <c r="FH195" s="20">
        <f t="shared" si="183"/>
        <v>6.88254062580301E-12</v>
      </c>
      <c r="FI195" s="59">
        <f t="shared" si="131"/>
        <v>293.33333333334019</v>
      </c>
      <c r="FJ195" s="59">
        <f ca="1">AVERAGE(OFFSET($FI$3,0,0,'Données projet'!$E$16+1,1))-AVERAGE(OFFSET($H$3,0,0,'Données projet'!$E$16+1,1))</f>
        <v>415.8741608506952</v>
      </c>
      <c r="FK195" s="59">
        <f t="shared" si="156"/>
        <v>259.15848913719356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39.365705918557246</v>
      </c>
      <c r="FR195" s="21">
        <f>EXP(-LN(2)/25)*FR194+(1-EXP(-LN(2)/25))/(LN(2)/25)*Calculateur!FM195*Calculateur!FO195*VLOOKUP('Données projet'!$B$16,Paramètres!$A$1:$I$89,3,0)*0.475*44/12</f>
        <v>5.0198666631118067</v>
      </c>
      <c r="FS195" s="21">
        <f>EXP(-LN(2)/2)*FS194+(1-EXP(-LN(2)/2))/(LN(2)/2)*FM195*FP195*VLOOKUP('Données projet'!$B$16,Paramètres!$A$1:$I$89,3,0)*0.475*44/12</f>
        <v>3.7721589863810114E-9</v>
      </c>
      <c r="FT195" s="22">
        <f t="shared" si="184"/>
        <v>44.38557258544121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2.5579538487363607E-13</v>
      </c>
      <c r="GA195" s="17">
        <f>FZ195*VLOOKUP('Données projet'!$B$17,Paramètres!$A$1:$I$89,3,0)*VLOOKUP('Données projet'!$B$17,Paramètres!$A$1:$I$89,5,0)</f>
        <v>2.1947244022157976E-13</v>
      </c>
      <c r="GB195" s="13">
        <f t="shared" si="185"/>
        <v>3.0088145886933343E-12</v>
      </c>
      <c r="GC195" s="20">
        <f t="shared" si="186"/>
        <v>5.6225999086934742E-12</v>
      </c>
      <c r="GD195" s="59">
        <f t="shared" si="134"/>
        <v>293.33333333333894</v>
      </c>
      <c r="GE195" s="59">
        <f ca="1">AVERAGE(OFFSET($GD$3,0,0,'Données projet'!$E$17+1,1))-AVERAGE(OFFSET($H$3,0,0,'Données projet'!$E$17+1,1))</f>
        <v>322.39807389980882</v>
      </c>
      <c r="GF195" s="59">
        <f t="shared" si="158"/>
        <v>202.59410055732792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38.675777806738907</v>
      </c>
      <c r="GM195" s="21">
        <f>EXP(-LN(2)/25)*GM194+(1-EXP(-LN(2)/25))/(LN(2)/25)*Calculateur!GH195*Calculateur!GJ195*VLOOKUP('Données projet'!$B$17,Paramètres!$A$1:$I$89,3,0)*0.475*44/12</f>
        <v>4.9318878742739871</v>
      </c>
      <c r="GN195" s="21">
        <f>EXP(-LN(2)/2)*GN194+(1-EXP(-LN(2)/2))/(LN(2)/2)*GH195*GK195*VLOOKUP('Données projet'!$B$17,Paramètres!$A$1:$I$89,3,0)*0.475*44/12</f>
        <v>3.0067933949413893E-9</v>
      </c>
      <c r="GO195" s="21">
        <f t="shared" si="187"/>
        <v>43.607665684019693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70.75379999999987</v>
      </c>
      <c r="D196" s="11">
        <f t="shared" si="140"/>
        <v>19.860535825164561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699.47908356267283</v>
      </c>
      <c r="H196" s="67">
        <f t="shared" ref="H196:H203" si="192">(B196+E196+F196)*44/12+(C196+D196)*0.475*44/12</f>
        <v>451.15330156216135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1.5961632016114892E-13</v>
      </c>
      <c r="P196" s="13">
        <f t="shared" si="141"/>
        <v>2.2708641912150958E-12</v>
      </c>
      <c r="Q196" s="20">
        <f t="shared" si="162"/>
        <v>4.2330868906469593E-12</v>
      </c>
      <c r="R196" s="59">
        <f t="shared" si="191"/>
        <v>293.33333333333752</v>
      </c>
      <c r="S196" s="59">
        <f ca="1">AVERAGE(OFFSET($R$3,0,0,'Données projet'!$E$9+1,1))-AVERAGE(OFFSET($H$3,0,0,'Données projet'!$E$9+1,1))</f>
        <v>215.77907571824977</v>
      </c>
      <c r="T196" s="59">
        <f t="shared" si="142"/>
        <v>174.69390149594869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24.861664752875573</v>
      </c>
      <c r="AA196" s="21">
        <f>EXP(-LN(2)/25)*AA195+(1-EXP(-LN(2)/25))/(LN(2)/25)*Calculateur!V196*Calculateur!X196*VLOOKUP('Données projet'!$B$9,Paramètres!$A$1:$I$89,3,0)*0.475*44/12</f>
        <v>4.0792595723673504</v>
      </c>
      <c r="AB196" s="21">
        <f>EXP(-LN(2)/2)*AB195+(1-EXP(-LN(2)/2))/(LN(2)/2)*V196*Y196*VLOOKUP('Données projet'!$B$9,Paramètres!$A$1:$I$89,3,0)*0.475*44/12</f>
        <v>7.1595193318973524E-12</v>
      </c>
      <c r="AC196" s="22">
        <f t="shared" si="163"/>
        <v>28.940924325250084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-1.0197709343628959E-13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171.701352621833</v>
      </c>
      <c r="AO196" s="59">
        <f t="shared" si="144"/>
        <v>195.58435749168586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7.6354606510170937</v>
      </c>
      <c r="AV196" s="21">
        <f>EXP(-LN(2)/25)*AV195+(1-EXP(-LN(2)/25))/(LN(2)/25)*Calculateur!AQ196*Calculateur!AS196*VLOOKUP('Données projet'!$B$10,Paramètres!$A$1:$I$89,3,0)*0.475*44/12</f>
        <v>0.98909214848308558</v>
      </c>
      <c r="AW196" s="21">
        <f>EXP(-LN(2)/2)*AW195+(1-EXP(-LN(2)/2))/(LN(2)/2)*AQ196*AT196*VLOOKUP('Données projet'!$B$10,Paramètres!$A$1:$I$89,3,0)*0.475*44/12</f>
        <v>8.5709044003127351E-19</v>
      </c>
      <c r="AX196" s="21">
        <f t="shared" si="166"/>
        <v>8.6245527995001794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-1.1823431123048067E-13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348.29124901999882</v>
      </c>
      <c r="BJ196" s="59">
        <f t="shared" si="146"/>
        <v>284.30034973939053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23.185554263485486</v>
      </c>
      <c r="BQ196" s="21">
        <f>EXP(-LN(2)/25)*BQ195+(1-EXP(-LN(2)/25))/(LN(2)/25)*Calculateur!BL196*Calculateur!BN196*VLOOKUP('Données projet'!$B$11,Paramètres!$A$1:$I$89,3,0)*0.475*44/12</f>
        <v>3.390234993437554</v>
      </c>
      <c r="BR196" s="21">
        <f>EXP(-LN(2)/2)*BR195+(1-EXP(-LN(2)/2))/(LN(2)/2)*BL196*BO196*VLOOKUP('Données projet'!$B$11,Paramètres!$A$1:$I$89,3,0)*0.475*44/12</f>
        <v>8.2790003085206641E-16</v>
      </c>
      <c r="BS196" s="22">
        <f t="shared" si="169"/>
        <v>26.575789256923038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-1.3596945791505279E-13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185.82627135915504</v>
      </c>
      <c r="CE196" s="59">
        <f t="shared" si="148"/>
        <v>155.46126452522037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18.254244394442956</v>
      </c>
      <c r="CL196" s="21">
        <f>EXP(-LN(2)/25)*CL195+(1-EXP(-LN(2)/25))/(LN(2)/25)*Calculateur!CG196*Calculateur!CI196*VLOOKUP('Données projet'!$B$12,Paramètres!$A$1:$I$89,3,0)*0.475*44/12</f>
        <v>3.0256217193328703</v>
      </c>
      <c r="CM196" s="21">
        <f>EXP(-LN(2)/2)*CM195+(1-EXP(-LN(2)/2))/(LN(2)/2)*CG196*CJ196*VLOOKUP('Données projet'!$B$12,Paramètres!$A$1:$I$89,3,0)*0.475*44/12</f>
        <v>1.0888933367821298E-11</v>
      </c>
      <c r="CN196" s="22">
        <f t="shared" si="172"/>
        <v>21.279866113786717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-1.2789769243681803E-13</v>
      </c>
      <c r="CU196" s="17">
        <f>CT196*VLOOKUP('Données projet'!$B$13,Paramètres!$A$1:$I$89,3,0)*VLOOKUP('Données projet'!$B$13,Paramètres!$A$1:$I$89,5,0)</f>
        <v>-1.4733814168721438E-13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150.78964413039063</v>
      </c>
      <c r="CZ196" s="59">
        <f t="shared" si="150"/>
        <v>131.90332435966184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10.076947309093509</v>
      </c>
      <c r="DG196" s="21">
        <f>EXP(-LN(2)/25)*DG195+(1-EXP(-LN(2)/25))/(LN(2)/25)*Calculateur!DB196*Calculateur!DD196*VLOOKUP('Données projet'!$B$13,Paramètres!$A$1:$I$89,3,0)*0.475*44/12</f>
        <v>3.3246760102379711</v>
      </c>
      <c r="DH196" s="21">
        <f>EXP(-LN(2)/2)*DH195+(1-EXP(-LN(2)/2))/(LN(2)/2)*DB196*DE196*VLOOKUP('Données projet'!$B$13,Paramètres!$A$1:$I$89,3,0)*0.475*44/12</f>
        <v>5.5076587174512541E-6</v>
      </c>
      <c r="DI196" s="22">
        <f t="shared" si="175"/>
        <v>13.401628826990196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-1.4210854715202004E-14</v>
      </c>
      <c r="DP196" s="17">
        <f>DO196*VLOOKUP('Données projet'!$B$14,Paramètres!$A$1:$I$89,3,0)*VLOOKUP('Données projet'!$B$14,Paramètres!$A$1:$I$89,5,0)</f>
        <v>-1.4853185348329136E-14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110.10595934547638</v>
      </c>
      <c r="DU196" s="59">
        <f t="shared" si="152"/>
        <v>131.10971921141493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2.813878010078168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2.813878010078168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-2.8819613362429665E-13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420.38735944595965</v>
      </c>
      <c r="EP196" s="59">
        <f t="shared" si="154"/>
        <v>200.0823542414671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129.81007672873446</v>
      </c>
      <c r="EW196" s="21">
        <f>EXP(-LN(2)/25)*EW195+(1-EXP(-LN(2)/25))/(LN(2)/25)*Calculateur!ER196*Calculateur!ET196*VLOOKUP('Données projet'!$B$15,Paramètres!$A$1:$I$89,3,0)*0.475*44/12</f>
        <v>40.278562688848396</v>
      </c>
      <c r="EX196" s="21">
        <f>EXP(-LN(2)/2)*EX195+(1-EXP(-LN(2)/2))/(LN(2)/2)*ER196*EU196*VLOOKUP('Données projet'!$B$15,Paramètres!$A$1:$I$89,3,0)*0.475*44/12</f>
        <v>3.4684084893672291</v>
      </c>
      <c r="EY196" s="22">
        <f t="shared" si="181"/>
        <v>173.55704790695006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2.5579538487363607E-13</v>
      </c>
      <c r="FF196" s="17">
        <f>FE196*VLOOKUP('Données projet'!$B$16,Paramètres!$A$1:$I$89,3,0)*VLOOKUP('Données projet'!$B$16,Paramètres!$A$1:$I$89,5,0)</f>
        <v>2.7533815227798186E-13</v>
      </c>
      <c r="FG196" s="13">
        <f t="shared" si="182"/>
        <v>3.6763598146902537E-12</v>
      </c>
      <c r="FH196" s="20">
        <f t="shared" si="183"/>
        <v>6.88254062580301E-12</v>
      </c>
      <c r="FI196" s="59">
        <f t="shared" ref="FI196:FI203" si="199">FH196+(EZ196+FA196)*44/12</f>
        <v>293.33333333334019</v>
      </c>
      <c r="FJ196" s="59">
        <f ca="1">AVERAGE(OFFSET($FI$3,0,0,'Données projet'!$E$16+1,1))-AVERAGE(OFFSET($H$3,0,0,'Données projet'!$E$16+1,1))</f>
        <v>415.8741608506952</v>
      </c>
      <c r="FK196" s="59">
        <f t="shared" si="156"/>
        <v>259.15848913719356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38.593768436204087</v>
      </c>
      <c r="FR196" s="21">
        <f>EXP(-LN(2)/25)*FR195+(1-EXP(-LN(2)/25))/(LN(2)/25)*Calculateur!FM196*Calculateur!FO196*VLOOKUP('Données projet'!$B$16,Paramètres!$A$1:$I$89,3,0)*0.475*44/12</f>
        <v>4.8825981452256997</v>
      </c>
      <c r="FS196" s="21">
        <f>EXP(-LN(2)/2)*FS195+(1-EXP(-LN(2)/2))/(LN(2)/2)*FM196*FP196*VLOOKUP('Données projet'!$B$16,Paramètres!$A$1:$I$89,3,0)*0.475*44/12</f>
        <v>2.6673191989837867E-9</v>
      </c>
      <c r="FT196" s="22">
        <f t="shared" si="184"/>
        <v>43.476366584097107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2.5579538487363607E-13</v>
      </c>
      <c r="GA196" s="17">
        <f>FZ196*VLOOKUP('Données projet'!$B$17,Paramètres!$A$1:$I$89,3,0)*VLOOKUP('Données projet'!$B$17,Paramètres!$A$1:$I$89,5,0)</f>
        <v>2.1947244022157976E-13</v>
      </c>
      <c r="GB196" s="13">
        <f t="shared" si="185"/>
        <v>3.0088145886933343E-12</v>
      </c>
      <c r="GC196" s="20">
        <f t="shared" si="186"/>
        <v>5.6225999086934742E-12</v>
      </c>
      <c r="GD196" s="59">
        <f t="shared" ref="GD196:GD203" si="200">GC196+(FU196+FV196)*44/12</f>
        <v>293.33333333333894</v>
      </c>
      <c r="GE196" s="59">
        <f ca="1">AVERAGE(OFFSET($GD$3,0,0,'Données projet'!$E$17+1,1))-AVERAGE(OFFSET($H$3,0,0,'Données projet'!$E$17+1,1))</f>
        <v>322.39807389980882</v>
      </c>
      <c r="GF196" s="59">
        <f t="shared" si="158"/>
        <v>202.59410055732792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37.917369393843913</v>
      </c>
      <c r="GM196" s="21">
        <f>EXP(-LN(2)/25)*GM195+(1-EXP(-LN(2)/25))/(LN(2)/25)*Calculateur!GH196*Calculateur!GJ196*VLOOKUP('Données projet'!$B$17,Paramètres!$A$1:$I$89,3,0)*0.475*44/12</f>
        <v>4.7970251409952533</v>
      </c>
      <c r="GN196" s="21">
        <f>EXP(-LN(2)/2)*GN195+(1-EXP(-LN(2)/2))/(LN(2)/2)*GH196*GK196*VLOOKUP('Données projet'!$B$17,Paramètres!$A$1:$I$89,3,0)*0.475*44/12</f>
        <v>2.1261239991899773E-9</v>
      </c>
      <c r="GO196" s="21">
        <f t="shared" si="187"/>
        <v>42.714394536965287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71.120399999999876</v>
      </c>
      <c r="D197" s="11">
        <f t="shared" ref="D197:D203" si="202">IFERROR(EXP(-1.0587+0.8836*LN(C197)+0.284),0)</f>
        <v>19.951434725279174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703.01065401969799</v>
      </c>
      <c r="H197" s="67">
        <f t="shared" si="192"/>
        <v>451.95011214652766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1.5961632016114892E-13</v>
      </c>
      <c r="P197" s="13">
        <f t="shared" ref="P197:P203" si="203">EXP(-1.0587+0.8836*LN(O197)+0.284)</f>
        <v>2.2708641912150958E-12</v>
      </c>
      <c r="Q197" s="20">
        <f t="shared" si="162"/>
        <v>4.2330868906469593E-12</v>
      </c>
      <c r="R197" s="59">
        <f t="shared" si="191"/>
        <v>293.33333333333752</v>
      </c>
      <c r="S197" s="59">
        <f ca="1">AVERAGE(OFFSET($R$3,0,0,'Données projet'!$E$9+1,1))-AVERAGE(OFFSET($H$3,0,0,'Données projet'!$E$9+1,1))</f>
        <v>215.77907571824977</v>
      </c>
      <c r="T197" s="59">
        <f t="shared" ref="T197:T203" si="204">$T$3</f>
        <v>174.69390149594869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24.374142671189851</v>
      </c>
      <c r="AA197" s="21">
        <f>EXP(-LN(2)/25)*AA196+(1-EXP(-LN(2)/25))/(LN(2)/25)*Calculateur!V197*Calculateur!X197*VLOOKUP('Données projet'!$B$9,Paramètres!$A$1:$I$89,3,0)*0.475*44/12</f>
        <v>3.9677120048420274</v>
      </c>
      <c r="AB197" s="21">
        <f>EXP(-LN(2)/2)*AB196+(1-EXP(-LN(2)/2))/(LN(2)/2)*V197*Y197*VLOOKUP('Données projet'!$B$9,Paramètres!$A$1:$I$89,3,0)*0.475*44/12</f>
        <v>5.0625446696207987E-12</v>
      </c>
      <c r="AC197" s="22">
        <f t="shared" si="163"/>
        <v>28.341854676036942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-1.0197709343628959E-13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171.701352621833</v>
      </c>
      <c r="AO197" s="59">
        <f t="shared" ref="AO197:AO203" si="205">$AO$3</f>
        <v>195.58435749168586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7.4857339248217878</v>
      </c>
      <c r="AV197" s="21">
        <f>EXP(-LN(2)/25)*AV196+(1-EXP(-LN(2)/25))/(LN(2)/25)*Calculateur!AQ197*Calculateur!AS197*VLOOKUP('Données projet'!$B$10,Paramètres!$A$1:$I$89,3,0)*0.475*44/12</f>
        <v>0.96204537166872006</v>
      </c>
      <c r="AW197" s="21">
        <f>EXP(-LN(2)/2)*AW196+(1-EXP(-LN(2)/2))/(LN(2)/2)*AQ197*AT197*VLOOKUP('Données projet'!$B$10,Paramètres!$A$1:$I$89,3,0)*0.475*44/12</f>
        <v>6.0605446223627548E-19</v>
      </c>
      <c r="AX197" s="21">
        <f t="shared" si="166"/>
        <v>8.4477792964905074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-1.1823431123048067E-13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348.29124901999882</v>
      </c>
      <c r="BJ197" s="59">
        <f t="shared" ref="BJ197:BJ203" si="206">$BJ$3</f>
        <v>284.30034973939053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22.73089968617025</v>
      </c>
      <c r="BQ197" s="21">
        <f>EXP(-LN(2)/25)*BQ196+(1-EXP(-LN(2)/25))/(LN(2)/25)*Calculateur!BL197*Calculateur!BN197*VLOOKUP('Données projet'!$B$11,Paramètres!$A$1:$I$89,3,0)*0.475*44/12</f>
        <v>3.2975288392572941</v>
      </c>
      <c r="BR197" s="21">
        <f>EXP(-LN(2)/2)*BR196+(1-EXP(-LN(2)/2))/(LN(2)/2)*BL197*BO197*VLOOKUP('Données projet'!$B$11,Paramètres!$A$1:$I$89,3,0)*0.475*44/12</f>
        <v>5.8541372596004806E-16</v>
      </c>
      <c r="BS197" s="22">
        <f t="shared" si="169"/>
        <v>26.028428525427543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-1.3596945791505279E-13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185.82627135915504</v>
      </c>
      <c r="CE197" s="59">
        <f t="shared" ref="CE197:CE203" si="207">$CE$3</f>
        <v>155.46126452522037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17.896289795857619</v>
      </c>
      <c r="CL197" s="21">
        <f>EXP(-LN(2)/25)*CL196+(1-EXP(-LN(2)/25))/(LN(2)/25)*Calculateur!CG197*Calculateur!CI197*VLOOKUP('Données projet'!$B$12,Paramètres!$A$1:$I$89,3,0)*0.475*44/12</f>
        <v>2.9428859343071818</v>
      </c>
      <c r="CM197" s="21">
        <f>EXP(-LN(2)/2)*CM196+(1-EXP(-LN(2)/2))/(LN(2)/2)*CG197*CJ197*VLOOKUP('Données projet'!$B$12,Paramètres!$A$1:$I$89,3,0)*0.475*44/12</f>
        <v>7.6996386242749105E-12</v>
      </c>
      <c r="CN197" s="22">
        <f t="shared" si="172"/>
        <v>20.839175730172499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-1.2789769243681803E-13</v>
      </c>
      <c r="CU197" s="17">
        <f>CT197*VLOOKUP('Données projet'!$B$13,Paramètres!$A$1:$I$89,3,0)*VLOOKUP('Données projet'!$B$13,Paramètres!$A$1:$I$89,5,0)</f>
        <v>-1.4733814168721438E-13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150.78964413039063</v>
      </c>
      <c r="CZ197" s="59">
        <f t="shared" ref="CZ197:CZ203" si="208">$CZ$3</f>
        <v>131.90332435966184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9.8793445186931432</v>
      </c>
      <c r="DG197" s="21">
        <f>EXP(-LN(2)/25)*DG196+(1-EXP(-LN(2)/25))/(LN(2)/25)*Calculateur!DB197*Calculateur!DD197*VLOOKUP('Données projet'!$B$13,Paramètres!$A$1:$I$89,3,0)*0.475*44/12</f>
        <v>3.2337625699009012</v>
      </c>
      <c r="DH197" s="21">
        <f>EXP(-LN(2)/2)*DH196+(1-EXP(-LN(2)/2))/(LN(2)/2)*DB197*DE197*VLOOKUP('Données projet'!$B$13,Paramètres!$A$1:$I$89,3,0)*0.475*44/12</f>
        <v>3.8945028275709848E-6</v>
      </c>
      <c r="DI197" s="22">
        <f t="shared" si="175"/>
        <v>13.113110983096872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-1.4210854715202004E-14</v>
      </c>
      <c r="DP197" s="17">
        <f>DO197*VLOOKUP('Données projet'!$B$14,Paramètres!$A$1:$I$89,3,0)*VLOOKUP('Données projet'!$B$14,Paramètres!$A$1:$I$89,5,0)</f>
        <v>-1.4853185348329136E-14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110.10595934547638</v>
      </c>
      <c r="DU197" s="59">
        <f t="shared" ref="DU197:DU203" si="209">$DU$3</f>
        <v>131.10971921141493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2.7369323679171673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2.7369323679171673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-2.8819613362429665E-13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420.38735944595965</v>
      </c>
      <c r="EP197" s="59">
        <f t="shared" ref="EP197:EP203" si="210">$EP$3</f>
        <v>200.0823542414671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127.26458030041276</v>
      </c>
      <c r="EW197" s="21">
        <f>EXP(-LN(2)/25)*EW196+(1-EXP(-LN(2)/25))/(LN(2)/25)*Calculateur!ER197*Calculateur!ET197*VLOOKUP('Données projet'!$B$15,Paramètres!$A$1:$I$89,3,0)*0.475*44/12</f>
        <v>39.177143273964283</v>
      </c>
      <c r="EX197" s="21">
        <f>EXP(-LN(2)/2)*EX196+(1-EXP(-LN(2)/2))/(LN(2)/2)*ER197*EU197*VLOOKUP('Données projet'!$B$15,Paramètres!$A$1:$I$89,3,0)*0.475*44/12</f>
        <v>2.4525351627565573</v>
      </c>
      <c r="EY197" s="22">
        <f t="shared" si="181"/>
        <v>168.89425873713361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2.5579538487363607E-13</v>
      </c>
      <c r="FF197" s="17">
        <f>FE197*VLOOKUP('Données projet'!$B$16,Paramètres!$A$1:$I$89,3,0)*VLOOKUP('Données projet'!$B$16,Paramètres!$A$1:$I$89,5,0)</f>
        <v>2.7533815227798186E-13</v>
      </c>
      <c r="FG197" s="13">
        <f t="shared" si="182"/>
        <v>3.6763598146902537E-12</v>
      </c>
      <c r="FH197" s="20">
        <f t="shared" si="183"/>
        <v>6.88254062580301E-12</v>
      </c>
      <c r="FI197" s="59">
        <f t="shared" si="199"/>
        <v>293.33333333334019</v>
      </c>
      <c r="FJ197" s="59">
        <f ca="1">AVERAGE(OFFSET($FI$3,0,0,'Données projet'!$E$16+1,1))-AVERAGE(OFFSET($H$3,0,0,'Données projet'!$E$16+1,1))</f>
        <v>415.8741608506952</v>
      </c>
      <c r="FK197" s="59">
        <f t="shared" ref="FK197:FK203" si="211">$FK$3</f>
        <v>259.15848913719356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37.836968177044504</v>
      </c>
      <c r="FR197" s="21">
        <f>EXP(-LN(2)/25)*FR196+(1-EXP(-LN(2)/25))/(LN(2)/25)*Calculateur!FM197*Calculateur!FO197*VLOOKUP('Données projet'!$B$16,Paramètres!$A$1:$I$89,3,0)*0.475*44/12</f>
        <v>4.7490832421798261</v>
      </c>
      <c r="FS197" s="21">
        <f>EXP(-LN(2)/2)*FS196+(1-EXP(-LN(2)/2))/(LN(2)/2)*FM197*FP197*VLOOKUP('Données projet'!$B$16,Paramètres!$A$1:$I$89,3,0)*0.475*44/12</f>
        <v>1.8860794931905057E-9</v>
      </c>
      <c r="FT197" s="22">
        <f t="shared" si="184"/>
        <v>42.586051421110412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2.5579538487363607E-13</v>
      </c>
      <c r="GA197" s="17">
        <f>FZ197*VLOOKUP('Données projet'!$B$17,Paramètres!$A$1:$I$89,3,0)*VLOOKUP('Données projet'!$B$17,Paramètres!$A$1:$I$89,5,0)</f>
        <v>2.1947244022157976E-13</v>
      </c>
      <c r="GB197" s="13">
        <f t="shared" si="185"/>
        <v>3.0088145886933343E-12</v>
      </c>
      <c r="GC197" s="20">
        <f t="shared" si="186"/>
        <v>5.6225999086934742E-12</v>
      </c>
      <c r="GD197" s="59">
        <f t="shared" si="200"/>
        <v>293.33333333333894</v>
      </c>
      <c r="GE197" s="59">
        <f ca="1">AVERAGE(OFFSET($GD$3,0,0,'Données projet'!$E$17+1,1))-AVERAGE(OFFSET($H$3,0,0,'Données projet'!$E$17+1,1))</f>
        <v>322.39807389980882</v>
      </c>
      <c r="GF197" s="59">
        <f t="shared" ref="GF197:GF203" si="212">$GF$3</f>
        <v>202.59410055732792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37.17383290734233</v>
      </c>
      <c r="GM197" s="21">
        <f>EXP(-LN(2)/25)*GM196+(1-EXP(-LN(2)/25))/(LN(2)/25)*Calculateur!GH197*Calculateur!GJ197*VLOOKUP('Données projet'!$B$17,Paramètres!$A$1:$I$89,3,0)*0.475*44/12</f>
        <v>4.6658502362501499</v>
      </c>
      <c r="GN197" s="21">
        <f>EXP(-LN(2)/2)*GN196+(1-EXP(-LN(2)/2))/(LN(2)/2)*GH197*GK197*VLOOKUP('Données projet'!$B$17,Paramètres!$A$1:$I$89,3,0)*0.475*44/12</f>
        <v>1.5033966974706947E-9</v>
      </c>
      <c r="GO197" s="21">
        <f t="shared" si="187"/>
        <v>41.839683145095876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71.486999999999881</v>
      </c>
      <c r="D198" s="11">
        <f t="shared" si="202"/>
        <v>20.042279102156822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706.54180359559575</v>
      </c>
      <c r="H198" s="67">
        <f t="shared" si="192"/>
        <v>452.74682776958957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1.5961632016114892E-13</v>
      </c>
      <c r="P198" s="13">
        <f t="shared" si="203"/>
        <v>2.2708641912150958E-12</v>
      </c>
      <c r="Q198" s="20">
        <f t="shared" si="162"/>
        <v>4.2330868906469593E-12</v>
      </c>
      <c r="R198" s="59">
        <f t="shared" si="191"/>
        <v>293.33333333333752</v>
      </c>
      <c r="S198" s="59">
        <f ca="1">AVERAGE(OFFSET($R$3,0,0,'Données projet'!$E$9+1,1))-AVERAGE(OFFSET($H$3,0,0,'Données projet'!$E$9+1,1))</f>
        <v>215.77907571824977</v>
      </c>
      <c r="T198" s="59">
        <f t="shared" si="204"/>
        <v>174.69390149594869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23.896180600166876</v>
      </c>
      <c r="AA198" s="21">
        <f>EXP(-LN(2)/25)*AA197+(1-EXP(-LN(2)/25))/(LN(2)/25)*Calculateur!V198*Calculateur!X198*VLOOKUP('Données projet'!$B$9,Paramètres!$A$1:$I$89,3,0)*0.475*44/12</f>
        <v>3.8592147114167159</v>
      </c>
      <c r="AB198" s="21">
        <f>EXP(-LN(2)/2)*AB197+(1-EXP(-LN(2)/2))/(LN(2)/2)*V198*Y198*VLOOKUP('Données projet'!$B$9,Paramètres!$A$1:$I$89,3,0)*0.475*44/12</f>
        <v>3.579759665948677E-12</v>
      </c>
      <c r="AC198" s="22">
        <f t="shared" si="163"/>
        <v>27.755395311587172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-1.0197709343628959E-13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171.701352621833</v>
      </c>
      <c r="AO198" s="59">
        <f t="shared" si="205"/>
        <v>195.58435749168586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7.3389432484028871</v>
      </c>
      <c r="AV198" s="21">
        <f>EXP(-LN(2)/25)*AV197+(1-EXP(-LN(2)/25))/(LN(2)/25)*Calculateur!AQ198*Calculateur!AS198*VLOOKUP('Données projet'!$B$10,Paramètres!$A$1:$I$89,3,0)*0.475*44/12</f>
        <v>0.93573819038867156</v>
      </c>
      <c r="AW198" s="21">
        <f>EXP(-LN(2)/2)*AW197+(1-EXP(-LN(2)/2))/(LN(2)/2)*AQ198*AT198*VLOOKUP('Données projet'!$B$10,Paramètres!$A$1:$I$89,3,0)*0.475*44/12</f>
        <v>4.285452200156368E-19</v>
      </c>
      <c r="AX198" s="21">
        <f t="shared" si="166"/>
        <v>8.2746814387915588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-1.1823431123048067E-13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348.29124901999882</v>
      </c>
      <c r="BJ198" s="59">
        <f t="shared" si="206"/>
        <v>284.30034973939053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22.285160607804258</v>
      </c>
      <c r="BQ198" s="21">
        <f>EXP(-LN(2)/25)*BQ197+(1-EXP(-LN(2)/25))/(LN(2)/25)*Calculateur!BL198*Calculateur!BN198*VLOOKUP('Données projet'!$B$11,Paramètres!$A$1:$I$89,3,0)*0.475*44/12</f>
        <v>3.2073577397382982</v>
      </c>
      <c r="BR198" s="21">
        <f>EXP(-LN(2)/2)*BR197+(1-EXP(-LN(2)/2))/(LN(2)/2)*BL198*BO198*VLOOKUP('Données projet'!$B$11,Paramètres!$A$1:$I$89,3,0)*0.475*44/12</f>
        <v>4.1395001542603321E-16</v>
      </c>
      <c r="BS198" s="22">
        <f t="shared" si="169"/>
        <v>25.492518347542557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-1.3596945791505279E-13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185.82627135915504</v>
      </c>
      <c r="CE198" s="59">
        <f t="shared" si="207"/>
        <v>155.46126452522037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17.545354468619795</v>
      </c>
      <c r="CL198" s="21">
        <f>EXP(-LN(2)/25)*CL197+(1-EXP(-LN(2)/25))/(LN(2)/25)*Calculateur!CG198*Calculateur!CI198*VLOOKUP('Données projet'!$B$12,Paramètres!$A$1:$I$89,3,0)*0.475*44/12</f>
        <v>2.8624125636739066</v>
      </c>
      <c r="CM198" s="21">
        <f>EXP(-LN(2)/2)*CM197+(1-EXP(-LN(2)/2))/(LN(2)/2)*CG198*CJ198*VLOOKUP('Données projet'!$B$12,Paramètres!$A$1:$I$89,3,0)*0.475*44/12</f>
        <v>5.4444666839106491E-12</v>
      </c>
      <c r="CN198" s="22">
        <f t="shared" si="172"/>
        <v>20.407767032299144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-1.2789769243681803E-13</v>
      </c>
      <c r="CU198" s="17">
        <f>CT198*VLOOKUP('Données projet'!$B$13,Paramètres!$A$1:$I$89,3,0)*VLOOKUP('Données projet'!$B$13,Paramètres!$A$1:$I$89,5,0)</f>
        <v>-1.4733814168721438E-13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150.78964413039063</v>
      </c>
      <c r="CZ198" s="59">
        <f t="shared" si="208"/>
        <v>131.90332435966184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9.6856165984867282</v>
      </c>
      <c r="DG198" s="21">
        <f>EXP(-LN(2)/25)*DG197+(1-EXP(-LN(2)/25))/(LN(2)/25)*Calculateur!DB198*Calculateur!DD198*VLOOKUP('Données projet'!$B$13,Paramètres!$A$1:$I$89,3,0)*0.475*44/12</f>
        <v>3.1453351623707784</v>
      </c>
      <c r="DH198" s="21">
        <f>EXP(-LN(2)/2)*DH197+(1-EXP(-LN(2)/2))/(LN(2)/2)*DB198*DE198*VLOOKUP('Données projet'!$B$13,Paramètres!$A$1:$I$89,3,0)*0.475*44/12</f>
        <v>2.7538293587256271E-6</v>
      </c>
      <c r="DI198" s="22">
        <f t="shared" si="175"/>
        <v>12.830954514686864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-1.4210854715202004E-14</v>
      </c>
      <c r="DP198" s="17">
        <f>DO198*VLOOKUP('Données projet'!$B$14,Paramètres!$A$1:$I$89,3,0)*VLOOKUP('Données projet'!$B$14,Paramètres!$A$1:$I$89,5,0)</f>
        <v>-1.4853185348329136E-14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110.10595934547638</v>
      </c>
      <c r="DU198" s="59">
        <f t="shared" si="209"/>
        <v>131.10971921141493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2.6620908083874544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2.6620908083874544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-2.8819613362429665E-13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420.38735944595965</v>
      </c>
      <c r="EP198" s="59">
        <f t="shared" si="210"/>
        <v>200.0823542414671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124.76899950445095</v>
      </c>
      <c r="EW198" s="21">
        <f>EXP(-LN(2)/25)*EW197+(1-EXP(-LN(2)/25))/(LN(2)/25)*Calculateur!ER198*Calculateur!ET198*VLOOKUP('Données projet'!$B$15,Paramètres!$A$1:$I$89,3,0)*0.475*44/12</f>
        <v>38.105842230901303</v>
      </c>
      <c r="EX198" s="21">
        <f>EXP(-LN(2)/2)*EX197+(1-EXP(-LN(2)/2))/(LN(2)/2)*ER198*EU198*VLOOKUP('Données projet'!$B$15,Paramètres!$A$1:$I$89,3,0)*0.475*44/12</f>
        <v>1.7342042446836148</v>
      </c>
      <c r="EY198" s="22">
        <f t="shared" si="181"/>
        <v>164.60904598003586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2.5579538487363607E-13</v>
      </c>
      <c r="FF198" s="17">
        <f>FE198*VLOOKUP('Données projet'!$B$16,Paramètres!$A$1:$I$89,3,0)*VLOOKUP('Données projet'!$B$16,Paramètres!$A$1:$I$89,5,0)</f>
        <v>2.7533815227798186E-13</v>
      </c>
      <c r="FG198" s="13">
        <f t="shared" si="182"/>
        <v>3.6763598146902537E-12</v>
      </c>
      <c r="FH198" s="20">
        <f t="shared" si="183"/>
        <v>6.88254062580301E-12</v>
      </c>
      <c r="FI198" s="59">
        <f t="shared" si="199"/>
        <v>293.33333333334019</v>
      </c>
      <c r="FJ198" s="59">
        <f ca="1">AVERAGE(OFFSET($FI$3,0,0,'Données projet'!$E$16+1,1))-AVERAGE(OFFSET($H$3,0,0,'Données projet'!$E$16+1,1))</f>
        <v>415.8741608506952</v>
      </c>
      <c r="FK198" s="59">
        <f t="shared" si="211"/>
        <v>259.15848913719356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37.095008309364459</v>
      </c>
      <c r="FR198" s="21">
        <f>EXP(-LN(2)/25)*FR197+(1-EXP(-LN(2)/25))/(LN(2)/25)*Calculateur!FM198*Calculateur!FO198*VLOOKUP('Données projet'!$B$16,Paramètres!$A$1:$I$89,3,0)*0.475*44/12</f>
        <v>4.619219311178985</v>
      </c>
      <c r="FS198" s="21">
        <f>EXP(-LN(2)/2)*FS197+(1-EXP(-LN(2)/2))/(LN(2)/2)*FM198*FP198*VLOOKUP('Données projet'!$B$16,Paramètres!$A$1:$I$89,3,0)*0.475*44/12</f>
        <v>1.3336595994918933E-9</v>
      </c>
      <c r="FT198" s="22">
        <f t="shared" si="184"/>
        <v>41.714227621877107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2.5579538487363607E-13</v>
      </c>
      <c r="GA198" s="17">
        <f>FZ198*VLOOKUP('Données projet'!$B$17,Paramètres!$A$1:$I$89,3,0)*VLOOKUP('Données projet'!$B$17,Paramètres!$A$1:$I$89,5,0)</f>
        <v>2.1947244022157976E-13</v>
      </c>
      <c r="GB198" s="13">
        <f t="shared" si="185"/>
        <v>3.0088145886933343E-12</v>
      </c>
      <c r="GC198" s="20">
        <f t="shared" si="186"/>
        <v>5.6225999086934742E-12</v>
      </c>
      <c r="GD198" s="59">
        <f t="shared" si="200"/>
        <v>293.33333333333894</v>
      </c>
      <c r="GE198" s="59">
        <f ca="1">AVERAGE(OFFSET($GD$3,0,0,'Données projet'!$E$17+1,1))-AVERAGE(OFFSET($H$3,0,0,'Données projet'!$E$17+1,1))</f>
        <v>322.39807389980882</v>
      </c>
      <c r="GF198" s="59">
        <f t="shared" si="212"/>
        <v>202.59410055732792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36.444876717828571</v>
      </c>
      <c r="GM198" s="21">
        <f>EXP(-LN(2)/25)*GM197+(1-EXP(-LN(2)/25))/(LN(2)/25)*Calculateur!GH198*Calculateur!GJ198*VLOOKUP('Données projet'!$B$17,Paramètres!$A$1:$I$89,3,0)*0.475*44/12</f>
        <v>4.5382623161734896</v>
      </c>
      <c r="GN198" s="21">
        <f>EXP(-LN(2)/2)*GN197+(1-EXP(-LN(2)/2))/(LN(2)/2)*GH198*GK198*VLOOKUP('Données projet'!$B$17,Paramètres!$A$1:$I$89,3,0)*0.475*44/12</f>
        <v>1.0630619995949887E-9</v>
      </c>
      <c r="GO198" s="21">
        <f t="shared" si="187"/>
        <v>40.983139035065122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71.853599999999886</v>
      </c>
      <c r="D199" s="11">
        <f t="shared" si="202"/>
        <v>20.133069267859636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710.07253469926661</v>
      </c>
      <c r="H199" s="67">
        <f t="shared" si="192"/>
        <v>453.54344897485532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1.5961632016114892E-13</v>
      </c>
      <c r="P199" s="13">
        <f t="shared" si="203"/>
        <v>2.2708641912150958E-12</v>
      </c>
      <c r="Q199" s="20">
        <f t="shared" si="162"/>
        <v>4.2330868906469593E-12</v>
      </c>
      <c r="R199" s="59">
        <f t="shared" si="191"/>
        <v>293.33333333333752</v>
      </c>
      <c r="S199" s="59">
        <f ca="1">AVERAGE(OFFSET($R$3,0,0,'Données projet'!$E$9+1,1))-AVERAGE(OFFSET($H$3,0,0,'Données projet'!$E$9+1,1))</f>
        <v>215.77907571824977</v>
      </c>
      <c r="T199" s="59">
        <f t="shared" si="204"/>
        <v>174.69390149594869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23.427591073828584</v>
      </c>
      <c r="AA199" s="21">
        <f>EXP(-LN(2)/25)*AA198+(1-EXP(-LN(2)/25))/(LN(2)/25)*Calculateur!V199*Calculateur!X199*VLOOKUP('Données projet'!$B$9,Paramètres!$A$1:$I$89,3,0)*0.475*44/12</f>
        <v>3.7536842821857443</v>
      </c>
      <c r="AB199" s="21">
        <f>EXP(-LN(2)/2)*AB198+(1-EXP(-LN(2)/2))/(LN(2)/2)*V199*Y199*VLOOKUP('Données projet'!$B$9,Paramètres!$A$1:$I$89,3,0)*0.475*44/12</f>
        <v>2.5312723348103997E-12</v>
      </c>
      <c r="AC199" s="22">
        <f t="shared" si="163"/>
        <v>27.181275356016858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-1.0197709343628959E-13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171.701352621833</v>
      </c>
      <c r="AO199" s="59">
        <f t="shared" si="205"/>
        <v>195.58435749168586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7.1950310476150889</v>
      </c>
      <c r="AV199" s="21">
        <f>EXP(-LN(2)/25)*AV198+(1-EXP(-LN(2)/25))/(LN(2)/25)*Calculateur!AQ199*Calculateur!AS199*VLOOKUP('Données projet'!$B$10,Paramètres!$A$1:$I$89,3,0)*0.475*44/12</f>
        <v>0.91015038036416052</v>
      </c>
      <c r="AW199" s="21">
        <f>EXP(-LN(2)/2)*AW198+(1-EXP(-LN(2)/2))/(LN(2)/2)*AQ199*AT199*VLOOKUP('Données projet'!$B$10,Paramètres!$A$1:$I$89,3,0)*0.475*44/12</f>
        <v>3.0302723111813779E-19</v>
      </c>
      <c r="AX199" s="21">
        <f t="shared" si="166"/>
        <v>8.1051814279792502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-1.1823431123048067E-13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348.29124901999882</v>
      </c>
      <c r="BJ199" s="59">
        <f t="shared" si="206"/>
        <v>284.30034973939053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21.848162200891029</v>
      </c>
      <c r="BQ199" s="21">
        <f>EXP(-LN(2)/25)*BQ198+(1-EXP(-LN(2)/25))/(LN(2)/25)*Calculateur!BL199*Calculateur!BN199*VLOOKUP('Données projet'!$B$11,Paramètres!$A$1:$I$89,3,0)*0.475*44/12</f>
        <v>3.1196523736775412</v>
      </c>
      <c r="BR199" s="21">
        <f>EXP(-LN(2)/2)*BR198+(1-EXP(-LN(2)/2))/(LN(2)/2)*BL199*BO199*VLOOKUP('Données projet'!$B$11,Paramètres!$A$1:$I$89,3,0)*0.475*44/12</f>
        <v>2.9270686298002403E-16</v>
      </c>
      <c r="BS199" s="22">
        <f t="shared" si="169"/>
        <v>24.967814574568571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-1.3596945791505279E-13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185.82627135915504</v>
      </c>
      <c r="CE199" s="59">
        <f t="shared" si="207"/>
        <v>155.46126452522037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17.201300769099692</v>
      </c>
      <c r="CL199" s="21">
        <f>EXP(-LN(2)/25)*CL198+(1-EXP(-LN(2)/25))/(LN(2)/25)*Calculateur!CG199*Calculateur!CI199*VLOOKUP('Données projet'!$B$12,Paramètres!$A$1:$I$89,3,0)*0.475*44/12</f>
        <v>2.7841397415925089</v>
      </c>
      <c r="CM199" s="21">
        <f>EXP(-LN(2)/2)*CM198+(1-EXP(-LN(2)/2))/(LN(2)/2)*CG199*CJ199*VLOOKUP('Données projet'!$B$12,Paramètres!$A$1:$I$89,3,0)*0.475*44/12</f>
        <v>3.8498193121374552E-12</v>
      </c>
      <c r="CN199" s="22">
        <f t="shared" si="172"/>
        <v>19.985440510696051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-1.2789769243681803E-13</v>
      </c>
      <c r="CU199" s="17">
        <f>CT199*VLOOKUP('Données projet'!$B$13,Paramètres!$A$1:$I$89,3,0)*VLOOKUP('Données projet'!$B$13,Paramètres!$A$1:$I$89,5,0)</f>
        <v>-1.4733814168721438E-13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150.78964413039063</v>
      </c>
      <c r="CZ199" s="59">
        <f t="shared" si="208"/>
        <v>131.90332435966184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9.4956875646331973</v>
      </c>
      <c r="DG199" s="21">
        <f>EXP(-LN(2)/25)*DG198+(1-EXP(-LN(2)/25))/(LN(2)/25)*Calculateur!DB199*Calculateur!DD199*VLOOKUP('Données projet'!$B$13,Paramètres!$A$1:$I$89,3,0)*0.475*44/12</f>
        <v>3.059325806949762</v>
      </c>
      <c r="DH199" s="21">
        <f>EXP(-LN(2)/2)*DH198+(1-EXP(-LN(2)/2))/(LN(2)/2)*DB199*DE199*VLOOKUP('Données projet'!$B$13,Paramètres!$A$1:$I$89,3,0)*0.475*44/12</f>
        <v>1.9472514137854924E-6</v>
      </c>
      <c r="DI199" s="22">
        <f t="shared" si="175"/>
        <v>12.555015318834373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-1.4210854715202004E-14</v>
      </c>
      <c r="DP199" s="17">
        <f>DO199*VLOOKUP('Données projet'!$B$14,Paramètres!$A$1:$I$89,3,0)*VLOOKUP('Données projet'!$B$14,Paramètres!$A$1:$I$89,5,0)</f>
        <v>-1.4853185348329136E-14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110.10595934547638</v>
      </c>
      <c r="DU199" s="59">
        <f t="shared" si="209"/>
        <v>131.10971921141493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2.589295795238828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2.589295795238828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-2.8819613362429665E-13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420.38735944595965</v>
      </c>
      <c r="EP199" s="59">
        <f t="shared" si="210"/>
        <v>200.0823542414671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122.32235552574396</v>
      </c>
      <c r="EW199" s="21">
        <f>EXP(-LN(2)/25)*EW198+(1-EXP(-LN(2)/25))/(LN(2)/25)*Calculateur!ER199*Calculateur!ET199*VLOOKUP('Données projet'!$B$15,Paramètres!$A$1:$I$89,3,0)*0.475*44/12</f>
        <v>37.063835971198152</v>
      </c>
      <c r="EX199" s="21">
        <f>EXP(-LN(2)/2)*EX198+(1-EXP(-LN(2)/2))/(LN(2)/2)*ER199*EU199*VLOOKUP('Données projet'!$B$15,Paramètres!$A$1:$I$89,3,0)*0.475*44/12</f>
        <v>1.2262675813782788</v>
      </c>
      <c r="EY199" s="22">
        <f t="shared" si="181"/>
        <v>160.61245907832037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2.5579538487363607E-13</v>
      </c>
      <c r="FF199" s="17">
        <f>FE199*VLOOKUP('Données projet'!$B$16,Paramètres!$A$1:$I$89,3,0)*VLOOKUP('Données projet'!$B$16,Paramètres!$A$1:$I$89,5,0)</f>
        <v>2.7533815227798186E-13</v>
      </c>
      <c r="FG199" s="13">
        <f t="shared" si="182"/>
        <v>3.6763598146902537E-12</v>
      </c>
      <c r="FH199" s="20">
        <f t="shared" si="183"/>
        <v>6.88254062580301E-12</v>
      </c>
      <c r="FI199" s="59">
        <f t="shared" si="199"/>
        <v>293.33333333334019</v>
      </c>
      <c r="FJ199" s="59">
        <f ca="1">AVERAGE(OFFSET($FI$3,0,0,'Données projet'!$E$16+1,1))-AVERAGE(OFFSET($H$3,0,0,'Données projet'!$E$16+1,1))</f>
        <v>415.8741608506952</v>
      </c>
      <c r="FK199" s="59">
        <f t="shared" si="211"/>
        <v>259.15848913719356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36.367597822138784</v>
      </c>
      <c r="FR199" s="21">
        <f>EXP(-LN(2)/25)*FR198+(1-EXP(-LN(2)/25))/(LN(2)/25)*Calculateur!FM199*Calculateur!FO199*VLOOKUP('Données projet'!$B$16,Paramètres!$A$1:$I$89,3,0)*0.475*44/12</f>
        <v>4.4929065162006099</v>
      </c>
      <c r="FS199" s="21">
        <f>EXP(-LN(2)/2)*FS198+(1-EXP(-LN(2)/2))/(LN(2)/2)*FM199*FP199*VLOOKUP('Données projet'!$B$16,Paramètres!$A$1:$I$89,3,0)*0.475*44/12</f>
        <v>9.4303974659525285E-10</v>
      </c>
      <c r="FT199" s="22">
        <f t="shared" si="184"/>
        <v>40.860504339282436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2.5579538487363607E-13</v>
      </c>
      <c r="GA199" s="17">
        <f>FZ199*VLOOKUP('Données projet'!$B$17,Paramètres!$A$1:$I$89,3,0)*VLOOKUP('Données projet'!$B$17,Paramètres!$A$1:$I$89,5,0)</f>
        <v>2.1947244022157976E-13</v>
      </c>
      <c r="GB199" s="13">
        <f t="shared" si="185"/>
        <v>3.0088145886933343E-12</v>
      </c>
      <c r="GC199" s="20">
        <f t="shared" si="186"/>
        <v>5.6225999086934742E-12</v>
      </c>
      <c r="GD199" s="59">
        <f t="shared" si="200"/>
        <v>293.33333333333894</v>
      </c>
      <c r="GE199" s="59">
        <f ca="1">AVERAGE(OFFSET($GD$3,0,0,'Données projet'!$E$17+1,1))-AVERAGE(OFFSET($H$3,0,0,'Données projet'!$E$17+1,1))</f>
        <v>322.39807389980882</v>
      </c>
      <c r="GF199" s="59">
        <f t="shared" si="212"/>
        <v>202.59410055732792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35.730214914571803</v>
      </c>
      <c r="GM199" s="21">
        <f>EXP(-LN(2)/25)*GM198+(1-EXP(-LN(2)/25))/(LN(2)/25)*Calculateur!GH199*Calculateur!GJ199*VLOOKUP('Données projet'!$B$17,Paramètres!$A$1:$I$89,3,0)*0.475*44/12</f>
        <v>4.4141632944808826</v>
      </c>
      <c r="GN199" s="21">
        <f>EXP(-LN(2)/2)*GN198+(1-EXP(-LN(2)/2))/(LN(2)/2)*GH199*GK199*VLOOKUP('Données projet'!$B$17,Paramètres!$A$1:$I$89,3,0)*0.475*44/12</f>
        <v>7.5169834873534733E-10</v>
      </c>
      <c r="GO199" s="21">
        <f t="shared" si="187"/>
        <v>40.144378209804387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72.220199999999892</v>
      </c>
      <c r="D200" s="11">
        <f t="shared" si="202"/>
        <v>20.223805531081027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713.60284971360716</v>
      </c>
      <c r="H200" s="67">
        <f t="shared" si="192"/>
        <v>454.33997629996588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1.5961632016114892E-13</v>
      </c>
      <c r="P200" s="13">
        <f t="shared" si="203"/>
        <v>2.2708641912150958E-12</v>
      </c>
      <c r="Q200" s="20">
        <f t="shared" si="162"/>
        <v>4.2330868906469593E-12</v>
      </c>
      <c r="R200" s="59">
        <f t="shared" si="191"/>
        <v>293.33333333333752</v>
      </c>
      <c r="S200" s="59">
        <f ca="1">AVERAGE(OFFSET($R$3,0,0,'Données projet'!$E$9+1,1))-AVERAGE(OFFSET($H$3,0,0,'Données projet'!$E$9+1,1))</f>
        <v>215.77907571824977</v>
      </c>
      <c r="T200" s="59">
        <f t="shared" si="204"/>
        <v>174.69390149594869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22.968190302290399</v>
      </c>
      <c r="AA200" s="21">
        <f>EXP(-LN(2)/25)*AA199+(1-EXP(-LN(2)/25))/(LN(2)/25)*Calculateur!V200*Calculateur!X200*VLOOKUP('Données projet'!$B$9,Paramètres!$A$1:$I$89,3,0)*0.475*44/12</f>
        <v>3.6510395880916979</v>
      </c>
      <c r="AB200" s="21">
        <f>EXP(-LN(2)/2)*AB199+(1-EXP(-LN(2)/2))/(LN(2)/2)*V200*Y200*VLOOKUP('Données projet'!$B$9,Paramètres!$A$1:$I$89,3,0)*0.475*44/12</f>
        <v>1.7898798329743387E-12</v>
      </c>
      <c r="AC200" s="22">
        <f t="shared" si="163"/>
        <v>26.619229890383888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-1.0197709343628959E-13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171.701352621833</v>
      </c>
      <c r="AO200" s="59">
        <f t="shared" si="205"/>
        <v>195.58435749168586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7.0539408773069638</v>
      </c>
      <c r="AV200" s="21">
        <f>EXP(-LN(2)/25)*AV199+(1-EXP(-LN(2)/25))/(LN(2)/25)*Calculateur!AQ200*Calculateur!AS200*VLOOKUP('Données projet'!$B$10,Paramètres!$A$1:$I$89,3,0)*0.475*44/12</f>
        <v>0.88526227035037419</v>
      </c>
      <c r="AW200" s="21">
        <f>EXP(-LN(2)/2)*AW199+(1-EXP(-LN(2)/2))/(LN(2)/2)*AQ200*AT200*VLOOKUP('Données projet'!$B$10,Paramètres!$A$1:$I$89,3,0)*0.475*44/12</f>
        <v>2.1427261000781842E-19</v>
      </c>
      <c r="AX200" s="21">
        <f t="shared" si="166"/>
        <v>7.9392031476573379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-1.1823431123048067E-13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348.29124901999882</v>
      </c>
      <c r="BJ200" s="59">
        <f t="shared" si="206"/>
        <v>284.30034973939053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21.419733066194659</v>
      </c>
      <c r="BQ200" s="21">
        <f>EXP(-LN(2)/25)*BQ199+(1-EXP(-LN(2)/25))/(LN(2)/25)*Calculateur!BL200*Calculateur!BN200*VLOOKUP('Données projet'!$B$11,Paramètres!$A$1:$I$89,3,0)*0.475*44/12</f>
        <v>3.0343453154639404</v>
      </c>
      <c r="BR200" s="21">
        <f>EXP(-LN(2)/2)*BR199+(1-EXP(-LN(2)/2))/(LN(2)/2)*BL200*BO200*VLOOKUP('Données projet'!$B$11,Paramètres!$A$1:$I$89,3,0)*0.475*44/12</f>
        <v>2.069750077130166E-16</v>
      </c>
      <c r="BS200" s="22">
        <f t="shared" si="169"/>
        <v>24.454078381658601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-1.3596945791505279E-13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185.82627135915504</v>
      </c>
      <c r="CE200" s="59">
        <f t="shared" si="207"/>
        <v>155.46126452522037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16.863993752775141</v>
      </c>
      <c r="CL200" s="21">
        <f>EXP(-LN(2)/25)*CL199+(1-EXP(-LN(2)/25))/(LN(2)/25)*Calculateur!CG200*Calculateur!CI200*VLOOKUP('Données projet'!$B$12,Paramètres!$A$1:$I$89,3,0)*0.475*44/12</f>
        <v>2.7080072939471158</v>
      </c>
      <c r="CM200" s="21">
        <f>EXP(-LN(2)/2)*CM199+(1-EXP(-LN(2)/2))/(LN(2)/2)*CG200*CJ200*VLOOKUP('Données projet'!$B$12,Paramètres!$A$1:$I$89,3,0)*0.475*44/12</f>
        <v>2.7222333419553245E-12</v>
      </c>
      <c r="CN200" s="22">
        <f t="shared" si="172"/>
        <v>19.572001046724978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-1.2789769243681803E-13</v>
      </c>
      <c r="CU200" s="17">
        <f>CT200*VLOOKUP('Données projet'!$B$13,Paramètres!$A$1:$I$89,3,0)*VLOOKUP('Données projet'!$B$13,Paramètres!$A$1:$I$89,5,0)</f>
        <v>-1.4733814168721438E-13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150.78964413039063</v>
      </c>
      <c r="CZ200" s="59">
        <f t="shared" si="208"/>
        <v>131.90332435966184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9.3094829232882628</v>
      </c>
      <c r="DG200" s="21">
        <f>EXP(-LN(2)/25)*DG199+(1-EXP(-LN(2)/25))/(LN(2)/25)*Calculateur!DB200*Calculateur!DD200*VLOOKUP('Données projet'!$B$13,Paramètres!$A$1:$I$89,3,0)*0.475*44/12</f>
        <v>2.9756683818757685</v>
      </c>
      <c r="DH200" s="21">
        <f>EXP(-LN(2)/2)*DH199+(1-EXP(-LN(2)/2))/(LN(2)/2)*DB200*DE200*VLOOKUP('Données projet'!$B$13,Paramètres!$A$1:$I$89,3,0)*0.475*44/12</f>
        <v>1.3769146793628135E-6</v>
      </c>
      <c r="DI200" s="22">
        <f t="shared" si="175"/>
        <v>12.285152682078712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-1.4210854715202004E-14</v>
      </c>
      <c r="DP200" s="17">
        <f>DO200*VLOOKUP('Données projet'!$B$14,Paramètres!$A$1:$I$89,3,0)*VLOOKUP('Données projet'!$B$14,Paramètres!$A$1:$I$89,5,0)</f>
        <v>-1.4853185348329136E-14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110.10595934547638</v>
      </c>
      <c r="DU200" s="59">
        <f t="shared" si="209"/>
        <v>131.10971921141493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2.5184913655528742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2.5184913655528742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-2.8819613362429665E-13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420.38735944595965</v>
      </c>
      <c r="EP200" s="59">
        <f t="shared" si="210"/>
        <v>200.0823542414671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119.92368874315393</v>
      </c>
      <c r="EW200" s="21">
        <f>EXP(-LN(2)/25)*EW199+(1-EXP(-LN(2)/25))/(LN(2)/25)*Calculateur!ER200*Calculateur!ET200*VLOOKUP('Données projet'!$B$15,Paramètres!$A$1:$I$89,3,0)*0.475*44/12</f>
        <v>36.050323427463319</v>
      </c>
      <c r="EX200" s="21">
        <f>EXP(-LN(2)/2)*EX199+(1-EXP(-LN(2)/2))/(LN(2)/2)*ER200*EU200*VLOOKUP('Données projet'!$B$15,Paramètres!$A$1:$I$89,3,0)*0.475*44/12</f>
        <v>0.8671021223418075</v>
      </c>
      <c r="EY200" s="22">
        <f t="shared" si="181"/>
        <v>156.84111429295905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2.5579538487363607E-13</v>
      </c>
      <c r="FF200" s="17">
        <f>FE200*VLOOKUP('Données projet'!$B$16,Paramètres!$A$1:$I$89,3,0)*VLOOKUP('Données projet'!$B$16,Paramètres!$A$1:$I$89,5,0)</f>
        <v>2.7533815227798186E-13</v>
      </c>
      <c r="FG200" s="13">
        <f t="shared" si="182"/>
        <v>3.6763598146902537E-12</v>
      </c>
      <c r="FH200" s="20">
        <f t="shared" si="183"/>
        <v>6.88254062580301E-12</v>
      </c>
      <c r="FI200" s="59">
        <f t="shared" si="199"/>
        <v>293.33333333334019</v>
      </c>
      <c r="FJ200" s="59">
        <f ca="1">AVERAGE(OFFSET($FI$3,0,0,'Données projet'!$E$16+1,1))-AVERAGE(OFFSET($H$3,0,0,'Données projet'!$E$16+1,1))</f>
        <v>415.8741608506952</v>
      </c>
      <c r="FK200" s="59">
        <f t="shared" si="211"/>
        <v>259.15848913719356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35.654451410891021</v>
      </c>
      <c r="FR200" s="21">
        <f>EXP(-LN(2)/25)*FR199+(1-EXP(-LN(2)/25))/(LN(2)/25)*Calculateur!FM200*Calculateur!FO200*VLOOKUP('Données projet'!$B$16,Paramètres!$A$1:$I$89,3,0)*0.475*44/12</f>
        <v>4.370047751243419</v>
      </c>
      <c r="FS200" s="21">
        <f>EXP(-LN(2)/2)*FS199+(1-EXP(-LN(2)/2))/(LN(2)/2)*FM200*FP200*VLOOKUP('Données projet'!$B$16,Paramètres!$A$1:$I$89,3,0)*0.475*44/12</f>
        <v>6.6682979974594667E-10</v>
      </c>
      <c r="FT200" s="22">
        <f t="shared" si="184"/>
        <v>40.02449916280127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2.5579538487363607E-13</v>
      </c>
      <c r="GA200" s="17">
        <f>FZ200*VLOOKUP('Données projet'!$B$17,Paramètres!$A$1:$I$89,3,0)*VLOOKUP('Données projet'!$B$17,Paramètres!$A$1:$I$89,5,0)</f>
        <v>2.1947244022157976E-13</v>
      </c>
      <c r="GB200" s="13">
        <f t="shared" si="185"/>
        <v>3.0088145886933343E-12</v>
      </c>
      <c r="GC200" s="20">
        <f t="shared" si="186"/>
        <v>5.6225999086934742E-12</v>
      </c>
      <c r="GD200" s="59">
        <f t="shared" si="200"/>
        <v>293.33333333333894</v>
      </c>
      <c r="GE200" s="59">
        <f ca="1">AVERAGE(OFFSET($GD$3,0,0,'Données projet'!$E$17+1,1))-AVERAGE(OFFSET($H$3,0,0,'Données projet'!$E$17+1,1))</f>
        <v>322.39807389980882</v>
      </c>
      <c r="GF200" s="59">
        <f t="shared" si="212"/>
        <v>202.59410055732792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35.029567193376238</v>
      </c>
      <c r="GM200" s="21">
        <f>EXP(-LN(2)/25)*GM199+(1-EXP(-LN(2)/25))/(LN(2)/25)*Calculateur!GH200*Calculateur!GJ200*VLOOKUP('Données projet'!$B$17,Paramètres!$A$1:$I$89,3,0)*0.475*44/12</f>
        <v>4.2934577670625442</v>
      </c>
      <c r="GN200" s="21">
        <f>EXP(-LN(2)/2)*GN199+(1-EXP(-LN(2)/2))/(LN(2)/2)*GH200*GK200*VLOOKUP('Données projet'!$B$17,Paramètres!$A$1:$I$89,3,0)*0.475*44/12</f>
        <v>5.3153099979749433E-10</v>
      </c>
      <c r="GO200" s="21">
        <f t="shared" si="187"/>
        <v>39.323024960970308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72.586799999999897</v>
      </c>
      <c r="D201" s="11">
        <f t="shared" si="202"/>
        <v>20.314488197199047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717.13275099592158</v>
      </c>
      <c r="H201" s="67">
        <f t="shared" si="192"/>
        <v>455.13641027678807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1.5961632016114892E-13</v>
      </c>
      <c r="P201" s="13">
        <f t="shared" si="203"/>
        <v>2.2708641912150958E-12</v>
      </c>
      <c r="Q201" s="20">
        <f t="shared" si="162"/>
        <v>4.2330868906469593E-12</v>
      </c>
      <c r="R201" s="59">
        <f t="shared" si="191"/>
        <v>293.33333333333752</v>
      </c>
      <c r="S201" s="59">
        <f ca="1">AVERAGE(OFFSET($R$3,0,0,'Données projet'!$E$9+1,1))-AVERAGE(OFFSET($H$3,0,0,'Données projet'!$E$9+1,1))</f>
        <v>215.77907571824977</v>
      </c>
      <c r="T201" s="59">
        <f t="shared" si="204"/>
        <v>174.69390149594869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22.517798099675275</v>
      </c>
      <c r="AA201" s="21">
        <f>EXP(-LN(2)/25)*AA200+(1-EXP(-LN(2)/25))/(LN(2)/25)*Calculateur!V201*Calculateur!X201*VLOOKUP('Données projet'!$B$9,Paramètres!$A$1:$I$89,3,0)*0.475*44/12</f>
        <v>3.5512017185555029</v>
      </c>
      <c r="AB201" s="21">
        <f>EXP(-LN(2)/2)*AB200+(1-EXP(-LN(2)/2))/(LN(2)/2)*V201*Y201*VLOOKUP('Données projet'!$B$9,Paramètres!$A$1:$I$89,3,0)*0.475*44/12</f>
        <v>1.2656361674052001E-12</v>
      </c>
      <c r="AC201" s="22">
        <f t="shared" si="163"/>
        <v>26.068999818232044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-1.0197709343628959E-13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171.701352621833</v>
      </c>
      <c r="AO201" s="59">
        <f t="shared" si="205"/>
        <v>195.58435749168586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6.9156173991820751</v>
      </c>
      <c r="AV201" s="21">
        <f>EXP(-LN(2)/25)*AV200+(1-EXP(-LN(2)/25))/(LN(2)/25)*Calculateur!AQ201*Calculateur!AS201*VLOOKUP('Données projet'!$B$10,Paramètres!$A$1:$I$89,3,0)*0.475*44/12</f>
        <v>0.86105472701372365</v>
      </c>
      <c r="AW201" s="21">
        <f>EXP(-LN(2)/2)*AW200+(1-EXP(-LN(2)/2))/(LN(2)/2)*AQ201*AT201*VLOOKUP('Données projet'!$B$10,Paramètres!$A$1:$I$89,3,0)*0.475*44/12</f>
        <v>1.5151361555906892E-19</v>
      </c>
      <c r="AX201" s="21">
        <f t="shared" si="166"/>
        <v>7.7766721261957983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-1.1823431123048067E-13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348.29124901999882</v>
      </c>
      <c r="BJ201" s="59">
        <f t="shared" si="206"/>
        <v>284.30034973939053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20.999705165513717</v>
      </c>
      <c r="BQ201" s="21">
        <f>EXP(-LN(2)/25)*BQ200+(1-EXP(-LN(2)/25))/(LN(2)/25)*Calculateur!BL201*Calculateur!BN201*VLOOKUP('Données projet'!$B$11,Paramètres!$A$1:$I$89,3,0)*0.475*44/12</f>
        <v>2.9513709832432937</v>
      </c>
      <c r="BR201" s="21">
        <f>EXP(-LN(2)/2)*BR200+(1-EXP(-LN(2)/2))/(LN(2)/2)*BL201*BO201*VLOOKUP('Données projet'!$B$11,Paramètres!$A$1:$I$89,3,0)*0.475*44/12</f>
        <v>1.4635343149001202E-16</v>
      </c>
      <c r="BS201" s="22">
        <f t="shared" si="169"/>
        <v>23.951076148757011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-1.3596945791505279E-13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185.82627135915504</v>
      </c>
      <c r="CE201" s="59">
        <f t="shared" si="207"/>
        <v>155.46126452522037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16.533301121303751</v>
      </c>
      <c r="CL201" s="21">
        <f>EXP(-LN(2)/25)*CL200+(1-EXP(-LN(2)/25))/(LN(2)/25)*Calculateur!CG201*Calculateur!CI201*VLOOKUP('Données projet'!$B$12,Paramètres!$A$1:$I$89,3,0)*0.475*44/12</f>
        <v>2.6339566920862176</v>
      </c>
      <c r="CM201" s="21">
        <f>EXP(-LN(2)/2)*CM200+(1-EXP(-LN(2)/2))/(LN(2)/2)*CG201*CJ201*VLOOKUP('Données projet'!$B$12,Paramètres!$A$1:$I$89,3,0)*0.475*44/12</f>
        <v>1.9249096560687276E-12</v>
      </c>
      <c r="CN201" s="22">
        <f t="shared" si="172"/>
        <v>19.167257813391895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-1.2789769243681803E-13</v>
      </c>
      <c r="CU201" s="17">
        <f>CT201*VLOOKUP('Données projet'!$B$13,Paramètres!$A$1:$I$89,3,0)*VLOOKUP('Données projet'!$B$13,Paramètres!$A$1:$I$89,5,0)</f>
        <v>-1.4733814168721438E-13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150.78964413039063</v>
      </c>
      <c r="CZ201" s="59">
        <f t="shared" si="208"/>
        <v>131.90332435966184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9.1269296413864858</v>
      </c>
      <c r="DG201" s="21">
        <f>EXP(-LN(2)/25)*DG200+(1-EXP(-LN(2)/25))/(LN(2)/25)*Calculateur!DB201*Calculateur!DD201*VLOOKUP('Données projet'!$B$13,Paramètres!$A$1:$I$89,3,0)*0.475*44/12</f>
        <v>2.8942985734897766</v>
      </c>
      <c r="DH201" s="21">
        <f>EXP(-LN(2)/2)*DH200+(1-EXP(-LN(2)/2))/(LN(2)/2)*DB201*DE201*VLOOKUP('Données projet'!$B$13,Paramètres!$A$1:$I$89,3,0)*0.475*44/12</f>
        <v>9.7362570689274621E-7</v>
      </c>
      <c r="DI201" s="22">
        <f t="shared" si="175"/>
        <v>12.02122918850197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-1.4210854715202004E-14</v>
      </c>
      <c r="DP201" s="17">
        <f>DO201*VLOOKUP('Données projet'!$B$14,Paramètres!$A$1:$I$89,3,0)*VLOOKUP('Données projet'!$B$14,Paramètres!$A$1:$I$89,5,0)</f>
        <v>-1.4853185348329136E-14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110.10595934547638</v>
      </c>
      <c r="DU201" s="59">
        <f t="shared" si="209"/>
        <v>131.10971921141493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2.4496230867201261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2.4496230867201261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-2.8819613362429665E-13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420.38735944595965</v>
      </c>
      <c r="EP201" s="59">
        <f t="shared" si="210"/>
        <v>200.0823542414671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117.57205835312823</v>
      </c>
      <c r="EW201" s="21">
        <f>EXP(-LN(2)/25)*EW200+(1-EXP(-LN(2)/25))/(LN(2)/25)*Calculateur!ER201*Calculateur!ET201*VLOOKUP('Données projet'!$B$15,Paramètres!$A$1:$I$89,3,0)*0.475*44/12</f>
        <v>35.064525437535217</v>
      </c>
      <c r="EX201" s="21">
        <f>EXP(-LN(2)/2)*EX200+(1-EXP(-LN(2)/2))/(LN(2)/2)*ER201*EU201*VLOOKUP('Données projet'!$B$15,Paramètres!$A$1:$I$89,3,0)*0.475*44/12</f>
        <v>0.61313379068913954</v>
      </c>
      <c r="EY201" s="22">
        <f t="shared" si="181"/>
        <v>153.2497175813526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2.5579538487363607E-13</v>
      </c>
      <c r="FF201" s="17">
        <f>FE201*VLOOKUP('Données projet'!$B$16,Paramètres!$A$1:$I$89,3,0)*VLOOKUP('Données projet'!$B$16,Paramètres!$A$1:$I$89,5,0)</f>
        <v>2.7533815227798186E-13</v>
      </c>
      <c r="FG201" s="13">
        <f t="shared" si="182"/>
        <v>3.6763598146902537E-12</v>
      </c>
      <c r="FH201" s="20">
        <f t="shared" si="183"/>
        <v>6.88254062580301E-12</v>
      </c>
      <c r="FI201" s="59">
        <f t="shared" si="199"/>
        <v>293.33333333334019</v>
      </c>
      <c r="FJ201" s="59">
        <f ca="1">AVERAGE(OFFSET($FI$3,0,0,'Données projet'!$E$16+1,1))-AVERAGE(OFFSET($H$3,0,0,'Données projet'!$E$16+1,1))</f>
        <v>415.8741608506952</v>
      </c>
      <c r="FK201" s="59">
        <f t="shared" si="211"/>
        <v>259.15848913719356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34.955289365791465</v>
      </c>
      <c r="FR201" s="21">
        <f>EXP(-LN(2)/25)*FR200+(1-EXP(-LN(2)/25))/(LN(2)/25)*Calculateur!FM201*Calculateur!FO201*VLOOKUP('Données projet'!$B$16,Paramètres!$A$1:$I$89,3,0)*0.475*44/12</f>
        <v>4.2505485656748441</v>
      </c>
      <c r="FS201" s="21">
        <f>EXP(-LN(2)/2)*FS200+(1-EXP(-LN(2)/2))/(LN(2)/2)*FM201*FP201*VLOOKUP('Données projet'!$B$16,Paramètres!$A$1:$I$89,3,0)*0.475*44/12</f>
        <v>4.7151987329762642E-10</v>
      </c>
      <c r="FT201" s="22">
        <f t="shared" si="184"/>
        <v>39.205837931937829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2.5579538487363607E-13</v>
      </c>
      <c r="GA201" s="17">
        <f>FZ201*VLOOKUP('Données projet'!$B$17,Paramètres!$A$1:$I$89,3,0)*VLOOKUP('Données projet'!$B$17,Paramètres!$A$1:$I$89,5,0)</f>
        <v>2.1947244022157976E-13</v>
      </c>
      <c r="GB201" s="13">
        <f t="shared" si="185"/>
        <v>3.0088145886933343E-12</v>
      </c>
      <c r="GC201" s="20">
        <f t="shared" si="186"/>
        <v>5.6225999086934742E-12</v>
      </c>
      <c r="GD201" s="59">
        <f t="shared" si="200"/>
        <v>293.33333333333894</v>
      </c>
      <c r="GE201" s="59">
        <f ca="1">AVERAGE(OFFSET($GD$3,0,0,'Données projet'!$E$17+1,1))-AVERAGE(OFFSET($H$3,0,0,'Données projet'!$E$17+1,1))</f>
        <v>322.39807389980882</v>
      </c>
      <c r="GF201" s="59">
        <f t="shared" si="212"/>
        <v>202.59410055732792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34.34265874664041</v>
      </c>
      <c r="GM201" s="21">
        <f>EXP(-LN(2)/25)*GM200+(1-EXP(-LN(2)/25))/(LN(2)/25)*Calculateur!GH201*Calculateur!GJ201*VLOOKUP('Données projet'!$B$17,Paramètres!$A$1:$I$89,3,0)*0.475*44/12</f>
        <v>4.1760529386390877</v>
      </c>
      <c r="GN201" s="21">
        <f>EXP(-LN(2)/2)*GN200+(1-EXP(-LN(2)/2))/(LN(2)/2)*GH201*GK201*VLOOKUP('Données projet'!$B$17,Paramètres!$A$1:$I$89,3,0)*0.475*44/12</f>
        <v>3.7584917436767367E-10</v>
      </c>
      <c r="GO201" s="21">
        <f t="shared" si="187"/>
        <v>38.518711685655347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72.953399999999903</v>
      </c>
      <c r="D202" s="11">
        <f t="shared" si="202"/>
        <v>20.4051175683285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720.66224087832461</v>
      </c>
      <c r="H202" s="67">
        <f t="shared" si="192"/>
        <v>455.93275143150527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1.5961632016114892E-13</v>
      </c>
      <c r="P202" s="13">
        <f t="shared" si="203"/>
        <v>2.2708641912150958E-12</v>
      </c>
      <c r="Q202" s="20">
        <f t="shared" si="162"/>
        <v>4.2330868906469593E-12</v>
      </c>
      <c r="R202" s="59">
        <f t="shared" si="191"/>
        <v>293.33333333333752</v>
      </c>
      <c r="S202" s="59">
        <f ca="1">AVERAGE(OFFSET($R$3,0,0,'Données projet'!$E$9+1,1))-AVERAGE(OFFSET($H$3,0,0,'Données projet'!$E$9+1,1))</f>
        <v>215.77907571824977</v>
      </c>
      <c r="T202" s="59">
        <f t="shared" si="204"/>
        <v>174.69390149594869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22.076237813441313</v>
      </c>
      <c r="AA202" s="21">
        <f>EXP(-LN(2)/25)*AA201+(1-EXP(-LN(2)/25))/(LN(2)/25)*Calculateur!V202*Calculateur!X202*VLOOKUP('Données projet'!$B$9,Paramètres!$A$1:$I$89,3,0)*0.475*44/12</f>
        <v>3.4540939208120207</v>
      </c>
      <c r="AB202" s="21">
        <f>EXP(-LN(2)/2)*AB201+(1-EXP(-LN(2)/2))/(LN(2)/2)*V202*Y202*VLOOKUP('Données projet'!$B$9,Paramètres!$A$1:$I$89,3,0)*0.475*44/12</f>
        <v>8.9493991648716946E-13</v>
      </c>
      <c r="AC202" s="22">
        <f t="shared" si="163"/>
        <v>25.530331734254229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-1.0197709343628959E-13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171.701352621833</v>
      </c>
      <c r="AO202" s="59">
        <f t="shared" si="205"/>
        <v>195.58435749168586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6.780006360094224</v>
      </c>
      <c r="AV202" s="21">
        <f>EXP(-LN(2)/25)*AV201+(1-EXP(-LN(2)/25))/(LN(2)/25)*Calculateur!AQ202*Calculateur!AS202*VLOOKUP('Données projet'!$B$10,Paramètres!$A$1:$I$89,3,0)*0.475*44/12</f>
        <v>0.83750914022263323</v>
      </c>
      <c r="AW202" s="21">
        <f>EXP(-LN(2)/2)*AW201+(1-EXP(-LN(2)/2))/(LN(2)/2)*AQ202*AT202*VLOOKUP('Données projet'!$B$10,Paramètres!$A$1:$I$89,3,0)*0.475*44/12</f>
        <v>1.0713630500390924E-19</v>
      </c>
      <c r="AX202" s="21">
        <f t="shared" si="166"/>
        <v>7.6175155003168573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-1.1823431123048067E-13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348.29124901999882</v>
      </c>
      <c r="BJ202" s="59">
        <f t="shared" si="206"/>
        <v>284.30034973939053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20.587913755773403</v>
      </c>
      <c r="BQ202" s="21">
        <f>EXP(-LN(2)/25)*BQ201+(1-EXP(-LN(2)/25))/(LN(2)/25)*Calculateur!BL202*Calculateur!BN202*VLOOKUP('Données projet'!$B$11,Paramètres!$A$1:$I$89,3,0)*0.475*44/12</f>
        <v>2.8706655885006511</v>
      </c>
      <c r="BR202" s="21">
        <f>EXP(-LN(2)/2)*BR201+(1-EXP(-LN(2)/2))/(LN(2)/2)*BL202*BO202*VLOOKUP('Données projet'!$B$11,Paramètres!$A$1:$I$89,3,0)*0.475*44/12</f>
        <v>1.034875038565083E-16</v>
      </c>
      <c r="BS202" s="22">
        <f t="shared" si="169"/>
        <v>23.458579344274053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-1.3596945791505279E-13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185.82627135915504</v>
      </c>
      <c r="CE202" s="59">
        <f t="shared" si="207"/>
        <v>155.46126452522037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16.209093170632926</v>
      </c>
      <c r="CL202" s="21">
        <f>EXP(-LN(2)/25)*CL201+(1-EXP(-LN(2)/25))/(LN(2)/25)*Calculateur!CG202*Calculateur!CI202*VLOOKUP('Données projet'!$B$12,Paramètres!$A$1:$I$89,3,0)*0.475*44/12</f>
        <v>2.5619310078273574</v>
      </c>
      <c r="CM202" s="21">
        <f>EXP(-LN(2)/2)*CM201+(1-EXP(-LN(2)/2))/(LN(2)/2)*CG202*CJ202*VLOOKUP('Données projet'!$B$12,Paramètres!$A$1:$I$89,3,0)*0.475*44/12</f>
        <v>1.3611166709776623E-12</v>
      </c>
      <c r="CN202" s="22">
        <f t="shared" si="172"/>
        <v>18.771024178461644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-1.2789769243681803E-13</v>
      </c>
      <c r="CU202" s="17">
        <f>CT202*VLOOKUP('Données projet'!$B$13,Paramètres!$A$1:$I$89,3,0)*VLOOKUP('Données projet'!$B$13,Paramètres!$A$1:$I$89,5,0)</f>
        <v>-1.4733814168721438E-13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150.78964413039063</v>
      </c>
      <c r="CZ202" s="59">
        <f t="shared" si="208"/>
        <v>131.90332435966184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8.947956117996295</v>
      </c>
      <c r="DG202" s="21">
        <f>EXP(-LN(2)/25)*DG201+(1-EXP(-LN(2)/25))/(LN(2)/25)*Calculateur!DB202*Calculateur!DD202*VLOOKUP('Données projet'!$B$13,Paramètres!$A$1:$I$89,3,0)*0.475*44/12</f>
        <v>2.8151538267931517</v>
      </c>
      <c r="DH202" s="21">
        <f>EXP(-LN(2)/2)*DH201+(1-EXP(-LN(2)/2))/(LN(2)/2)*DB202*DE202*VLOOKUP('Données projet'!$B$13,Paramètres!$A$1:$I$89,3,0)*0.475*44/12</f>
        <v>6.8845733968140677E-7</v>
      </c>
      <c r="DI202" s="22">
        <f t="shared" si="175"/>
        <v>11.763110633246786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-1.4210854715202004E-14</v>
      </c>
      <c r="DP202" s="17">
        <f>DO202*VLOOKUP('Données projet'!$B$14,Paramètres!$A$1:$I$89,3,0)*VLOOKUP('Données projet'!$B$14,Paramètres!$A$1:$I$89,5,0)</f>
        <v>-1.4853185348329136E-14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110.10595934547638</v>
      </c>
      <c r="DU202" s="59">
        <f t="shared" si="209"/>
        <v>131.10971921141493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2.382638014593685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2.382638014593685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-2.8819613362429665E-13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420.38735944595965</v>
      </c>
      <c r="EP202" s="59">
        <f t="shared" si="210"/>
        <v>200.0823542414671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115.26654200069802</v>
      </c>
      <c r="EW202" s="21">
        <f>EXP(-LN(2)/25)*EW201+(1-EXP(-LN(2)/25))/(LN(2)/25)*Calculateur!ER202*Calculateur!ET202*VLOOKUP('Données projet'!$B$15,Paramètres!$A$1:$I$89,3,0)*0.475*44/12</f>
        <v>34.105684145482563</v>
      </c>
      <c r="EX202" s="21">
        <f>EXP(-LN(2)/2)*EX201+(1-EXP(-LN(2)/2))/(LN(2)/2)*ER202*EU202*VLOOKUP('Données projet'!$B$15,Paramètres!$A$1:$I$89,3,0)*0.475*44/12</f>
        <v>0.43355106117090386</v>
      </c>
      <c r="EY202" s="22">
        <f t="shared" si="181"/>
        <v>149.8057772073515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2.5579538487363607E-13</v>
      </c>
      <c r="FF202" s="17">
        <f>FE202*VLOOKUP('Données projet'!$B$16,Paramètres!$A$1:$I$89,3,0)*VLOOKUP('Données projet'!$B$16,Paramètres!$A$1:$I$89,5,0)</f>
        <v>2.7533815227798186E-13</v>
      </c>
      <c r="FG202" s="13">
        <f t="shared" si="182"/>
        <v>3.6763598146902537E-12</v>
      </c>
      <c r="FH202" s="20">
        <f t="shared" si="183"/>
        <v>6.88254062580301E-12</v>
      </c>
      <c r="FI202" s="59">
        <f t="shared" si="199"/>
        <v>293.33333333334019</v>
      </c>
      <c r="FJ202" s="59">
        <f ca="1">AVERAGE(OFFSET($FI$3,0,0,'Données projet'!$E$16+1,1))-AVERAGE(OFFSET($H$3,0,0,'Données projet'!$E$16+1,1))</f>
        <v>415.8741608506952</v>
      </c>
      <c r="FK202" s="59">
        <f t="shared" si="211"/>
        <v>259.15848913719356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34.269837461949571</v>
      </c>
      <c r="FR202" s="21">
        <f>EXP(-LN(2)/25)*FR201+(1-EXP(-LN(2)/25))/(LN(2)/25)*Calculateur!FM202*Calculateur!FO202*VLOOKUP('Données projet'!$B$16,Paramètres!$A$1:$I$89,3,0)*0.475*44/12</f>
        <v>4.1343170916198311</v>
      </c>
      <c r="FS202" s="21">
        <f>EXP(-LN(2)/2)*FS201+(1-EXP(-LN(2)/2))/(LN(2)/2)*FM202*FP202*VLOOKUP('Données projet'!$B$16,Paramètres!$A$1:$I$89,3,0)*0.475*44/12</f>
        <v>3.3341489987297334E-10</v>
      </c>
      <c r="FT202" s="22">
        <f t="shared" si="184"/>
        <v>38.404154553902814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2.5579538487363607E-13</v>
      </c>
      <c r="GA202" s="17">
        <f>FZ202*VLOOKUP('Données projet'!$B$17,Paramètres!$A$1:$I$89,3,0)*VLOOKUP('Données projet'!$B$17,Paramètres!$A$1:$I$89,5,0)</f>
        <v>2.1947244022157976E-13</v>
      </c>
      <c r="GB202" s="13">
        <f t="shared" si="185"/>
        <v>3.0088145886933343E-12</v>
      </c>
      <c r="GC202" s="20">
        <f t="shared" si="186"/>
        <v>5.6225999086934742E-12</v>
      </c>
      <c r="GD202" s="59">
        <f t="shared" si="200"/>
        <v>293.33333333333894</v>
      </c>
      <c r="GE202" s="59">
        <f ca="1">AVERAGE(OFFSET($GD$3,0,0,'Données projet'!$E$17+1,1))-AVERAGE(OFFSET($H$3,0,0,'Données projet'!$E$17+1,1))</f>
        <v>322.39807389980882</v>
      </c>
      <c r="GF202" s="59">
        <f t="shared" si="212"/>
        <v>202.59410055732792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33.66922015557229</v>
      </c>
      <c r="GM202" s="21">
        <f>EXP(-LN(2)/25)*GM201+(1-EXP(-LN(2)/25))/(LN(2)/25)*Calculateur!GH202*Calculateur!GJ202*VLOOKUP('Données projet'!$B$17,Paramètres!$A$1:$I$89,3,0)*0.475*44/12</f>
        <v>4.0618585514229224</v>
      </c>
      <c r="GN202" s="21">
        <f>EXP(-LN(2)/2)*GN201+(1-EXP(-LN(2)/2))/(LN(2)/2)*GH202*GK202*VLOOKUP('Données projet'!$B$17,Paramètres!$A$1:$I$89,3,0)*0.475*44/12</f>
        <v>2.6576549989874716E-10</v>
      </c>
      <c r="GO202" s="21">
        <f t="shared" si="187"/>
        <v>37.731078707260977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73.319999999999908</v>
      </c>
      <c r="D203" s="11">
        <f t="shared" si="202"/>
        <v>20.495693943372039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724.19132166813426</v>
      </c>
      <c r="H203" s="67">
        <f t="shared" si="192"/>
        <v>456.7290002847061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1.5961632016114892E-13</v>
      </c>
      <c r="P203" s="13">
        <f t="shared" si="203"/>
        <v>2.2708641912150958E-12</v>
      </c>
      <c r="Q203" s="20">
        <f t="shared" si="162"/>
        <v>4.2330868906469593E-12</v>
      </c>
      <c r="R203" s="59">
        <f t="shared" si="191"/>
        <v>293.33333333333752</v>
      </c>
      <c r="S203" s="59">
        <f ca="1">AVERAGE(OFFSET($R$3,0,0,'Données projet'!$E$9+1,1))-AVERAGE(OFFSET($H$3,0,0,'Données projet'!$E$9+1,1))</f>
        <v>215.77907571824977</v>
      </c>
      <c r="T203" s="59">
        <f t="shared" si="204"/>
        <v>174.69390149594869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21.643336255095221</v>
      </c>
      <c r="AA203" s="21">
        <f>EXP(-LN(2)/25)*AA202+(1-EXP(-LN(2)/25))/(LN(2)/25)*Calculateur!V203*Calculateur!X203*VLOOKUP('Données projet'!$B$9,Paramètres!$A$1:$I$89,3,0)*0.475*44/12</f>
        <v>3.3596415409045113</v>
      </c>
      <c r="AB203" s="21">
        <f>EXP(-LN(2)/2)*AB202+(1-EXP(-LN(2)/2))/(LN(2)/2)*V203*Y203*VLOOKUP('Données projet'!$B$9,Paramètres!$A$1:$I$89,3,0)*0.475*44/12</f>
        <v>6.3281808370260014E-13</v>
      </c>
      <c r="AC203" s="22">
        <f t="shared" si="163"/>
        <v>25.002977796000366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-1.0197709343628959E-13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171.701352621833</v>
      </c>
      <c r="AO203" s="59">
        <f t="shared" si="205"/>
        <v>195.58435749168586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6.6470545707683195</v>
      </c>
      <c r="AV203" s="21">
        <f>EXP(-LN(2)/25)*AV202+(1-EXP(-LN(2)/25))/(LN(2)/25)*Calculateur!AQ203*Calculateur!AS203*VLOOKUP('Données projet'!$B$10,Paramètres!$A$1:$I$89,3,0)*0.475*44/12</f>
        <v>0.81460740874055382</v>
      </c>
      <c r="AW203" s="21">
        <f>EXP(-LN(2)/2)*AW202+(1-EXP(-LN(2)/2))/(LN(2)/2)*AQ203*AT203*VLOOKUP('Données projet'!$B$10,Paramètres!$A$1:$I$89,3,0)*0.475*44/12</f>
        <v>7.5756807779534471E-20</v>
      </c>
      <c r="AX203" s="21">
        <f t="shared" si="166"/>
        <v>7.4616619795088734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-1.1823431123048067E-13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348.29124901999882</v>
      </c>
      <c r="BJ203" s="59">
        <f t="shared" si="206"/>
        <v>284.30034973939053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20.184197324410139</v>
      </c>
      <c r="BQ203" s="21">
        <f>EXP(-LN(2)/25)*BQ202+(1-EXP(-LN(2)/25))/(LN(2)/25)*Calculateur!BL203*Calculateur!BN203*VLOOKUP('Données projet'!$B$11,Paramètres!$A$1:$I$89,3,0)*0.475*44/12</f>
        <v>2.7921670870213586</v>
      </c>
      <c r="BR203" s="21">
        <f>EXP(-LN(2)/2)*BR202+(1-EXP(-LN(2)/2))/(LN(2)/2)*BL203*BO203*VLOOKUP('Données projet'!$B$11,Paramètres!$A$1:$I$89,3,0)*0.475*44/12</f>
        <v>7.3176715745006008E-17</v>
      </c>
      <c r="BS203" s="22">
        <f t="shared" si="169"/>
        <v>22.976364411431497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-1.3596945791505279E-13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185.82627135915504</v>
      </c>
      <c r="CE203" s="59">
        <f t="shared" si="207"/>
        <v>155.46126452522037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15.89124274012743</v>
      </c>
      <c r="CL203" s="21">
        <f>EXP(-LN(2)/25)*CL202+(1-EXP(-LN(2)/25))/(LN(2)/25)*Calculateur!CG203*Calculateur!CI203*VLOOKUP('Données projet'!$B$12,Paramètres!$A$1:$I$89,3,0)*0.475*44/12</f>
        <v>2.4918748696922219</v>
      </c>
      <c r="CM203" s="21">
        <f>EXP(-LN(2)/2)*CM202+(1-EXP(-LN(2)/2))/(LN(2)/2)*CG203*CJ203*VLOOKUP('Données projet'!$B$12,Paramètres!$A$1:$I$89,3,0)*0.475*44/12</f>
        <v>9.6245482803436381E-13</v>
      </c>
      <c r="CN203" s="22">
        <f t="shared" si="172"/>
        <v>18.383117609820616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-1.2789769243681803E-13</v>
      </c>
      <c r="CU203" s="17">
        <f>CT203*VLOOKUP('Données projet'!$B$13,Paramètres!$A$1:$I$89,3,0)*VLOOKUP('Données projet'!$B$13,Paramètres!$A$1:$I$89,5,0)</f>
        <v>-1.4733814168721438E-13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150.78964413039063</v>
      </c>
      <c r="CZ203" s="59">
        <f t="shared" si="208"/>
        <v>131.90332435966184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8.7724921562367157</v>
      </c>
      <c r="DG203" s="21">
        <f>EXP(-LN(2)/25)*DG202+(1-EXP(-LN(2)/25))/(LN(2)/25)*Calculateur!DB203*Calculateur!DD203*VLOOKUP('Données projet'!$B$13,Paramètres!$A$1:$I$89,3,0)*0.475*44/12</f>
        <v>2.7381732973569872</v>
      </c>
      <c r="DH203" s="21">
        <f>EXP(-LN(2)/2)*DH202+(1-EXP(-LN(2)/2))/(LN(2)/2)*DB203*DE203*VLOOKUP('Données projet'!$B$13,Paramètres!$A$1:$I$89,3,0)*0.475*44/12</f>
        <v>4.868128534463731E-7</v>
      </c>
      <c r="DI203" s="22">
        <f t="shared" si="175"/>
        <v>11.510665940406556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-1.4210854715202004E-14</v>
      </c>
      <c r="DP203" s="17">
        <f>DO203*VLOOKUP('Données projet'!$B$14,Paramètres!$A$1:$I$89,3,0)*VLOOKUP('Données projet'!$B$14,Paramètres!$A$1:$I$89,5,0)</f>
        <v>-1.4853185348329136E-14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110.10595934547638</v>
      </c>
      <c r="DU203" s="59">
        <f t="shared" si="209"/>
        <v>131.10971921141493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2.3174846527871331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2.3174846527871331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-2.8819613362429665E-13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420.38735944595965</v>
      </c>
      <c r="EP203" s="59">
        <f t="shared" si="210"/>
        <v>200.0823542414671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113.00623541771284</v>
      </c>
      <c r="EW203" s="21">
        <f>EXP(-LN(2)/25)*EW202+(1-EXP(-LN(2)/25))/(LN(2)/25)*Calculateur!ER203*Calculateur!ET203*VLOOKUP('Données projet'!$B$15,Paramètres!$A$1:$I$89,3,0)*0.475*44/12</f>
        <v>33.173062418984365</v>
      </c>
      <c r="EX203" s="21">
        <f>EXP(-LN(2)/2)*EX202+(1-EXP(-LN(2)/2))/(LN(2)/2)*ER203*EU203*VLOOKUP('Données projet'!$B$15,Paramètres!$A$1:$I$89,3,0)*0.475*44/12</f>
        <v>0.30656689534456982</v>
      </c>
      <c r="EY203" s="22">
        <f t="shared" si="181"/>
        <v>146.48586473204176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2.5579538487363607E-13</v>
      </c>
      <c r="FF203" s="17">
        <f>FE203*VLOOKUP('Données projet'!$B$16,Paramètres!$A$1:$I$89,3,0)*VLOOKUP('Données projet'!$B$16,Paramètres!$A$1:$I$89,5,0)</f>
        <v>2.7533815227798186E-13</v>
      </c>
      <c r="FG203" s="13">
        <f t="shared" si="182"/>
        <v>3.6763598146902537E-12</v>
      </c>
      <c r="FH203" s="20">
        <f t="shared" si="183"/>
        <v>6.88254062580301E-12</v>
      </c>
      <c r="FI203" s="59">
        <f t="shared" si="199"/>
        <v>293.33333333334019</v>
      </c>
      <c r="FJ203" s="59">
        <f ca="1">AVERAGE(OFFSET($FI$3,0,0,'Données projet'!$E$16+1,1))-AVERAGE(OFFSET($H$3,0,0,'Données projet'!$E$16+1,1))</f>
        <v>415.8741608506952</v>
      </c>
      <c r="FK203" s="59">
        <f t="shared" si="211"/>
        <v>259.15848913719356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33.59782685185764</v>
      </c>
      <c r="FR203" s="21">
        <f>EXP(-LN(2)/25)*FR202+(1-EXP(-LN(2)/25))/(LN(2)/25)*Calculateur!FM203*Calculateur!FO203*VLOOKUP('Données projet'!$B$16,Paramètres!$A$1:$I$89,3,0)*0.475*44/12</f>
        <v>4.0212639733352002</v>
      </c>
      <c r="FS203" s="21">
        <f>EXP(-LN(2)/2)*FS202+(1-EXP(-LN(2)/2))/(LN(2)/2)*FM203*FP203*VLOOKUP('Données projet'!$B$16,Paramètres!$A$1:$I$89,3,0)*0.475*44/12</f>
        <v>2.3575993664881321E-10</v>
      </c>
      <c r="FT203" s="22">
        <f t="shared" si="184"/>
        <v>37.6190908254286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2.5579538487363607E-13</v>
      </c>
      <c r="GA203" s="17">
        <f>FZ203*VLOOKUP('Données projet'!$B$17,Paramètres!$A$1:$I$89,3,0)*VLOOKUP('Données projet'!$B$17,Paramètres!$A$1:$I$89,5,0)</f>
        <v>2.1947244022157976E-13</v>
      </c>
      <c r="GB203" s="13">
        <f t="shared" si="185"/>
        <v>3.0088145886933343E-12</v>
      </c>
      <c r="GC203" s="20">
        <f t="shared" si="186"/>
        <v>5.6225999086934742E-12</v>
      </c>
      <c r="GD203" s="59">
        <f t="shared" si="200"/>
        <v>293.33333333333894</v>
      </c>
      <c r="GE203" s="59">
        <f ca="1">AVERAGE(OFFSET($GD$3,0,0,'Données projet'!$E$17+1,1))-AVERAGE(OFFSET($H$3,0,0,'Données projet'!$E$17+1,1))</f>
        <v>322.39807389980882</v>
      </c>
      <c r="GF203" s="59">
        <f t="shared" si="212"/>
        <v>202.59410055732792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33.008987284518028</v>
      </c>
      <c r="GM203" s="21">
        <f>EXP(-LN(2)/25)*GM202+(1-EXP(-LN(2)/25))/(LN(2)/25)*Calculateur!GH203*Calculateur!GJ203*VLOOKUP('Données projet'!$B$17,Paramètres!$A$1:$I$89,3,0)*0.475*44/12</f>
        <v>3.9507868157304049</v>
      </c>
      <c r="GN203" s="21">
        <f>EXP(-LN(2)/2)*GN202+(1-EXP(-LN(2)/2))/(LN(2)/2)*GH203*GK203*VLOOKUP('Données projet'!$B$17,Paramètres!$A$1:$I$89,3,0)*0.475*44/12</f>
        <v>1.8792458718383683E-10</v>
      </c>
      <c r="GO203" s="21">
        <f t="shared" si="187"/>
        <v>36.959774100436356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1.1203305107380264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1.2274456314762281</v>
      </c>
      <c r="BA205" s="82">
        <f>EXP(LN('Données projet'!B88)/'Données projet'!A88)</f>
        <v>1.2363113100846621</v>
      </c>
      <c r="BV205" s="82">
        <f>EXP(LN('Données projet'!B114)/'Données projet'!A114)</f>
        <v>1.1255218490876011</v>
      </c>
      <c r="CQ205" s="82">
        <f>EXP(LN('Données projet'!B140)/'Données projet'!A140)</f>
        <v>1.3244971858276084</v>
      </c>
      <c r="DL205" s="82">
        <f>EXP(LN('Données projet'!B166)/'Données projet'!A166)</f>
        <v>1.1506294620840727</v>
      </c>
      <c r="EG205" s="82">
        <f>EXP(LN('Données projet'!B192)/'Données projet'!A192)</f>
        <v>1.0924684246274448</v>
      </c>
      <c r="FB205" s="82">
        <f>EXP(LN('Données projet'!B218)/'Données projet'!A218)</f>
        <v>1.141469227569226</v>
      </c>
      <c r="FW205" s="82">
        <f>EXP(LN('Données projet'!B244)/'Données projet'!A244)</f>
        <v>1.141469227569226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4" bestFit="1" customWidth="1"/>
    <col min="2" max="2" width="27.7304687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73046875" style="4" bestFit="1" customWidth="1"/>
    <col min="7" max="7" width="11.3984375" style="4" bestFit="1" customWidth="1"/>
    <col min="8" max="8" width="39" style="4" bestFit="1" customWidth="1"/>
    <col min="9" max="9" width="16.7304687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zoomScale="85" zoomScaleNormal="85" workbookViewId="0">
      <selection activeCell="N11" sqref="M11:N25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Cèdre de l'Atlas</v>
      </c>
      <c r="B6" s="146">
        <f>'Données projet'!D9</f>
        <v>1.431272727272727</v>
      </c>
      <c r="C6" s="147">
        <f ca="1">IF(OR('Données projet'!B9="",'Données projet'!C9="",'Données projet'!C9=0%),0,Calculateur!S3)</f>
        <v>215.77907571824977</v>
      </c>
      <c r="D6" s="147">
        <f>IF(OR('Données projet'!B9="",'Données projet'!C9="",'Données projet'!C9=0%),0,Calculateur!T3)</f>
        <v>174.69390149594869</v>
      </c>
      <c r="E6" s="147">
        <f ca="1">MIN(C6,D6)</f>
        <v>174.69390149594869</v>
      </c>
      <c r="F6" s="147">
        <f ca="1">E6*B6</f>
        <v>250.03461683201962</v>
      </c>
      <c r="G6" s="147">
        <f ca="1">F6*(100%-'Données projet'!$C$24)*(100%-'Données projet'!$C$25)*(100%-'Données projet'!$C$26)*(100%-'Données projet'!$C$27)</f>
        <v>191.27648187649501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191.27648187649501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Pin maritime</v>
      </c>
      <c r="B7" s="154">
        <f>'Données projet'!D10</f>
        <v>1.067129476584022</v>
      </c>
      <c r="C7" s="147">
        <f ca="1">IF(OR('Données projet'!B10="",'Données projet'!C10="",'Données projet'!C10=0%),0,Calculateur!AN3)</f>
        <v>171.701352621833</v>
      </c>
      <c r="D7" s="147">
        <f>IF(OR('Données projet'!B10="",'Données projet'!C10="",'Données projet'!C10=0%),0,Calculateur!AO3)</f>
        <v>195.58435749168586</v>
      </c>
      <c r="E7" s="147">
        <f t="shared" ref="E7:E15" ca="1" si="0">MIN(C7,D7)</f>
        <v>171.701352621833</v>
      </c>
      <c r="F7" s="147">
        <f t="shared" ref="F7:F15" ca="1" si="1">E7*B7</f>
        <v>183.22757455210524</v>
      </c>
      <c r="G7" s="147">
        <f ca="1">F7*(100%-'Données projet'!$C$24)*(100%-'Données projet'!$C$25)*(100%-'Données projet'!$C$26)*(100%-'Données projet'!$C$27)</f>
        <v>140.16909453236053</v>
      </c>
      <c r="H7" s="155">
        <f>IF(OR('Données projet'!B10="",'Données projet'!C10="",'Données projet'!C10=0%),0,AVERAGE(Calculateur!$AX$3:$AX$33)*B7)</f>
        <v>4.3814586537615137</v>
      </c>
      <c r="I7" s="149">
        <f>H7*(100%-'Données projet'!$C$24)*(100%-'Données projet'!$C$25)*(100%-'Données projet'!$C$26)*(100%-'Données projet'!$C$27)</f>
        <v>3.3518158701275582</v>
      </c>
      <c r="J7" s="150">
        <f>IF(OR('Données projet'!B10="",'Données projet'!C10="",'Données projet'!C10=0%),0,SUM(Calculateur!$AQ$3:$AQ$33)*VLOOKUP('Données projet'!$B$10,Paramètres!$A$1:$I$89,9,0)*B7)</f>
        <v>55.059078909090886</v>
      </c>
      <c r="K7" s="151">
        <f>J7*(100%-'Données projet'!$C$24)*(100%-'Données projet'!$C$25)*(100%-'Données projet'!$C$26)*(100%-'Données projet'!$C$27)</f>
        <v>42.120195365454528</v>
      </c>
      <c r="L7" s="152">
        <f t="shared" ref="L7:L15" ca="1" si="2">G7+I7+K7</f>
        <v>185.64110576794261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Cyprès de Provence</v>
      </c>
      <c r="B8" s="154">
        <f>'Données projet'!D11</f>
        <v>0.9902976</v>
      </c>
      <c r="C8" s="147">
        <f ca="1">IF(OR('Données projet'!B11="",'Données projet'!C11="",'Données projet'!C11=0%),0,Calculateur!BI3)</f>
        <v>348.29124901999882</v>
      </c>
      <c r="D8" s="147">
        <f>IF(OR('Données projet'!B11="",'Données projet'!C11="",'Données projet'!C11=0%),0,Calculateur!BJ3)</f>
        <v>284.30034973939053</v>
      </c>
      <c r="E8" s="147">
        <f t="shared" ca="1" si="0"/>
        <v>284.30034973939053</v>
      </c>
      <c r="F8" s="147">
        <f t="shared" ca="1" si="1"/>
        <v>281.54195402607905</v>
      </c>
      <c r="G8" s="147">
        <f ca="1">F8*(100%-'Données projet'!$C$24)*(100%-'Données projet'!$C$25)*(100%-'Données projet'!$C$26)*(100%-'Données projet'!$C$27)</f>
        <v>215.37959482995046</v>
      </c>
      <c r="H8" s="155">
        <f>IF(OR('Données projet'!B11="",'Données projet'!C11="",'Données projet'!C11=0%),0,AVERAGE(Calculateur!$BS$3:$BS$33)*B8)</f>
        <v>3.4952971467242522</v>
      </c>
      <c r="I8" s="149">
        <f>H8*(100%-'Données projet'!$C$24)*(100%-'Données projet'!$C$25)*(100%-'Données projet'!$C$26)*(100%-'Données projet'!$C$27)</f>
        <v>2.6739023172440528</v>
      </c>
      <c r="J8" s="150">
        <f>IF(OR('Données projet'!B11="",'Données projet'!C11="",'Données projet'!C11=0%),0,SUM(Calculateur!$BL$3:$BL$33)*VLOOKUP('Données projet'!$B$11,Paramètres!$A$1:$I$89,9,0)*B8)</f>
        <v>41.731140864000004</v>
      </c>
      <c r="K8" s="151">
        <f>J8*(100%-'Données projet'!$C$24)*(100%-'Données projet'!$C$25)*(100%-'Données projet'!$C$26)*(100%-'Données projet'!$C$27)</f>
        <v>31.924322760960003</v>
      </c>
      <c r="L8" s="152">
        <f t="shared" ca="1" si="2"/>
        <v>249.97781990815452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Pin de Salzmann</v>
      </c>
      <c r="B9" s="154">
        <f>'Données projet'!D12</f>
        <v>0.74906887052341586</v>
      </c>
      <c r="C9" s="147">
        <f ca="1">IF(OR('Données projet'!B12="",'Données projet'!C12="",'Données projet'!C12=0%),0,Calculateur!CD3)</f>
        <v>185.82627135915504</v>
      </c>
      <c r="D9" s="147">
        <f>IF(OR('Données projet'!B12="",'Données projet'!C12="",'Données projet'!C12=0%),0,Calculateur!CE3)</f>
        <v>155.46126452522037</v>
      </c>
      <c r="E9" s="147">
        <f t="shared" ca="1" si="0"/>
        <v>155.46126452522037</v>
      </c>
      <c r="F9" s="147">
        <f t="shared" ca="1" si="1"/>
        <v>116.4511938280488</v>
      </c>
      <c r="G9" s="147">
        <f ca="1">F9*(100%-'Données projet'!$C$24)*(100%-'Données projet'!$C$25)*(100%-'Données projet'!$C$26)*(100%-'Données projet'!$C$27)</f>
        <v>89.08516327845733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89.08516327845733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Pin pignon</v>
      </c>
      <c r="B10" s="154">
        <f>'Données projet'!D13</f>
        <v>0.74906887052341586</v>
      </c>
      <c r="C10" s="147">
        <f ca="1">IF(OR('Données projet'!B13="",'Données projet'!C13="",'Données projet'!C13=0%),0,Calculateur!CY3)</f>
        <v>150.78964413039063</v>
      </c>
      <c r="D10" s="147">
        <f>IF(OR('Données projet'!B13="",'Données projet'!C13="",'Données projet'!C13=0%),0,Calculateur!CZ3)</f>
        <v>131.90332435966184</v>
      </c>
      <c r="E10" s="147">
        <f t="shared" ca="1" si="0"/>
        <v>131.90332435966184</v>
      </c>
      <c r="F10" s="147">
        <f t="shared" ca="1" si="1"/>
        <v>98.804674196375657</v>
      </c>
      <c r="G10" s="147">
        <f ca="1">F10*(100%-'Données projet'!$C$24)*(100%-'Données projet'!$C$25)*(100%-'Données projet'!$C$26)*(100%-'Données projet'!$C$27)</f>
        <v>75.585575760227371</v>
      </c>
      <c r="H10" s="155">
        <f>IF(OR('Données projet'!B13="",'Données projet'!C13="",'Données projet'!C13=0%),0,AVERAGE(Calculateur!$DI$3:$DI$33)*B10)</f>
        <v>0.97580994128254128</v>
      </c>
      <c r="I10" s="149">
        <f>H10*(100%-'Données projet'!$C$24)*(100%-'Données projet'!$C$25)*(100%-'Données projet'!$C$26)*(100%-'Données projet'!$C$27)</f>
        <v>0.74649460508114407</v>
      </c>
      <c r="J10" s="150">
        <f>IF(OR('Données projet'!B13="",'Données projet'!C13="",'Données projet'!C13=0%),0,SUM(Calculateur!$DB$3:$DB$33)*VLOOKUP('Données projet'!$B$13,Paramètres!$A$1:$I$89,9,0)*B10)</f>
        <v>6.1446695655859278</v>
      </c>
      <c r="K10" s="151">
        <f>J10*(100%-'Données projet'!$C$24)*(100%-'Données projet'!$C$25)*(100%-'Données projet'!$C$26)*(100%-'Données projet'!$C$27)</f>
        <v>4.700672217673235</v>
      </c>
      <c r="L10" s="152">
        <f t="shared" ca="1" si="2"/>
        <v>81.03274258298174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Chêne chevelu</v>
      </c>
      <c r="B11" s="154">
        <f>'Données projet'!D14</f>
        <v>0.39576859504132234</v>
      </c>
      <c r="C11" s="147">
        <f ca="1">IF(OR('Données projet'!B14="",'Données projet'!C14="",'Données projet'!C14=0%),0,Calculateur!DT3)</f>
        <v>110.10595934547638</v>
      </c>
      <c r="D11" s="147">
        <f>IF(OR('Données projet'!B14="",'Données projet'!C14="",'Données projet'!C14=0%),0,Calculateur!DU3)</f>
        <v>131.10971921141493</v>
      </c>
      <c r="E11" s="147">
        <f t="shared" ca="1" si="0"/>
        <v>110.10595934547638</v>
      </c>
      <c r="F11" s="147">
        <f t="shared" ca="1" si="1"/>
        <v>43.576480835836144</v>
      </c>
      <c r="G11" s="147">
        <f ca="1">F11*(100%-'Données projet'!$C$24)*(100%-'Données projet'!$C$25)*(100%-'Données projet'!$C$26)*(100%-'Données projet'!$C$27)</f>
        <v>33.336007839414648</v>
      </c>
      <c r="H11" s="155">
        <f>IF(OR('Données projet'!B14="",'Données projet'!C14="",'Données projet'!C14=0%),0,AVERAGE(Calculateur!$ED$3:$ED$33)*B11)</f>
        <v>7.8975295075345578E-2</v>
      </c>
      <c r="I11" s="149">
        <f>H11*(100%-'Données projet'!$C$24)*(100%-'Données projet'!$C$25)*(100%-'Données projet'!$C$26)*(100%-'Données projet'!$C$27)</f>
        <v>6.0416100732639366E-2</v>
      </c>
      <c r="J11" s="150">
        <f>IF(OR('Données projet'!B14="",'Données projet'!C14="",'Données projet'!C14=0%),0,SUM(Calculateur!$DW$3:$DW$33)*VLOOKUP('Données projet'!$B$14,Paramètres!$A$1:$I$89,9,0)*B11)</f>
        <v>2.4735537190082644</v>
      </c>
      <c r="K11" s="151">
        <f>J11*(100%-'Données projet'!$C$24)*(100%-'Données projet'!$C$25)*(100%-'Données projet'!$C$26)*(100%-'Données projet'!$C$27)</f>
        <v>1.8922685950413223</v>
      </c>
      <c r="L11" s="152">
        <f t="shared" ca="1" si="2"/>
        <v>35.288692535188609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Chêne pubescent</v>
      </c>
      <c r="B12" s="154">
        <f>'Données projet'!D15</f>
        <v>0.39576859504132234</v>
      </c>
      <c r="C12" s="147">
        <f ca="1">IF(OR('Données projet'!B15="",'Données projet'!C15="",'Données projet'!C15=0%),0,Calculateur!EO3)</f>
        <v>420.38735944595965</v>
      </c>
      <c r="D12" s="147">
        <f>IF(OR('Données projet'!B15="",'Données projet'!C15="",'Données projet'!C15=0%),0,Calculateur!EP3)</f>
        <v>200.0823542414671</v>
      </c>
      <c r="E12" s="147">
        <f t="shared" ca="1" si="0"/>
        <v>200.0823542414671</v>
      </c>
      <c r="F12" s="147">
        <f t="shared" ca="1" si="1"/>
        <v>79.186312230705596</v>
      </c>
      <c r="G12" s="147">
        <f ca="1">F12*(100%-'Données projet'!$C$24)*(100%-'Données projet'!$C$25)*(100%-'Données projet'!$C$26)*(100%-'Données projet'!$C$27)</f>
        <v>60.577528856489778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60.577528856489778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>Cormier</v>
      </c>
      <c r="B13" s="154">
        <f>'Données projet'!D16</f>
        <v>0.26474931129476587</v>
      </c>
      <c r="C13" s="147">
        <f ca="1">IF(OR('Données projet'!B16="",'Données projet'!C16="",'Données projet'!C16=0%),0,Calculateur!FJ3)</f>
        <v>415.8741608506952</v>
      </c>
      <c r="D13" s="147">
        <f>IF(OR('Données projet'!B16="",'Données projet'!C16="",'Données projet'!C16=0%),0,Calculateur!FK3)</f>
        <v>259.15848913719356</v>
      </c>
      <c r="E13" s="147">
        <f t="shared" ca="1" si="0"/>
        <v>259.15848913719356</v>
      </c>
      <c r="F13" s="147">
        <f t="shared" ca="1" si="1"/>
        <v>68.61203151526405</v>
      </c>
      <c r="G13" s="147">
        <f ca="1">F13*(100%-'Données projet'!$C$24)*(100%-'Données projet'!$C$25)*(100%-'Données projet'!$C$26)*(100%-'Données projet'!$C$27)</f>
        <v>52.488204109176998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52.488204109176998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>Micocoulier de Provence</v>
      </c>
      <c r="B14" s="154">
        <f>'Données projet'!D17</f>
        <v>0.51684848484848478</v>
      </c>
      <c r="C14" s="147">
        <f ca="1">IF(OR('Données projet'!B17="",'Données projet'!C17="",'Données projet'!C17=0%),0,Calculateur!GE3)</f>
        <v>322.39807389980882</v>
      </c>
      <c r="D14" s="147">
        <f>IF(OR('Données projet'!B17="",'Données projet'!C17="",'Données projet'!C17=0%),0,Calculateur!GF3)</f>
        <v>202.59410055732792</v>
      </c>
      <c r="E14" s="147">
        <f t="shared" ca="1" si="0"/>
        <v>202.59410055732792</v>
      </c>
      <c r="F14" s="147">
        <f t="shared" ca="1" si="1"/>
        <v>104.7104539122965</v>
      </c>
      <c r="G14" s="147">
        <f ca="1">F14*(100%-'Données projet'!$C$24)*(100%-'Données projet'!$C$25)*(100%-'Données projet'!$C$26)*(100%-'Données projet'!$C$27)</f>
        <v>80.103497242906826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80.103497242906826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1226.1452919287308</v>
      </c>
      <c r="G16" s="166">
        <f t="shared" ca="1" si="3"/>
        <v>938.00114832547888</v>
      </c>
      <c r="H16" s="167">
        <f t="shared" si="3"/>
        <v>8.9315410368436527</v>
      </c>
      <c r="I16" s="167">
        <f t="shared" si="3"/>
        <v>6.8326288931853947</v>
      </c>
      <c r="J16" s="168">
        <f t="shared" si="3"/>
        <v>105.40844305768508</v>
      </c>
      <c r="K16" s="168">
        <f t="shared" si="3"/>
        <v>80.637458939129075</v>
      </c>
      <c r="L16" s="169">
        <f t="shared" ca="1" si="3"/>
        <v>1025.4712361577936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Pin maritime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Cyprès de Provence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Pin de Salzmann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Pin pignon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Chêne chevelu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>Micocoulier de Provence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25" sqref="F25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1" customWidth="1"/>
    <col min="7" max="7" width="17.59765625" style="1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758.61850001802338</v>
      </c>
      <c r="U10" s="178">
        <f>'Données projet'!D9</f>
        <v>1.431272727272727</v>
      </c>
      <c r="V10" s="177">
        <f>U10*T10</f>
        <v>1085.7899694803416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maritime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1236.350558514353</v>
      </c>
      <c r="U11" s="178">
        <f>'Données projet'!D10</f>
        <v>1.067129476584022</v>
      </c>
      <c r="V11" s="177">
        <f t="shared" ref="V11" si="0">U11*T11</f>
        <v>1319.3461243817849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Cyprès de Provence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1915.393492381294</v>
      </c>
      <c r="U12" s="178">
        <f>'Données projet'!D11</f>
        <v>0.9902976</v>
      </c>
      <c r="V12" s="177">
        <f t="shared" ref="V12:V19" si="1">U12*T12</f>
        <v>1896.8095785608136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de Salzmann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439.22448455072373</v>
      </c>
      <c r="U13" s="178">
        <f>'Données projet'!D12</f>
        <v>0.74906887052341586</v>
      </c>
      <c r="V13" s="177">
        <f t="shared" si="1"/>
        <v>329.00938854864012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pignon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109.64429416123215</v>
      </c>
      <c r="U14" s="178">
        <f>'Données projet'!D13</f>
        <v>0.74906887052341586</v>
      </c>
      <c r="V14" s="177">
        <f t="shared" si="1"/>
        <v>82.131127586691335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chevelu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167.29290562697119</v>
      </c>
      <c r="U15" s="178">
        <f>'Données projet'!D14</f>
        <v>0.39576859504132234</v>
      </c>
      <c r="V15" s="177">
        <f t="shared" si="1"/>
        <v>66.209278220366912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62</v>
      </c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139.60601077555623</v>
      </c>
      <c r="U16" s="178">
        <f>'Données projet'!D15</f>
        <v>0.39576859504132234</v>
      </c>
      <c r="V16" s="177">
        <f t="shared" si="1"/>
        <v>55.251674743965594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30.999999999999957</v>
      </c>
      <c r="O17" s="23"/>
      <c r="P17" s="23"/>
      <c r="Q17" s="234"/>
      <c r="R17" s="23"/>
      <c r="S17" s="36" t="str">
        <f>B231</f>
        <v>Cormier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466.61638382087847</v>
      </c>
      <c r="U17" s="178">
        <f>'Données projet'!D16</f>
        <v>0.26474931129476587</v>
      </c>
      <c r="V17" s="177">
        <f t="shared" si="1"/>
        <v>123.5363662554317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12</v>
      </c>
      <c r="O18" s="23"/>
      <c r="P18" s="23"/>
      <c r="Q18" s="234"/>
      <c r="R18" s="23"/>
      <c r="S18" s="36" t="str">
        <f>B262</f>
        <v>Micocoulier de Provence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466.61638382087847</v>
      </c>
      <c r="U18" s="178">
        <f>'Données projet'!D17</f>
        <v>0.51684848484848478</v>
      </c>
      <c r="V18" s="177">
        <f t="shared" si="1"/>
        <v>241.16997098330006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371.99999999999949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(55697.1-(4920+5576))/'Données projet'!C5</f>
        <v>6890.4115853658541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4920/'Données projet'!C5</f>
        <v>750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850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51</v>
      </c>
      <c r="B23" s="181">
        <f>'Données projet'!D36</f>
        <v>101.57999999999998</v>
      </c>
      <c r="C23" s="193">
        <v>17.774999999999999</v>
      </c>
      <c r="D23" s="182">
        <f>B23*C23</f>
        <v>1805.5844999999995</v>
      </c>
      <c r="E23" s="193">
        <v>60</v>
      </c>
      <c r="F23" s="230"/>
      <c r="H23" s="190">
        <v>5</v>
      </c>
      <c r="I23" s="191">
        <v>850</v>
      </c>
      <c r="J23" s="304">
        <f>SUM(I20:I23)*'Données projet'!C5</f>
        <v>61273.100000000006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-51921.475929149921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63</v>
      </c>
      <c r="B24" s="181">
        <f>'Données projet'!D37</f>
        <v>115.59000000000003</v>
      </c>
      <c r="C24" s="193">
        <v>30.374999999999996</v>
      </c>
      <c r="D24" s="182">
        <f t="shared" ref="D24:D42" si="2">B24*C24</f>
        <v>3511.0462500000008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159.3077014607311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75</v>
      </c>
      <c r="B25" s="181">
        <f>'Données projet'!D38</f>
        <v>93.759999999999991</v>
      </c>
      <c r="C25" s="193">
        <v>30.374999999999996</v>
      </c>
      <c r="D25" s="182">
        <f t="shared" si="2"/>
        <v>2847.9599999999996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-52080.783630610655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87</v>
      </c>
      <c r="B26" s="181">
        <f>'Données projet'!D39</f>
        <v>92.519999999999982</v>
      </c>
      <c r="C26" s="193">
        <v>30.374999999999996</v>
      </c>
      <c r="D26" s="182">
        <f t="shared" si="2"/>
        <v>2810.2949999999992</v>
      </c>
      <c r="E26" s="193">
        <v>60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99</v>
      </c>
      <c r="B27" s="181">
        <f>'Données projet'!D40</f>
        <v>222.86</v>
      </c>
      <c r="C27" s="193">
        <v>37.53</v>
      </c>
      <c r="D27" s="182">
        <f t="shared" si="2"/>
        <v>8363.9358000000011</v>
      </c>
      <c r="E27" s="193">
        <v>60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109</v>
      </c>
      <c r="B28" s="181">
        <f>'Données projet'!D41</f>
        <v>290.11</v>
      </c>
      <c r="C28" s="193">
        <v>37.53</v>
      </c>
      <c r="D28" s="182">
        <f t="shared" si="2"/>
        <v>10887.828300000001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Pin maritime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24</v>
      </c>
      <c r="B54" s="181">
        <f>'Données projet'!D62</f>
        <v>49.61999999999999</v>
      </c>
      <c r="C54" s="191">
        <v>8</v>
      </c>
      <c r="D54" s="179">
        <f>B54*C54</f>
        <v>396.95999999999992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30</v>
      </c>
      <c r="B55" s="181">
        <f>'Données projet'!D63</f>
        <v>37.829999999999984</v>
      </c>
      <c r="C55" s="191">
        <v>13.125</v>
      </c>
      <c r="D55" s="179">
        <f t="shared" ref="D55:D73" si="4">B55*C55</f>
        <v>496.51874999999978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38</v>
      </c>
      <c r="B56" s="181">
        <f>'Données projet'!D64</f>
        <v>54.399999999999977</v>
      </c>
      <c r="C56" s="191">
        <v>24.5</v>
      </c>
      <c r="D56" s="179">
        <f t="shared" si="4"/>
        <v>1332.7999999999995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46</v>
      </c>
      <c r="B57" s="181">
        <f>'Données projet'!D65</f>
        <v>65.679999999999978</v>
      </c>
      <c r="C57" s="191">
        <v>24.5</v>
      </c>
      <c r="D57" s="179">
        <f t="shared" si="4"/>
        <v>1609.1599999999994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54</v>
      </c>
      <c r="B58" s="181">
        <f>'Données projet'!D66</f>
        <v>72.400000000000006</v>
      </c>
      <c r="C58" s="191">
        <v>24.5</v>
      </c>
      <c r="D58" s="179">
        <f t="shared" si="4"/>
        <v>1773.8000000000002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62</v>
      </c>
      <c r="B59" s="181">
        <f>'Données projet'!D67</f>
        <v>325.44</v>
      </c>
      <c r="C59" s="191">
        <v>24.5</v>
      </c>
      <c r="D59" s="179">
        <f t="shared" si="4"/>
        <v>7973.28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Cyprès de Provence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25</v>
      </c>
      <c r="B85" s="181">
        <f>'Données projet'!D88</f>
        <v>42</v>
      </c>
      <c r="C85" s="191">
        <v>13.396875</v>
      </c>
      <c r="D85" s="179">
        <f>B85*C85</f>
        <v>562.66874999999993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30</v>
      </c>
      <c r="B86" s="181">
        <f>'Données projet'!D89</f>
        <v>56</v>
      </c>
      <c r="C86" s="191">
        <v>13.396875</v>
      </c>
      <c r="D86" s="179">
        <f t="shared" ref="D86:D104" si="6">B86*C86</f>
        <v>750.22500000000002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35</v>
      </c>
      <c r="B87" s="181">
        <f>'Données projet'!D90</f>
        <v>56</v>
      </c>
      <c r="C87" s="191">
        <v>13.396875</v>
      </c>
      <c r="D87" s="179">
        <f t="shared" si="6"/>
        <v>750.22500000000002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40</v>
      </c>
      <c r="B88" s="181">
        <f>'Données projet'!D91</f>
        <v>56</v>
      </c>
      <c r="C88" s="191">
        <v>13.396875</v>
      </c>
      <c r="D88" s="179">
        <f t="shared" si="6"/>
        <v>750.22500000000002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45</v>
      </c>
      <c r="B89" s="181">
        <f>'Données projet'!D92</f>
        <v>56</v>
      </c>
      <c r="C89" s="191">
        <v>13.396875</v>
      </c>
      <c r="D89" s="179">
        <f t="shared" si="6"/>
        <v>750.22500000000002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50</v>
      </c>
      <c r="B90" s="181">
        <f>'Données projet'!D93</f>
        <v>56</v>
      </c>
      <c r="C90" s="191">
        <v>29.599999999999998</v>
      </c>
      <c r="D90" s="179">
        <f t="shared" si="6"/>
        <v>1657.6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55</v>
      </c>
      <c r="B91" s="181">
        <f>'Données projet'!D94</f>
        <v>56</v>
      </c>
      <c r="C91" s="191">
        <v>29.599999999999998</v>
      </c>
      <c r="D91" s="179">
        <f t="shared" si="6"/>
        <v>1657.6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60</v>
      </c>
      <c r="B92" s="181">
        <f>'Données projet'!D95</f>
        <v>50</v>
      </c>
      <c r="C92" s="191">
        <v>29.599999999999998</v>
      </c>
      <c r="D92" s="179">
        <f t="shared" si="6"/>
        <v>1480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65</v>
      </c>
      <c r="B93" s="181">
        <f>'Données projet'!D96</f>
        <v>44</v>
      </c>
      <c r="C93" s="191">
        <v>29.599999999999998</v>
      </c>
      <c r="D93" s="179">
        <f t="shared" si="6"/>
        <v>1302.3999999999999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70</v>
      </c>
      <c r="B94" s="181">
        <f>'Données projet'!D97</f>
        <v>41</v>
      </c>
      <c r="C94" s="191">
        <v>29.599999999999998</v>
      </c>
      <c r="D94" s="179">
        <f t="shared" si="6"/>
        <v>1213.5999999999999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75</v>
      </c>
      <c r="B95" s="181">
        <f>'Données projet'!D98</f>
        <v>39</v>
      </c>
      <c r="C95" s="191">
        <v>29.599999999999998</v>
      </c>
      <c r="D95" s="179">
        <f t="shared" si="6"/>
        <v>1154.3999999999999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80</v>
      </c>
      <c r="B96" s="181">
        <f>'Données projet'!D99</f>
        <v>708</v>
      </c>
      <c r="C96" s="191">
        <v>29.599999999999998</v>
      </c>
      <c r="D96" s="179">
        <f t="shared" si="6"/>
        <v>20956.8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Pin de Salzmann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45</v>
      </c>
      <c r="B116" s="181">
        <f>'Données projet'!D114</f>
        <v>74.240000000000009</v>
      </c>
      <c r="C116" s="191">
        <v>13.125</v>
      </c>
      <c r="D116" s="179">
        <f>B116*C116</f>
        <v>974.40000000000009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60</v>
      </c>
      <c r="B117" s="181">
        <f>'Données projet'!D115</f>
        <v>71.980000000000018</v>
      </c>
      <c r="C117" s="191">
        <v>24.5</v>
      </c>
      <c r="D117" s="179">
        <f t="shared" ref="D117:D135" si="8">B117*C117</f>
        <v>1763.5100000000004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75</v>
      </c>
      <c r="B118" s="181">
        <f>'Données projet'!D116</f>
        <v>75.489999999999981</v>
      </c>
      <c r="C118" s="191">
        <v>24.5</v>
      </c>
      <c r="D118" s="179">
        <f t="shared" si="8"/>
        <v>1849.5049999999994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90</v>
      </c>
      <c r="B119" s="181">
        <f>'Données projet'!D117</f>
        <v>66.27000000000001</v>
      </c>
      <c r="C119" s="191">
        <v>24.5</v>
      </c>
      <c r="D119" s="179">
        <f t="shared" si="8"/>
        <v>1623.6150000000002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100</v>
      </c>
      <c r="B120" s="181">
        <f>'Données projet'!D118</f>
        <v>92.989999999999981</v>
      </c>
      <c r="C120" s="191">
        <v>24.5</v>
      </c>
      <c r="D120" s="179">
        <f t="shared" si="8"/>
        <v>2278.2549999999997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110</v>
      </c>
      <c r="B121" s="181">
        <f>'Données projet'!D119</f>
        <v>247.1</v>
      </c>
      <c r="C121" s="191">
        <v>35.5</v>
      </c>
      <c r="D121" s="179">
        <f t="shared" si="8"/>
        <v>8772.0499999999993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Pin pignon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10</v>
      </c>
      <c r="B147" s="175">
        <f>'Données projet'!D140</f>
        <v>3</v>
      </c>
      <c r="C147" s="191">
        <v>13.396875</v>
      </c>
      <c r="D147" s="182">
        <f>B147*C147</f>
        <v>40.190624999999997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20</v>
      </c>
      <c r="B148" s="175">
        <f>'Données projet'!D141</f>
        <v>6.8461538461538458</v>
      </c>
      <c r="C148" s="191">
        <v>13.396875</v>
      </c>
      <c r="D148" s="182">
        <f t="shared" ref="D148:D166" si="10">B148*C148</f>
        <v>91.717067307692304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30</v>
      </c>
      <c r="B149" s="175">
        <f>'Données projet'!D142</f>
        <v>9.2307692307692299</v>
      </c>
      <c r="C149" s="191">
        <v>13.396875</v>
      </c>
      <c r="D149" s="182">
        <f t="shared" si="10"/>
        <v>123.66346153846152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40</v>
      </c>
      <c r="B150" s="175">
        <f>'Données projet'!D143</f>
        <v>11.153846153846153</v>
      </c>
      <c r="C150" s="191">
        <v>13.396875</v>
      </c>
      <c r="D150" s="182">
        <f t="shared" si="10"/>
        <v>149.42668269230768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50</v>
      </c>
      <c r="B151" s="175">
        <f>'Données projet'!D144</f>
        <v>11.615384615384615</v>
      </c>
      <c r="C151" s="191">
        <v>24.9</v>
      </c>
      <c r="D151" s="182">
        <f t="shared" si="10"/>
        <v>289.22307692307692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60</v>
      </c>
      <c r="B152" s="175">
        <f>'Données projet'!D145</f>
        <v>12.384615384615385</v>
      </c>
      <c r="C152" s="191">
        <v>24.9</v>
      </c>
      <c r="D152" s="182">
        <f t="shared" si="10"/>
        <v>308.37692307692305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70</v>
      </c>
      <c r="B153" s="175">
        <f>'Données projet'!D146</f>
        <v>12.076923076923077</v>
      </c>
      <c r="C153" s="191">
        <v>24.9</v>
      </c>
      <c r="D153" s="182">
        <f t="shared" si="10"/>
        <v>300.71538461538461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80</v>
      </c>
      <c r="B154" s="175">
        <f>'Données projet'!D147</f>
        <v>12.384615384615385</v>
      </c>
      <c r="C154" s="191">
        <v>24.9</v>
      </c>
      <c r="D154" s="182">
        <f t="shared" si="10"/>
        <v>308.37692307692305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90</v>
      </c>
      <c r="B155" s="175">
        <f>'Données projet'!D148</f>
        <v>11.846153846153847</v>
      </c>
      <c r="C155" s="191">
        <v>24.9</v>
      </c>
      <c r="D155" s="182">
        <f t="shared" si="10"/>
        <v>294.96923076923076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100</v>
      </c>
      <c r="B156" s="175">
        <f>'Données projet'!D149</f>
        <v>11.23076923076923</v>
      </c>
      <c r="C156" s="191">
        <v>24.9</v>
      </c>
      <c r="D156" s="182">
        <f t="shared" si="10"/>
        <v>279.64615384615382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110</v>
      </c>
      <c r="B157" s="175">
        <f>'Données projet'!D150</f>
        <v>10.692307692307692</v>
      </c>
      <c r="C157" s="191">
        <v>24.9</v>
      </c>
      <c r="D157" s="182">
        <f t="shared" si="10"/>
        <v>266.23846153846148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120</v>
      </c>
      <c r="B158" s="175">
        <f>'Données projet'!D151</f>
        <v>10.153846153846153</v>
      </c>
      <c r="C158" s="191">
        <v>24.9</v>
      </c>
      <c r="D158" s="182">
        <f t="shared" si="10"/>
        <v>252.83076923076919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130</v>
      </c>
      <c r="B159" s="175">
        <f>'Données projet'!D152</f>
        <v>9.615384615384615</v>
      </c>
      <c r="C159" s="191">
        <v>24.9</v>
      </c>
      <c r="D159" s="182">
        <f t="shared" si="10"/>
        <v>239.42307692307691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140</v>
      </c>
      <c r="B160" s="175">
        <f>'Données projet'!D153</f>
        <v>9.0769230769230766</v>
      </c>
      <c r="C160" s="191">
        <v>24.9</v>
      </c>
      <c r="D160" s="182">
        <f t="shared" si="10"/>
        <v>226.01538461538459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150</v>
      </c>
      <c r="B161" s="175">
        <f>'Données projet'!D154</f>
        <v>115.30769230769231</v>
      </c>
      <c r="C161" s="191">
        <v>30.5</v>
      </c>
      <c r="D161" s="182">
        <f t="shared" si="10"/>
        <v>3516.8846153846152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Chêne chevelu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30</v>
      </c>
      <c r="B178" s="181">
        <f>'Données projet'!D166</f>
        <v>25</v>
      </c>
      <c r="C178" s="193">
        <v>13.5625</v>
      </c>
      <c r="D178" s="179">
        <f>B178*C178</f>
        <v>339.0625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35</v>
      </c>
      <c r="B179" s="181">
        <f>'Données projet'!D167</f>
        <v>7.6923076923076916</v>
      </c>
      <c r="C179" s="193">
        <v>13.5625</v>
      </c>
      <c r="D179" s="179">
        <f t="shared" ref="D179:D197" si="11">B179*C179</f>
        <v>104.32692307692307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40</v>
      </c>
      <c r="B180" s="181">
        <f>'Données projet'!D168</f>
        <v>7.6923076923076916</v>
      </c>
      <c r="C180" s="193">
        <v>13.5625</v>
      </c>
      <c r="D180" s="179">
        <f t="shared" si="11"/>
        <v>104.32692307692307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45</v>
      </c>
      <c r="B181" s="181">
        <f>'Données projet'!D169</f>
        <v>7.6923076923076916</v>
      </c>
      <c r="C181" s="193">
        <v>13.5625</v>
      </c>
      <c r="D181" s="179">
        <f t="shared" si="11"/>
        <v>104.32692307692307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50</v>
      </c>
      <c r="B182" s="181">
        <f>'Données projet'!D170</f>
        <v>7.0512820512820511</v>
      </c>
      <c r="C182" s="193">
        <v>13.5625</v>
      </c>
      <c r="D182" s="179">
        <f t="shared" si="11"/>
        <v>95.633012820512818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55</v>
      </c>
      <c r="B183" s="181">
        <f>'Données projet'!D171</f>
        <v>7.0512820512820511</v>
      </c>
      <c r="C183" s="193">
        <v>13.5625</v>
      </c>
      <c r="D183" s="179">
        <f t="shared" si="11"/>
        <v>95.633012820512818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60</v>
      </c>
      <c r="B184" s="181">
        <f>'Données projet'!D172</f>
        <v>6.4102564102564097</v>
      </c>
      <c r="C184" s="193">
        <v>13.5625</v>
      </c>
      <c r="D184" s="179">
        <f t="shared" si="11"/>
        <v>86.939102564102555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65</v>
      </c>
      <c r="B185" s="181">
        <f>'Données projet'!D173</f>
        <v>5.7692307692307692</v>
      </c>
      <c r="C185" s="193">
        <v>13.5625</v>
      </c>
      <c r="D185" s="179">
        <f t="shared" si="11"/>
        <v>78.245192307692307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70</v>
      </c>
      <c r="B186" s="181">
        <f>'Données projet'!D174</f>
        <v>5.7692307692307692</v>
      </c>
      <c r="C186" s="193">
        <v>13.5625</v>
      </c>
      <c r="D186" s="179">
        <f t="shared" si="11"/>
        <v>78.245192307692307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75</v>
      </c>
      <c r="B187" s="181">
        <f>'Données projet'!D175</f>
        <v>5.1282051282051277</v>
      </c>
      <c r="C187" s="193">
        <v>32.787500000000001</v>
      </c>
      <c r="D187" s="179">
        <f t="shared" si="11"/>
        <v>168.14102564102564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80</v>
      </c>
      <c r="B188" s="181">
        <f>'Données projet'!D176</f>
        <v>5.1282051282051277</v>
      </c>
      <c r="C188" s="193">
        <v>32.787500000000001</v>
      </c>
      <c r="D188" s="179">
        <f t="shared" si="11"/>
        <v>168.14102564102564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85</v>
      </c>
      <c r="B189" s="181">
        <f>'Données projet'!D177</f>
        <v>5.1282051282051277</v>
      </c>
      <c r="C189" s="193">
        <v>32.787500000000001</v>
      </c>
      <c r="D189" s="179">
        <f t="shared" si="11"/>
        <v>168.14102564102564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90</v>
      </c>
      <c r="B190" s="181">
        <f>'Données projet'!D178</f>
        <v>5.1282051282051277</v>
      </c>
      <c r="C190" s="193">
        <v>32.787500000000001</v>
      </c>
      <c r="D190" s="179">
        <f t="shared" si="11"/>
        <v>168.14102564102564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95</v>
      </c>
      <c r="B191" s="181">
        <f>'Données projet'!D179</f>
        <v>5.7692307692307692</v>
      </c>
      <c r="C191" s="193">
        <v>32.787500000000001</v>
      </c>
      <c r="D191" s="179">
        <f t="shared" si="11"/>
        <v>189.15865384615384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100</v>
      </c>
      <c r="B192" s="181">
        <f>'Données projet'!D180</f>
        <v>113.46153846153845</v>
      </c>
      <c r="C192" s="193">
        <v>32.787500000000001</v>
      </c>
      <c r="D192" s="179">
        <f t="shared" si="11"/>
        <v>3720.1201923076924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60</v>
      </c>
      <c r="B209" s="181">
        <f>'Données projet'!D192</f>
        <v>72.87</v>
      </c>
      <c r="C209" s="193">
        <v>12</v>
      </c>
      <c r="D209" s="179">
        <f>B209*C209</f>
        <v>874.44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69</v>
      </c>
      <c r="B210" s="181">
        <f>'Données projet'!D193</f>
        <v>42.22</v>
      </c>
      <c r="C210" s="193">
        <v>12</v>
      </c>
      <c r="D210" s="179">
        <f t="shared" ref="D210:D228" si="12">B210*C210</f>
        <v>506.64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77</v>
      </c>
      <c r="B211" s="181">
        <f>'Données projet'!D194</f>
        <v>33.950000000000017</v>
      </c>
      <c r="C211" s="193">
        <v>12</v>
      </c>
      <c r="D211" s="179">
        <f t="shared" si="12"/>
        <v>407.4000000000002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86</v>
      </c>
      <c r="B212" s="181">
        <f>'Données projet'!D195</f>
        <v>37.54000000000002</v>
      </c>
      <c r="C212" s="193">
        <v>12</v>
      </c>
      <c r="D212" s="179">
        <f t="shared" si="12"/>
        <v>450.48000000000025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95</v>
      </c>
      <c r="B213" s="181">
        <f>'Données projet'!D196</f>
        <v>42.199999999999989</v>
      </c>
      <c r="C213" s="193">
        <v>12</v>
      </c>
      <c r="D213" s="179">
        <f t="shared" si="12"/>
        <v>506.39999999999986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104</v>
      </c>
      <c r="B214" s="181">
        <f>'Données projet'!D197</f>
        <v>39.400000000000006</v>
      </c>
      <c r="C214" s="193">
        <v>23</v>
      </c>
      <c r="D214" s="179">
        <f t="shared" si="12"/>
        <v>906.20000000000016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113</v>
      </c>
      <c r="B215" s="181">
        <f>'Données projet'!D198</f>
        <v>41.639999999999986</v>
      </c>
      <c r="C215" s="193">
        <v>23</v>
      </c>
      <c r="D215" s="179">
        <f t="shared" si="12"/>
        <v>957.71999999999969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122</v>
      </c>
      <c r="B216" s="181">
        <f>'Données projet'!D199</f>
        <v>45.829999999999984</v>
      </c>
      <c r="C216" s="193">
        <v>23</v>
      </c>
      <c r="D216" s="179">
        <f t="shared" si="12"/>
        <v>1054.0899999999997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132</v>
      </c>
      <c r="B217" s="181">
        <f>'Données projet'!D200</f>
        <v>48.699999999999989</v>
      </c>
      <c r="C217" s="193">
        <v>23</v>
      </c>
      <c r="D217" s="179">
        <f t="shared" si="12"/>
        <v>1120.0999999999997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144</v>
      </c>
      <c r="B218" s="181">
        <f>'Données projet'!D201</f>
        <v>60.949999999999989</v>
      </c>
      <c r="C218" s="193">
        <v>23</v>
      </c>
      <c r="D218" s="179">
        <f t="shared" si="12"/>
        <v>1401.8499999999997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156</v>
      </c>
      <c r="B219" s="181">
        <f>'Données projet'!D202</f>
        <v>65.69</v>
      </c>
      <c r="C219" s="193">
        <v>23</v>
      </c>
      <c r="D219" s="179">
        <f t="shared" si="12"/>
        <v>1510.87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168</v>
      </c>
      <c r="B220" s="181">
        <f>'Données projet'!D203</f>
        <v>71.37</v>
      </c>
      <c r="C220" s="193">
        <v>23</v>
      </c>
      <c r="D220" s="179">
        <f t="shared" si="12"/>
        <v>1641.5100000000002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180</v>
      </c>
      <c r="B221" s="181">
        <f>'Données projet'!D204</f>
        <v>175.59000000000003</v>
      </c>
      <c r="C221" s="193">
        <v>36</v>
      </c>
      <c r="D221" s="179">
        <f t="shared" si="12"/>
        <v>6321.2400000000016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184</v>
      </c>
      <c r="B222" s="181">
        <f>'Données projet'!D205</f>
        <v>101.19999999999999</v>
      </c>
      <c r="C222" s="193">
        <v>36</v>
      </c>
      <c r="D222" s="179">
        <f t="shared" si="12"/>
        <v>3643.2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188</v>
      </c>
      <c r="B223" s="181">
        <f>'Données projet'!D206</f>
        <v>72.180000000000007</v>
      </c>
      <c r="C223" s="193">
        <v>36</v>
      </c>
      <c r="D223" s="179">
        <f t="shared" si="12"/>
        <v>2598.4800000000005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191</v>
      </c>
      <c r="B224" s="181">
        <f>'Données projet'!D207</f>
        <v>145.01</v>
      </c>
      <c r="C224" s="193">
        <v>36</v>
      </c>
      <c r="D224" s="179">
        <f t="shared" si="12"/>
        <v>5220.3599999999997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>Cormier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38</v>
      </c>
      <c r="B240" s="181">
        <f>'Données projet'!D218</f>
        <v>71.569999999999993</v>
      </c>
      <c r="C240" s="193">
        <v>12</v>
      </c>
      <c r="D240" s="179">
        <f>B240*C240</f>
        <v>858.83999999999992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45</v>
      </c>
      <c r="B241" s="181">
        <f>'Données projet'!D219</f>
        <v>41.69</v>
      </c>
      <c r="C241" s="193">
        <v>12</v>
      </c>
      <c r="D241" s="179">
        <f t="shared" ref="D241:D259" si="13">B241*C241</f>
        <v>500.28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52</v>
      </c>
      <c r="B242" s="181">
        <f>'Données projet'!D220</f>
        <v>44.400000000000006</v>
      </c>
      <c r="C242" s="193">
        <v>12</v>
      </c>
      <c r="D242" s="179">
        <f t="shared" si="13"/>
        <v>532.80000000000007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59</v>
      </c>
      <c r="B243" s="181">
        <f>'Données projet'!D221</f>
        <v>41.81</v>
      </c>
      <c r="C243" s="193">
        <v>12</v>
      </c>
      <c r="D243" s="179">
        <f t="shared" si="13"/>
        <v>501.72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67</v>
      </c>
      <c r="B244" s="181">
        <f>'Données projet'!D222</f>
        <v>42.550000000000011</v>
      </c>
      <c r="C244" s="193">
        <v>12</v>
      </c>
      <c r="D244" s="179">
        <f t="shared" si="13"/>
        <v>510.60000000000014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75</v>
      </c>
      <c r="B245" s="181">
        <f>'Données projet'!D223</f>
        <v>43.519999999999982</v>
      </c>
      <c r="C245" s="193">
        <v>16</v>
      </c>
      <c r="D245" s="179">
        <f t="shared" si="13"/>
        <v>696.31999999999971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83</v>
      </c>
      <c r="B246" s="181">
        <f>'Données projet'!D224</f>
        <v>49.980000000000018</v>
      </c>
      <c r="C246" s="193">
        <v>16</v>
      </c>
      <c r="D246" s="179">
        <f t="shared" si="13"/>
        <v>799.68000000000029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93</v>
      </c>
      <c r="B247" s="181">
        <f>'Données projet'!D225</f>
        <v>67.45999999999998</v>
      </c>
      <c r="C247" s="193">
        <v>16</v>
      </c>
      <c r="D247" s="179">
        <f t="shared" si="13"/>
        <v>1079.3599999999997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103</v>
      </c>
      <c r="B248" s="181">
        <f>'Données projet'!D226</f>
        <v>67.759999999999991</v>
      </c>
      <c r="C248" s="193">
        <v>16</v>
      </c>
      <c r="D248" s="179">
        <f t="shared" si="13"/>
        <v>1084.1599999999999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113</v>
      </c>
      <c r="B249" s="181">
        <f>'Données projet'!D227</f>
        <v>68.670000000000016</v>
      </c>
      <c r="C249" s="193">
        <v>36</v>
      </c>
      <c r="D249" s="179">
        <f t="shared" si="13"/>
        <v>2472.1200000000008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123</v>
      </c>
      <c r="B250" s="181">
        <f>'Données projet'!D228</f>
        <v>203.78999999999996</v>
      </c>
      <c r="C250" s="193">
        <v>36</v>
      </c>
      <c r="D250" s="179">
        <f t="shared" si="13"/>
        <v>7336.4399999999987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125</v>
      </c>
      <c r="B251" s="181">
        <f>'Données projet'!D229</f>
        <v>70.609999999999985</v>
      </c>
      <c r="C251" s="193">
        <v>36</v>
      </c>
      <c r="D251" s="179">
        <f t="shared" si="13"/>
        <v>2541.9599999999996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127</v>
      </c>
      <c r="B252" s="181">
        <f>'Données projet'!D230</f>
        <v>46.039999999999992</v>
      </c>
      <c r="C252" s="193">
        <v>36</v>
      </c>
      <c r="D252" s="179">
        <f t="shared" si="13"/>
        <v>1657.4399999999996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130</v>
      </c>
      <c r="B253" s="181">
        <f>'Données projet'!D231</f>
        <v>112.75</v>
      </c>
      <c r="C253" s="193">
        <v>43</v>
      </c>
      <c r="D253" s="179">
        <f t="shared" si="13"/>
        <v>4848.25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>Micocoulier de Provence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38</v>
      </c>
      <c r="B271" s="181">
        <f>'Données projet'!D244</f>
        <v>71.569999999999993</v>
      </c>
      <c r="C271" s="193">
        <v>12</v>
      </c>
      <c r="D271" s="179">
        <f>B271*C271</f>
        <v>858.83999999999992</v>
      </c>
      <c r="E271" s="193">
        <v>60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45</v>
      </c>
      <c r="B272" s="181">
        <f>'Données projet'!D245</f>
        <v>41.69</v>
      </c>
      <c r="C272" s="193">
        <v>12</v>
      </c>
      <c r="D272" s="179">
        <f t="shared" ref="D272:D290" si="14">B272*C272</f>
        <v>500.28</v>
      </c>
      <c r="E272" s="193">
        <v>60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52</v>
      </c>
      <c r="B273" s="181">
        <f>'Données projet'!D246</f>
        <v>44.400000000000006</v>
      </c>
      <c r="C273" s="193">
        <v>12</v>
      </c>
      <c r="D273" s="179">
        <f t="shared" si="14"/>
        <v>532.80000000000007</v>
      </c>
      <c r="E273" s="193">
        <v>60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59</v>
      </c>
      <c r="B274" s="181">
        <f>'Données projet'!D247</f>
        <v>41.81</v>
      </c>
      <c r="C274" s="193">
        <v>12</v>
      </c>
      <c r="D274" s="179">
        <f t="shared" si="14"/>
        <v>501.72</v>
      </c>
      <c r="E274" s="193">
        <v>60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67</v>
      </c>
      <c r="B275" s="181">
        <f>'Données projet'!D248</f>
        <v>42.550000000000011</v>
      </c>
      <c r="C275" s="193">
        <v>12</v>
      </c>
      <c r="D275" s="179">
        <f t="shared" si="14"/>
        <v>510.60000000000014</v>
      </c>
      <c r="E275" s="193">
        <v>60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75</v>
      </c>
      <c r="B276" s="181">
        <f>'Données projet'!D249</f>
        <v>43.519999999999982</v>
      </c>
      <c r="C276" s="193">
        <v>16</v>
      </c>
      <c r="D276" s="179">
        <f t="shared" si="14"/>
        <v>696.31999999999971</v>
      </c>
      <c r="E276" s="193">
        <v>60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83</v>
      </c>
      <c r="B277" s="181">
        <f>'Données projet'!D250</f>
        <v>49.980000000000018</v>
      </c>
      <c r="C277" s="193">
        <v>16</v>
      </c>
      <c r="D277" s="179">
        <f t="shared" si="14"/>
        <v>799.68000000000029</v>
      </c>
      <c r="E277" s="193">
        <v>60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93</v>
      </c>
      <c r="B278" s="181">
        <f>'Données projet'!D251</f>
        <v>67.45999999999998</v>
      </c>
      <c r="C278" s="193">
        <v>16</v>
      </c>
      <c r="D278" s="179">
        <f t="shared" si="14"/>
        <v>1079.3599999999997</v>
      </c>
      <c r="E278" s="193">
        <v>60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103</v>
      </c>
      <c r="B279" s="181">
        <f>'Données projet'!D252</f>
        <v>67.759999999999991</v>
      </c>
      <c r="C279" s="193">
        <v>16</v>
      </c>
      <c r="D279" s="179">
        <f t="shared" si="14"/>
        <v>1084.1599999999999</v>
      </c>
      <c r="E279" s="193">
        <v>60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113</v>
      </c>
      <c r="B280" s="181">
        <f>'Données projet'!D253</f>
        <v>68.670000000000016</v>
      </c>
      <c r="C280" s="193">
        <v>36</v>
      </c>
      <c r="D280" s="179">
        <f t="shared" si="14"/>
        <v>2472.1200000000008</v>
      </c>
      <c r="E280" s="193">
        <v>60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123</v>
      </c>
      <c r="B281" s="181">
        <f>'Données projet'!D254</f>
        <v>203.78999999999996</v>
      </c>
      <c r="C281" s="193">
        <v>36</v>
      </c>
      <c r="D281" s="179">
        <f t="shared" si="14"/>
        <v>7336.4399999999987</v>
      </c>
      <c r="E281" s="193">
        <v>60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125</v>
      </c>
      <c r="B282" s="181">
        <f>'Données projet'!D255</f>
        <v>70.609999999999985</v>
      </c>
      <c r="C282" s="193">
        <v>36</v>
      </c>
      <c r="D282" s="179">
        <f t="shared" si="14"/>
        <v>2541.9599999999996</v>
      </c>
      <c r="E282" s="193">
        <v>60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127</v>
      </c>
      <c r="B283" s="181">
        <f>'Données projet'!D256</f>
        <v>46.039999999999992</v>
      </c>
      <c r="C283" s="193">
        <v>36</v>
      </c>
      <c r="D283" s="179">
        <f t="shared" si="14"/>
        <v>1657.4399999999996</v>
      </c>
      <c r="E283" s="193">
        <v>60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130</v>
      </c>
      <c r="B284" s="181">
        <f>'Données projet'!D257</f>
        <v>112.75</v>
      </c>
      <c r="C284" s="193">
        <v>43</v>
      </c>
      <c r="D284" s="179">
        <f t="shared" si="14"/>
        <v>4848.25</v>
      </c>
      <c r="E284" s="193">
        <v>60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ée un document." ma:contentTypeScope="" ma:versionID="b883bbb9b25661e8aceedaa63a758fe7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5578e133cdb16f0cf7c306f20050c56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C2EA25-BBC1-437F-BF7C-1B29AE0F5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2024-08-02T12:57:27Z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