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E BEZ (81) - DAUCE Violaine\Dossier à déposer\"/>
    </mc:Choice>
  </mc:AlternateContent>
  <xr:revisionPtr revIDLastSave="0" documentId="13_ncr:1_{C00952F5-9750-42C2-93A3-594E1BBDE76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99" i="2" a="1"/>
  <c r="AH19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<sst xmlns="http://schemas.openxmlformats.org/spreadsheetml/2006/main" count="1170" uniqueCount="324">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</sst>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30" sqref="C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0.38</v>
      </c>
      <c r="D9" s="36">
        <f t="shared" ref="D9:D18" si="0">C9*$C$5</f>
        <v>0.627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0.28999999999999998</v>
      </c>
      <c r="D10" s="36">
        <f t="shared" si="0"/>
        <v>0.47849999999999993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0.33</v>
      </c>
      <c r="D11" s="36">
        <f t="shared" si="0"/>
        <v>0.54449999999999998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0.4</v>
      </c>
      <c r="F36" s="54">
        <v>0.45</v>
      </c>
      <c r="G36" s="54">
        <v>0.15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0.7</v>
      </c>
      <c r="F37" s="54">
        <v>0.15</v>
      </c>
      <c r="G37" s="54">
        <v>0.15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162</v>
      </c>
      <c r="C62" s="63">
        <v>1</v>
      </c>
      <c r="D62" s="63">
        <v>0</v>
      </c>
      <c r="E62" s="54">
        <v>0.15</v>
      </c>
      <c r="F62" s="54"/>
      <c r="G62" s="54">
        <v>0.85</v>
      </c>
      <c r="H62" s="54"/>
      <c r="I62" s="56">
        <f>IFERROR(B62/A62,"")</f>
        <v>10.8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303</v>
      </c>
      <c r="C63" s="63">
        <v>2</v>
      </c>
      <c r="D63" s="63">
        <v>43</v>
      </c>
      <c r="E63" s="54">
        <v>0.25</v>
      </c>
      <c r="F63" s="54"/>
      <c r="G63" s="54">
        <v>0.75</v>
      </c>
      <c r="H63" s="54"/>
      <c r="I63" s="52">
        <f>IF(A63&lt;&gt;0,(B63-(B62-D62))/(A63-A62),"")</f>
        <v>28.2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419</v>
      </c>
      <c r="C64" s="63">
        <v>3</v>
      </c>
      <c r="D64" s="63">
        <v>60</v>
      </c>
      <c r="E64" s="54"/>
      <c r="F64" s="54"/>
      <c r="G64" s="54"/>
      <c r="H64" s="54"/>
      <c r="I64" s="52">
        <f>IF(A64&lt;&gt;0,(B64-(B63-D63))/(A64-A63),"")</f>
        <v>31.8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524</v>
      </c>
      <c r="C65" s="63">
        <v>4</v>
      </c>
      <c r="D65" s="63">
        <v>90</v>
      </c>
      <c r="E65" s="54"/>
      <c r="F65" s="54"/>
      <c r="G65" s="54"/>
      <c r="H65" s="54"/>
      <c r="I65" s="52">
        <f>IF(A65&lt;&gt;0,(B65-(B64-D64))/(A65-A64),"")</f>
        <v>33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576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639</v>
      </c>
      <c r="C67" s="63">
        <v>6</v>
      </c>
      <c r="D67" s="63">
        <v>77</v>
      </c>
      <c r="E67" s="54"/>
      <c r="F67" s="54"/>
      <c r="G67" s="54"/>
      <c r="H67" s="54"/>
      <c r="I67" s="52">
        <f t="shared" si="2"/>
        <v>27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686</v>
      </c>
      <c r="C68" s="63">
        <v>7</v>
      </c>
      <c r="D68" s="63">
        <v>64</v>
      </c>
      <c r="E68" s="54"/>
      <c r="F68" s="54"/>
      <c r="G68" s="54"/>
      <c r="H68" s="54"/>
      <c r="I68" s="52">
        <f t="shared" si="2"/>
        <v>24.8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724</v>
      </c>
      <c r="C69" s="53">
        <v>8</v>
      </c>
      <c r="D69" s="53">
        <v>62</v>
      </c>
      <c r="E69" s="54"/>
      <c r="F69" s="54"/>
      <c r="G69" s="54"/>
      <c r="H69" s="54"/>
      <c r="I69" s="52">
        <f t="shared" si="2"/>
        <v>20.399999999999999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739</v>
      </c>
      <c r="C70" s="53">
        <v>9</v>
      </c>
      <c r="D70" s="53">
        <v>46</v>
      </c>
      <c r="E70" s="54"/>
      <c r="F70" s="54"/>
      <c r="G70" s="54"/>
      <c r="H70" s="54"/>
      <c r="I70" s="52">
        <f t="shared" si="2"/>
        <v>15.4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754</v>
      </c>
      <c r="C71" s="53">
        <v>10</v>
      </c>
      <c r="D71" s="53">
        <v>35</v>
      </c>
      <c r="E71" s="54"/>
      <c r="F71" s="54"/>
      <c r="G71" s="54"/>
      <c r="H71" s="54"/>
      <c r="I71" s="52">
        <f t="shared" si="2"/>
        <v>12.2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769</v>
      </c>
      <c r="C72" s="53">
        <v>11</v>
      </c>
      <c r="D72" s="53">
        <v>769</v>
      </c>
      <c r="E72" s="54"/>
      <c r="F72" s="54"/>
      <c r="G72" s="54"/>
      <c r="H72" s="54"/>
      <c r="I72" s="52">
        <f t="shared" si="2"/>
        <v>10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>
        <v>0.4</v>
      </c>
      <c r="F90" s="93"/>
      <c r="G90" s="93">
        <v>0.6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>
        <v>0.45</v>
      </c>
      <c r="F91" s="93"/>
      <c r="G91" s="93">
        <v>0.55000000000000004</v>
      </c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306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340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428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483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521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555</v>
      </c>
      <c r="C98" s="63">
        <v>11</v>
      </c>
      <c r="D98" s="63">
        <v>555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310.95287409903602</v>
      </c>
      <c r="T3" s="62">
        <f>IF('Données projet'!E9&gt;30,$R$33-$H$33,LOOKUP('Données projet'!$E$9,$A$3:$A$203,R3:R203)-LOOKUP('Données projet'!$E$9,$A$3:$A$203,$H$3:$H$203))</f>
        <v>224.10083380795163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490.96084572840579</v>
      </c>
      <c r="AO3" s="62">
        <f>IF('Données projet'!E10&gt;30,$AM$33-$H$33,LOOKUP('Données projet'!$E$10,$A$3:$A$203,AM3:AM203)-LOOKUP('Données projet'!$E$10,$A$3:$A$203,$H$3:$H$203))</f>
        <v>597.91658789908263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287.69656598881124</v>
      </c>
      <c r="BJ3" s="62">
        <f>IF('Données projet'!E11&gt;30,$BH$33-$H$33,LOOKUP('Données projet'!$E$11,$A$3:$A$203,BH3:BH203)-LOOKUP('Données projet'!$E$11,$A$3:$A$203,$H$3:$H$203))</f>
        <v>221.9773436301067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310.95287409903602</v>
      </c>
      <c r="T4" s="62">
        <f>$T$3</f>
        <v>224.10083380795163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10.8</v>
      </c>
      <c r="AI4" s="14">
        <f>IF('Données projet'!$A$62&gt;35,AI3+AH4-AQ3,IF(A4&lt;'Données projet'!$A$62,$AF$205^A4,IF(A4='Données projet'!$A$62,'Données projet'!$B$62,AI3+AH4-AQ3)))</f>
        <v>1.4037863041747067</v>
      </c>
      <c r="AJ4" s="14">
        <f>AI4*VLOOKUP('Données projet'!$B$10,Paramètres!$A$1:$I$89,3,0)*VLOOKUP('Données projet'!$B$10,Paramètres!$A$1:$I$89,5,0)</f>
        <v>0.78471654403366109</v>
      </c>
      <c r="AK4" s="14">
        <f>EXP(-1.0587+0.8836*LN(AJ4)+0.284)</f>
        <v>0.37198061042729702</v>
      </c>
      <c r="AL4" s="22">
        <f t="shared" ref="AL4:AL67" si="4">(AJ4+AK4)*0.475*44/12</f>
        <v>2.0145808773528358</v>
      </c>
      <c r="AM4" s="62">
        <f t="shared" ref="AM4:AM67" si="5">AL4+(AD4+AE4)*44/12</f>
        <v>295.34791421068616</v>
      </c>
      <c r="AN4" s="62">
        <f ca="1">AVERAGE(OFFSET($AM$3,0,0,'Données projet'!$E$10+1,1))-AVERAGE(OFFSET($H$3,0,0,'Données projet'!$E$10+1,1))</f>
        <v>490.96084572840579</v>
      </c>
      <c r="AO4" s="62">
        <f>$AO$3</f>
        <v>597.91658789908263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295.24773087079586</v>
      </c>
      <c r="BI4" s="62">
        <f ca="1">AVERAGE(OFFSET($BH$3,0,0,'Données projet'!$E$11+1,1))-AVERAGE(OFFSET($H$3,0,0,'Données projet'!$E$11+1,1))</f>
        <v>287.69656598881124</v>
      </c>
      <c r="BJ4" s="62">
        <f>$BJ$3</f>
        <v>221.9773436301067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310.95287409903602</v>
      </c>
      <c r="T5" s="62">
        <f t="shared" ref="T5:T68" si="34">$T$3</f>
        <v>224.10083380795163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10.8</v>
      </c>
      <c r="AI5" s="14">
        <f>IF('Données projet'!$A$62&gt;35,AI4+AH5-AQ4,IF(A5&lt;'Données projet'!$A$62,$AF$205^A5,IF(A5='Données projet'!$A$62,'Données projet'!$B$62,AI4+AH5-AQ4)))</f>
        <v>1.9706159877884823</v>
      </c>
      <c r="AJ5" s="14">
        <f>AI5*VLOOKUP('Données projet'!$B$10,Paramètres!$A$1:$I$89,3,0)*VLOOKUP('Données projet'!$B$10,Paramètres!$A$1:$I$89,5,0)</f>
        <v>1.1015743371737616</v>
      </c>
      <c r="AK5" s="14">
        <f t="shared" ref="AK5:AK68" si="35">EXP(-1.0587+0.8836*LN(AJ5)+0.284)</f>
        <v>0.50196734705126034</v>
      </c>
      <c r="AL5" s="22">
        <f t="shared" si="4"/>
        <v>2.7928351000252465</v>
      </c>
      <c r="AM5" s="62">
        <f t="shared" si="5"/>
        <v>296.12616843335854</v>
      </c>
      <c r="AN5" s="62">
        <f ca="1">AVERAGE(OFFSET($AM$3,0,0,'Données projet'!$E$10+1,1))-AVERAGE(OFFSET($H$3,0,0,'Données projet'!$E$10+1,1))</f>
        <v>490.96084572840579</v>
      </c>
      <c r="AO5" s="62">
        <f t="shared" ref="AO5:AO68" si="36">$AO$3</f>
        <v>597.91658789908263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295.69646345569345</v>
      </c>
      <c r="BI5" s="62">
        <f ca="1">AVERAGE(OFFSET($BH$3,0,0,'Données projet'!$E$11+1,1))-AVERAGE(OFFSET($H$3,0,0,'Données projet'!$E$11+1,1))</f>
        <v>287.69656598881124</v>
      </c>
      <c r="BJ5" s="62">
        <f t="shared" ref="BJ5:BJ68" si="38">$BJ$3</f>
        <v>221.9773436301067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310.95287409903602</v>
      </c>
      <c r="T6" s="62">
        <f t="shared" si="34"/>
        <v>224.10083380795163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10.8</v>
      </c>
      <c r="AI6" s="14">
        <f>IF('Données projet'!$A$62&gt;35,AI5+AH6-AQ5,IF(A6&lt;'Données projet'!$A$62,$AF$205^A6,IF(A6='Données projet'!$A$62,'Données projet'!$B$62,AI5+AH6-AQ5)))</f>
        <v>2.7663237344451828</v>
      </c>
      <c r="AJ6" s="14">
        <f>AI6*VLOOKUP('Données projet'!$B$10,Paramètres!$A$1:$I$89,3,0)*VLOOKUP('Données projet'!$B$10,Paramètres!$A$1:$I$89,5,0)</f>
        <v>1.5463749675548573</v>
      </c>
      <c r="AK6" s="14">
        <f t="shared" si="35"/>
        <v>0.6773772891448272</v>
      </c>
      <c r="AL6" s="22">
        <f t="shared" si="4"/>
        <v>3.8730351804186167</v>
      </c>
      <c r="AM6" s="62">
        <f t="shared" si="5"/>
        <v>297.20636851375195</v>
      </c>
      <c r="AN6" s="62">
        <f ca="1">AVERAGE(OFFSET($AM$3,0,0,'Données projet'!$E$10+1,1))-AVERAGE(OFFSET($H$3,0,0,'Données projet'!$E$10+1,1))</f>
        <v>490.96084572840579</v>
      </c>
      <c r="AO6" s="62">
        <f t="shared" si="36"/>
        <v>597.91658789908263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296.25078815720536</v>
      </c>
      <c r="BI6" s="62">
        <f ca="1">AVERAGE(OFFSET($BH$3,0,0,'Données projet'!$E$11+1,1))-AVERAGE(OFFSET($H$3,0,0,'Données projet'!$E$11+1,1))</f>
        <v>287.69656598881124</v>
      </c>
      <c r="BJ6" s="62">
        <f t="shared" si="38"/>
        <v>221.9773436301067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310.95287409903602</v>
      </c>
      <c r="T7" s="62">
        <f t="shared" si="34"/>
        <v>224.10083380795163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10.8</v>
      </c>
      <c r="AI7" s="14">
        <f>IF('Données projet'!$A$62&gt;35,AI6+AH7-AQ6,IF(A7&lt;'Données projet'!$A$62,$AF$205^A7,IF(A7='Données projet'!$A$62,'Données projet'!$B$62,AI6+AH7-AQ6)))</f>
        <v>3.8833273713275762</v>
      </c>
      <c r="AJ7" s="14">
        <f>AI7*VLOOKUP('Données projet'!$B$10,Paramètres!$A$1:$I$89,3,0)*VLOOKUP('Données projet'!$B$10,Paramètres!$A$1:$I$89,5,0)</f>
        <v>2.170780000572115</v>
      </c>
      <c r="AK7" s="14">
        <f t="shared" si="35"/>
        <v>0.91408334535022773</v>
      </c>
      <c r="AL7" s="22">
        <f t="shared" si="4"/>
        <v>5.3728036608147471</v>
      </c>
      <c r="AM7" s="62">
        <f t="shared" si="5"/>
        <v>298.70613699414804</v>
      </c>
      <c r="AN7" s="62">
        <f ca="1">AVERAGE(OFFSET($AM$3,0,0,'Données projet'!$E$10+1,1))-AVERAGE(OFFSET($H$3,0,0,'Données projet'!$E$10+1,1))</f>
        <v>490.96084572840579</v>
      </c>
      <c r="AO7" s="62">
        <f t="shared" si="36"/>
        <v>597.91658789908263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296.93564317983407</v>
      </c>
      <c r="BI7" s="62">
        <f ca="1">AVERAGE(OFFSET($BH$3,0,0,'Données projet'!$E$11+1,1))-AVERAGE(OFFSET($H$3,0,0,'Données projet'!$E$11+1,1))</f>
        <v>287.69656598881124</v>
      </c>
      <c r="BJ7" s="62">
        <f t="shared" si="38"/>
        <v>221.9773436301067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310.95287409903602</v>
      </c>
      <c r="T8" s="62">
        <f t="shared" si="34"/>
        <v>224.10083380795163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10.8</v>
      </c>
      <c r="AI8" s="14">
        <f>IF('Données projet'!$A$62&gt;35,AI7+AH8-AQ7,IF(A8&lt;'Données projet'!$A$62,$AF$205^A8,IF(A8='Données projet'!$A$62,'Données projet'!$B$62,AI7+AH8-AQ7)))</f>
        <v>5.451361778496417</v>
      </c>
      <c r="AJ8" s="14">
        <f>AI8*VLOOKUP('Données projet'!$B$10,Paramètres!$A$1:$I$89,3,0)*VLOOKUP('Données projet'!$B$10,Paramètres!$A$1:$I$89,5,0)</f>
        <v>3.0473112341794972</v>
      </c>
      <c r="AK8" s="14">
        <f t="shared" si="35"/>
        <v>1.2335051316844765</v>
      </c>
      <c r="AL8" s="22">
        <f t="shared" si="4"/>
        <v>7.4557551705464205</v>
      </c>
      <c r="AM8" s="62">
        <f t="shared" si="5"/>
        <v>300.78908850387973</v>
      </c>
      <c r="AN8" s="62">
        <f ca="1">AVERAGE(OFFSET($AM$3,0,0,'Données projet'!$E$10+1,1))-AVERAGE(OFFSET($H$3,0,0,'Données projet'!$E$10+1,1))</f>
        <v>490.96084572840579</v>
      </c>
      <c r="AO8" s="62">
        <f t="shared" si="36"/>
        <v>597.91658789908263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297.78187669303162</v>
      </c>
      <c r="BI8" s="62">
        <f ca="1">AVERAGE(OFFSET($BH$3,0,0,'Données projet'!$E$11+1,1))-AVERAGE(OFFSET($H$3,0,0,'Données projet'!$E$11+1,1))</f>
        <v>287.69656598881124</v>
      </c>
      <c r="BJ8" s="62">
        <f t="shared" si="38"/>
        <v>221.9773436301067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310.95287409903602</v>
      </c>
      <c r="T9" s="62">
        <f t="shared" si="34"/>
        <v>224.10083380795163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10.8</v>
      </c>
      <c r="AI9" s="14">
        <f>IF('Données projet'!$A$62&gt;35,AI8+AH9-AQ8,IF(A9&lt;'Données projet'!$A$62,$AF$205^A9,IF(A9='Données projet'!$A$62,'Données projet'!$B$62,AI8+AH9-AQ8)))</f>
        <v>7.6525470037547425</v>
      </c>
      <c r="AJ9" s="14">
        <f>AI9*VLOOKUP('Données projet'!$B$10,Paramètres!$A$1:$I$89,3,0)*VLOOKUP('Données projet'!$B$10,Paramètres!$A$1:$I$89,5,0)</f>
        <v>4.2777737750989013</v>
      </c>
      <c r="AK9" s="14">
        <f t="shared" si="35"/>
        <v>1.6645472402836166</v>
      </c>
      <c r="AL9" s="22">
        <f t="shared" si="4"/>
        <v>10.349542435124553</v>
      </c>
      <c r="AM9" s="62">
        <f t="shared" si="5"/>
        <v>303.68287576845785</v>
      </c>
      <c r="AN9" s="62">
        <f ca="1">AVERAGE(OFFSET($AM$3,0,0,'Données projet'!$E$10+1,1))-AVERAGE(OFFSET($H$3,0,0,'Données projet'!$E$10+1,1))</f>
        <v>490.96084572840579</v>
      </c>
      <c r="AO9" s="62">
        <f t="shared" si="36"/>
        <v>597.91658789908263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298.82765185669996</v>
      </c>
      <c r="BI9" s="62">
        <f ca="1">AVERAGE(OFFSET($BH$3,0,0,'Données projet'!$E$11+1,1))-AVERAGE(OFFSET($H$3,0,0,'Données projet'!$E$11+1,1))</f>
        <v>287.69656598881124</v>
      </c>
      <c r="BJ9" s="62">
        <f t="shared" si="38"/>
        <v>221.9773436301067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310.95287409903602</v>
      </c>
      <c r="T10" s="62">
        <f t="shared" si="34"/>
        <v>224.10083380795163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10.8</v>
      </c>
      <c r="AI10" s="14">
        <f>IF('Données projet'!$A$62&gt;35,AI9+AH10-AQ9,IF(A10&lt;'Données projet'!$A$62,$AF$205^A10,IF(A10='Données projet'!$A$62,'Données projet'!$B$62,AI9+AH10-AQ9)))</f>
        <v>10.742540675924095</v>
      </c>
      <c r="AJ10" s="14">
        <f>AI10*VLOOKUP('Données projet'!$B$10,Paramètres!$A$1:$I$89,3,0)*VLOOKUP('Données projet'!$B$10,Paramètres!$A$1:$I$89,5,0)</f>
        <v>6.0050802378415691</v>
      </c>
      <c r="AK10" s="14">
        <f t="shared" si="35"/>
        <v>2.2462148263235089</v>
      </c>
      <c r="AL10" s="22">
        <f t="shared" si="4"/>
        <v>14.37100557008751</v>
      </c>
      <c r="AM10" s="62">
        <f t="shared" si="5"/>
        <v>307.70433890342082</v>
      </c>
      <c r="AN10" s="62">
        <f ca="1">AVERAGE(OFFSET($AM$3,0,0,'Données projet'!$E$10+1,1))-AVERAGE(OFFSET($H$3,0,0,'Données projet'!$E$10+1,1))</f>
        <v>490.96084572840579</v>
      </c>
      <c r="AO10" s="62">
        <f t="shared" si="36"/>
        <v>597.91658789908263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300.12018685543694</v>
      </c>
      <c r="BI10" s="62">
        <f ca="1">AVERAGE(OFFSET($BH$3,0,0,'Données projet'!$E$11+1,1))-AVERAGE(OFFSET($H$3,0,0,'Données projet'!$E$11+1,1))</f>
        <v>287.69656598881124</v>
      </c>
      <c r="BJ10" s="62">
        <f t="shared" si="38"/>
        <v>221.9773436301067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310.95287409903602</v>
      </c>
      <c r="T11" s="62">
        <f t="shared" si="34"/>
        <v>224.10083380795163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10.8</v>
      </c>
      <c r="AI11" s="14">
        <f>IF('Données projet'!$A$62&gt;35,AI10+AH11-AQ10,IF(A11&lt;'Données projet'!$A$62,$AF$205^A11,IF(A11='Données projet'!$A$62,'Données projet'!$B$62,AI10+AH11-AQ10)))</f>
        <v>15.080231472901943</v>
      </c>
      <c r="AJ11" s="14">
        <f>AI11*VLOOKUP('Données projet'!$B$10,Paramètres!$A$1:$I$89,3,0)*VLOOKUP('Données projet'!$B$10,Paramètres!$A$1:$I$89,5,0)</f>
        <v>8.4298493933521872</v>
      </c>
      <c r="AK11" s="14">
        <f t="shared" si="35"/>
        <v>3.0311431985167756</v>
      </c>
      <c r="AL11" s="22">
        <f t="shared" si="4"/>
        <v>19.961228764171775</v>
      </c>
      <c r="AM11" s="62">
        <f t="shared" si="5"/>
        <v>313.29456209750509</v>
      </c>
      <c r="AN11" s="62">
        <f ca="1">AVERAGE(OFFSET($AM$3,0,0,'Données projet'!$E$10+1,1))-AVERAGE(OFFSET($H$3,0,0,'Données projet'!$E$10+1,1))</f>
        <v>490.96084572840579</v>
      </c>
      <c r="AO11" s="62">
        <f t="shared" si="36"/>
        <v>597.91658789908263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301.71791003464585</v>
      </c>
      <c r="BI11" s="62">
        <f ca="1">AVERAGE(OFFSET($BH$3,0,0,'Données projet'!$E$11+1,1))-AVERAGE(OFFSET($H$3,0,0,'Données projet'!$E$11+1,1))</f>
        <v>287.69656598881124</v>
      </c>
      <c r="BJ11" s="62">
        <f t="shared" si="38"/>
        <v>221.9773436301067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310.95287409903602</v>
      </c>
      <c r="T12" s="62">
        <f t="shared" si="34"/>
        <v>224.10083380795163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10.8</v>
      </c>
      <c r="AI12" s="14">
        <f>IF('Données projet'!$A$62&gt;35,AI11+AH12-AQ11,IF(A12&lt;'Données projet'!$A$62,$AF$205^A12,IF(A12='Données projet'!$A$62,'Données projet'!$B$62,AI11+AH12-AQ11)))</f>
        <v>21.169422405444113</v>
      </c>
      <c r="AJ12" s="14">
        <f>AI12*VLOOKUP('Données projet'!$B$10,Paramètres!$A$1:$I$89,3,0)*VLOOKUP('Données projet'!$B$10,Paramètres!$A$1:$I$89,5,0)</f>
        <v>11.83370712464326</v>
      </c>
      <c r="AK12" s="14">
        <f t="shared" si="35"/>
        <v>4.0903608070972819</v>
      </c>
      <c r="AL12" s="22">
        <f t="shared" si="4"/>
        <v>27.734418314448106</v>
      </c>
      <c r="AM12" s="62">
        <f t="shared" si="5"/>
        <v>321.06775164778139</v>
      </c>
      <c r="AN12" s="62">
        <f ca="1">AVERAGE(OFFSET($AM$3,0,0,'Données projet'!$E$10+1,1))-AVERAGE(OFFSET($H$3,0,0,'Données projet'!$E$10+1,1))</f>
        <v>490.96084572840579</v>
      </c>
      <c r="AO12" s="62">
        <f t="shared" si="36"/>
        <v>597.91658789908263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303.69312942710241</v>
      </c>
      <c r="BI12" s="62">
        <f ca="1">AVERAGE(OFFSET($BH$3,0,0,'Données projet'!$E$11+1,1))-AVERAGE(OFFSET($H$3,0,0,'Données projet'!$E$11+1,1))</f>
        <v>287.69656598881124</v>
      </c>
      <c r="BJ12" s="62">
        <f t="shared" si="38"/>
        <v>221.9773436301067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310.95287409903602</v>
      </c>
      <c r="T13" s="62">
        <f t="shared" si="34"/>
        <v>224.10083380795163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10.8</v>
      </c>
      <c r="AI13" s="14">
        <f>IF('Données projet'!$A$62&gt;35,AI12+AH13-AQ12,IF(A13&lt;'Données projet'!$A$62,$AF$205^A13,IF(A13='Données projet'!$A$62,'Données projet'!$B$62,AI12+AH13-AQ12)))</f>
        <v>29.717345240051621</v>
      </c>
      <c r="AJ13" s="14">
        <f>AI13*VLOOKUP('Données projet'!$B$10,Paramètres!$A$1:$I$89,3,0)*VLOOKUP('Données projet'!$B$10,Paramètres!$A$1:$I$89,5,0)</f>
        <v>16.611995989188856</v>
      </c>
      <c r="AK13" s="14">
        <f t="shared" si="35"/>
        <v>5.5197166337850669</v>
      </c>
      <c r="AL13" s="22">
        <f t="shared" si="4"/>
        <v>38.546066151679575</v>
      </c>
      <c r="AM13" s="62">
        <f t="shared" si="5"/>
        <v>331.87939948501287</v>
      </c>
      <c r="AN13" s="62">
        <f ca="1">AVERAGE(OFFSET($AM$3,0,0,'Données projet'!$E$10+1,1))-AVERAGE(OFFSET($H$3,0,0,'Données projet'!$E$10+1,1))</f>
        <v>490.96084572840579</v>
      </c>
      <c r="AO13" s="62">
        <f t="shared" si="36"/>
        <v>597.91658789908263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306.13533976477066</v>
      </c>
      <c r="BI13" s="62">
        <f ca="1">AVERAGE(OFFSET($BH$3,0,0,'Données projet'!$E$11+1,1))-AVERAGE(OFFSET($H$3,0,0,'Données projet'!$E$11+1,1))</f>
        <v>287.69656598881124</v>
      </c>
      <c r="BJ13" s="62">
        <f t="shared" si="38"/>
        <v>221.9773436301067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310.95287409903602</v>
      </c>
      <c r="T14" s="62">
        <f t="shared" si="34"/>
        <v>224.10083380795163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10.8</v>
      </c>
      <c r="AI14" s="14">
        <f>IF('Données projet'!$A$62&gt;35,AI13+AH14-AQ13,IF(A14&lt;'Données projet'!$A$62,$AF$205^A14,IF(A14='Données projet'!$A$62,'Données projet'!$B$62,AI13+AH14-AQ13)))</f>
        <v>41.716802244415881</v>
      </c>
      <c r="AJ14" s="14">
        <f>AI14*VLOOKUP('Données projet'!$B$10,Paramètres!$A$1:$I$89,3,0)*VLOOKUP('Données projet'!$B$10,Paramètres!$A$1:$I$89,5,0)</f>
        <v>23.319692454628481</v>
      </c>
      <c r="AK14" s="14">
        <f t="shared" si="35"/>
        <v>7.4485536005574575</v>
      </c>
      <c r="AL14" s="22">
        <f t="shared" si="4"/>
        <v>53.58802854611551</v>
      </c>
      <c r="AM14" s="62">
        <f t="shared" si="5"/>
        <v>346.9213618794488</v>
      </c>
      <c r="AN14" s="62">
        <f ca="1">AVERAGE(OFFSET($AM$3,0,0,'Données projet'!$E$10+1,1))-AVERAGE(OFFSET($H$3,0,0,'Données projet'!$E$10+1,1))</f>
        <v>490.96084572840579</v>
      </c>
      <c r="AO14" s="62">
        <f t="shared" si="36"/>
        <v>597.91658789908263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309.15531959729486</v>
      </c>
      <c r="BI14" s="62">
        <f ca="1">AVERAGE(OFFSET($BH$3,0,0,'Données projet'!$E$11+1,1))-AVERAGE(OFFSET($H$3,0,0,'Données projet'!$E$11+1,1))</f>
        <v>287.69656598881124</v>
      </c>
      <c r="BJ14" s="62">
        <f t="shared" si="38"/>
        <v>221.9773436301067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310.95287409903602</v>
      </c>
      <c r="T15" s="62">
        <f t="shared" si="34"/>
        <v>224.10083380795163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10.8</v>
      </c>
      <c r="AI15" s="14">
        <f>IF('Données projet'!$A$62&gt;35,AI14+AH15-AQ14,IF(A15&lt;'Données projet'!$A$62,$AF$205^A15,IF(A15='Données projet'!$A$62,'Données projet'!$B$62,AI14+AH15-AQ14)))</f>
        <v>58.561475644675681</v>
      </c>
      <c r="AJ15" s="14">
        <f>AI15*VLOOKUP('Données projet'!$B$10,Paramètres!$A$1:$I$89,3,0)*VLOOKUP('Données projet'!$B$10,Paramètres!$A$1:$I$89,5,0)</f>
        <v>32.735864885373708</v>
      </c>
      <c r="AK15" s="14">
        <f t="shared" si="35"/>
        <v>10.051412857100269</v>
      </c>
      <c r="AL15" s="22">
        <f t="shared" si="4"/>
        <v>74.521175401475503</v>
      </c>
      <c r="AM15" s="62">
        <f t="shared" si="5"/>
        <v>367.8545087348088</v>
      </c>
      <c r="AN15" s="62">
        <f ca="1">AVERAGE(OFFSET($AM$3,0,0,'Données projet'!$E$10+1,1))-AVERAGE(OFFSET($H$3,0,0,'Données projet'!$E$10+1,1))</f>
        <v>490.96084572840579</v>
      </c>
      <c r="AO15" s="62">
        <f t="shared" si="36"/>
        <v>597.91658789908263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312.8902077629582</v>
      </c>
      <c r="BI15" s="62">
        <f ca="1">AVERAGE(OFFSET($BH$3,0,0,'Données projet'!$E$11+1,1))-AVERAGE(OFFSET($H$3,0,0,'Données projet'!$E$11+1,1))</f>
        <v>287.69656598881124</v>
      </c>
      <c r="BJ15" s="62">
        <f t="shared" si="38"/>
        <v>221.9773436301067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310.95287409903602</v>
      </c>
      <c r="T16" s="62">
        <f t="shared" si="34"/>
        <v>224.10083380795163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10.8</v>
      </c>
      <c r="AI16" s="14">
        <f>IF('Données projet'!$A$62&gt;35,AI15+AH16-AQ15,IF(A16&lt;'Données projet'!$A$62,$AF$205^A16,IF(A16='Données projet'!$A$62,'Données projet'!$B$62,AI15+AH16-AQ15)))</f>
        <v>82.20779746225638</v>
      </c>
      <c r="AJ16" s="14">
        <f>AI16*VLOOKUP('Données projet'!$B$10,Paramètres!$A$1:$I$89,3,0)*VLOOKUP('Données projet'!$B$10,Paramètres!$A$1:$I$89,5,0)</f>
        <v>45.954158781401318</v>
      </c>
      <c r="AK16" s="14">
        <f t="shared" si="35"/>
        <v>13.563828072113143</v>
      </c>
      <c r="AL16" s="22">
        <f t="shared" si="4"/>
        <v>103.66049376987102</v>
      </c>
      <c r="AM16" s="62">
        <f t="shared" si="5"/>
        <v>396.99382710320435</v>
      </c>
      <c r="AN16" s="62">
        <f ca="1">AVERAGE(OFFSET($AM$3,0,0,'Données projet'!$E$10+1,1))-AVERAGE(OFFSET($H$3,0,0,'Données projet'!$E$10+1,1))</f>
        <v>490.96084572840579</v>
      </c>
      <c r="AO16" s="62">
        <f t="shared" si="36"/>
        <v>597.91658789908263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317.50979388947383</v>
      </c>
      <c r="BI16" s="62">
        <f ca="1">AVERAGE(OFFSET($BH$3,0,0,'Données projet'!$E$11+1,1))-AVERAGE(OFFSET($H$3,0,0,'Données projet'!$E$11+1,1))</f>
        <v>287.69656598881124</v>
      </c>
      <c r="BJ16" s="62">
        <f t="shared" si="38"/>
        <v>221.9773436301067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310.95287409903602</v>
      </c>
      <c r="T17" s="62">
        <f t="shared" si="34"/>
        <v>224.10083380795163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10.8</v>
      </c>
      <c r="AI17" s="14">
        <f>IF('Données projet'!$A$62&gt;35,AI16+AH17-AQ16,IF(A17&lt;'Données projet'!$A$62,$AF$205^A17,IF(A17='Données projet'!$A$62,'Données projet'!$B$62,AI16+AH17-AQ16)))</f>
        <v>115.40218017388374</v>
      </c>
      <c r="AJ17" s="14">
        <f>AI17*VLOOKUP('Données projet'!$B$10,Paramètres!$A$1:$I$89,3,0)*VLOOKUP('Données projet'!$B$10,Paramètres!$A$1:$I$89,5,0)</f>
        <v>64.509818717201014</v>
      </c>
      <c r="AK17" s="14">
        <f t="shared" si="35"/>
        <v>18.303638959560171</v>
      </c>
      <c r="AL17" s="22">
        <f t="shared" si="4"/>
        <v>144.23343878702573</v>
      </c>
      <c r="AM17" s="62">
        <f t="shared" si="5"/>
        <v>437.56677212035902</v>
      </c>
      <c r="AN17" s="62">
        <f ca="1">AVERAGE(OFFSET($AM$3,0,0,'Données projet'!$E$10+1,1))-AVERAGE(OFFSET($H$3,0,0,'Données projet'!$E$10+1,1))</f>
        <v>490.96084572840579</v>
      </c>
      <c r="AO17" s="62">
        <f t="shared" si="36"/>
        <v>597.91658789908263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323.2243139626886</v>
      </c>
      <c r="BI17" s="62">
        <f ca="1">AVERAGE(OFFSET($BH$3,0,0,'Données projet'!$E$11+1,1))-AVERAGE(OFFSET($H$3,0,0,'Données projet'!$E$11+1,1))</f>
        <v>287.69656598881124</v>
      </c>
      <c r="BJ17" s="62">
        <f t="shared" si="38"/>
        <v>221.9773436301067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310.95287409903602</v>
      </c>
      <c r="T18" s="62">
        <f t="shared" si="34"/>
        <v>224.10083380795163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162</v>
      </c>
      <c r="AG18" s="13">
        <f>VLOOKUP(A18,'Données projet'!$A$61:$I$81,9,0)</f>
        <v>10.8</v>
      </c>
      <c r="AH18" s="13">
        <f t="array" ref="AH18">INDEX(AG:AG,MIN(IF(ISNUMBER(AG18:AG214),ROW(AG18:AG214),"")))</f>
        <v>10.8</v>
      </c>
      <c r="AI18" s="14">
        <f>IF('Données projet'!$A$62&gt;35,AI17+AH18-AQ17,IF(A18&lt;'Données projet'!$A$62,$AF$205^A18,IF(A18='Données projet'!$A$62,'Données projet'!$B$62,AI17+AH18-AQ17)))</f>
        <v>162</v>
      </c>
      <c r="AJ18" s="14">
        <f>AI18*VLOOKUP('Données projet'!$B$10,Paramètres!$A$1:$I$89,3,0)*VLOOKUP('Données projet'!$B$10,Paramètres!$A$1:$I$89,5,0)</f>
        <v>90.557999999999993</v>
      </c>
      <c r="AK18" s="14">
        <f t="shared" si="35"/>
        <v>24.699752708509138</v>
      </c>
      <c r="AL18" s="22">
        <f t="shared" si="4"/>
        <v>200.74058596732007</v>
      </c>
      <c r="AM18" s="62">
        <f t="shared" si="5"/>
        <v>494.07391930065342</v>
      </c>
      <c r="AN18" s="62">
        <f ca="1">AVERAGE(OFFSET($AM$3,0,0,'Données projet'!$E$10+1,1))-AVERAGE(OFFSET($H$3,0,0,'Données projet'!$E$10+1,1))</f>
        <v>490.96084572840579</v>
      </c>
      <c r="AO18" s="62">
        <f t="shared" si="36"/>
        <v>597.91658789908263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8.2500000000000004E-2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0.85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330.29411192516659</v>
      </c>
      <c r="BI18" s="62">
        <f ca="1">AVERAGE(OFFSET($BH$3,0,0,'Données projet'!$E$11+1,1))-AVERAGE(OFFSET($H$3,0,0,'Données projet'!$E$11+1,1))</f>
        <v>287.69656598881124</v>
      </c>
      <c r="BJ18" s="62">
        <f t="shared" si="38"/>
        <v>221.9773436301067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310.95287409903602</v>
      </c>
      <c r="T19" s="62">
        <f t="shared" si="34"/>
        <v>224.10083380795163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28.2</v>
      </c>
      <c r="AI19" s="14">
        <f>IF('Données projet'!$A$62&gt;35,AI18+AH19-AQ18,IF(A19&lt;'Données projet'!$A$62,$AF$205^A19,IF(A19='Données projet'!$A$62,'Données projet'!$B$62,AI18+AH19-AQ18)))</f>
        <v>190.2</v>
      </c>
      <c r="AJ19" s="14">
        <f>AI19*VLOOKUP('Données projet'!$B$10,Paramètres!$A$1:$I$89,3,0)*VLOOKUP('Données projet'!$B$10,Paramètres!$A$1:$I$89,5,0)</f>
        <v>106.32179999999998</v>
      </c>
      <c r="AK19" s="14">
        <f t="shared" si="35"/>
        <v>28.462664081653866</v>
      </c>
      <c r="AL19" s="22">
        <f t="shared" si="4"/>
        <v>234.7496082755471</v>
      </c>
      <c r="AM19" s="62">
        <f t="shared" si="5"/>
        <v>528.08294160888045</v>
      </c>
      <c r="AN19" s="62">
        <f ca="1">AVERAGE(OFFSET($AM$3,0,0,'Données projet'!$E$10+1,1))-AVERAGE(OFFSET($H$3,0,0,'Données projet'!$E$10+1,1))</f>
        <v>490.96084572840579</v>
      </c>
      <c r="AO19" s="62">
        <f t="shared" si="36"/>
        <v>597.91658789908263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339.04161502361472</v>
      </c>
      <c r="BI19" s="62">
        <f ca="1">AVERAGE(OFFSET($BH$3,0,0,'Données projet'!$E$11+1,1))-AVERAGE(OFFSET($H$3,0,0,'Données projet'!$E$11+1,1))</f>
        <v>287.69656598881124</v>
      </c>
      <c r="BJ19" s="62">
        <f t="shared" si="38"/>
        <v>221.9773436301067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310.95287409903602</v>
      </c>
      <c r="T20" s="62">
        <f t="shared" si="34"/>
        <v>224.10083380795163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28.2</v>
      </c>
      <c r="AI20" s="14">
        <f>IF('Données projet'!$A$62&gt;35,AI19+AH20-AQ19,IF(A20&lt;'Données projet'!$A$62,$AF$205^A20,IF(A20='Données projet'!$A$62,'Données projet'!$B$62,AI19+AH20-AQ19)))</f>
        <v>218.39999999999998</v>
      </c>
      <c r="AJ20" s="14">
        <f>AI20*VLOOKUP('Données projet'!$B$10,Paramètres!$A$1:$I$89,3,0)*VLOOKUP('Données projet'!$B$10,Paramètres!$A$1:$I$89,5,0)</f>
        <v>122.0856</v>
      </c>
      <c r="AK20" s="14">
        <f t="shared" si="35"/>
        <v>32.160942364346717</v>
      </c>
      <c r="AL20" s="22">
        <f t="shared" si="4"/>
        <v>268.64606128457052</v>
      </c>
      <c r="AM20" s="62">
        <f t="shared" si="5"/>
        <v>561.97939461790384</v>
      </c>
      <c r="AN20" s="62">
        <f ca="1">AVERAGE(OFFSET($AM$3,0,0,'Données projet'!$E$10+1,1))-AVERAGE(OFFSET($H$3,0,0,'Données projet'!$E$10+1,1))</f>
        <v>490.96084572840579</v>
      </c>
      <c r="AO20" s="62">
        <f t="shared" si="36"/>
        <v>597.91658789908263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349.8661782737675</v>
      </c>
      <c r="BI20" s="62">
        <f ca="1">AVERAGE(OFFSET($BH$3,0,0,'Données projet'!$E$11+1,1))-AVERAGE(OFFSET($H$3,0,0,'Données projet'!$E$11+1,1))</f>
        <v>287.69656598881124</v>
      </c>
      <c r="BJ20" s="62">
        <f t="shared" si="38"/>
        <v>221.9773436301067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310.95287409903602</v>
      </c>
      <c r="T21" s="62">
        <f t="shared" si="34"/>
        <v>224.10083380795163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28.2</v>
      </c>
      <c r="AI21" s="14">
        <f>IF('Données projet'!$A$62&gt;35,AI20+AH21-AQ20,IF(A21&lt;'Données projet'!$A$62,$AF$205^A21,IF(A21='Données projet'!$A$62,'Données projet'!$B$62,AI20+AH21-AQ20)))</f>
        <v>246.59999999999997</v>
      </c>
      <c r="AJ21" s="14">
        <f>AI21*VLOOKUP('Données projet'!$B$10,Paramètres!$A$1:$I$89,3,0)*VLOOKUP('Données projet'!$B$10,Paramètres!$A$1:$I$89,5,0)</f>
        <v>137.84939999999997</v>
      </c>
      <c r="AK21" s="14">
        <f t="shared" si="35"/>
        <v>35.803890229822542</v>
      </c>
      <c r="AL21" s="22">
        <f t="shared" si="4"/>
        <v>302.44614715027416</v>
      </c>
      <c r="AM21" s="62">
        <f t="shared" si="5"/>
        <v>595.77948048360747</v>
      </c>
      <c r="AN21" s="62">
        <f ca="1">AVERAGE(OFFSET($AM$3,0,0,'Données projet'!$E$10+1,1))-AVERAGE(OFFSET($H$3,0,0,'Données projet'!$E$10+1,1))</f>
        <v>490.96084572840579</v>
      </c>
      <c r="AO21" s="62">
        <f t="shared" si="36"/>
        <v>597.91658789908263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363.26248699382734</v>
      </c>
      <c r="BI21" s="62">
        <f ca="1">AVERAGE(OFFSET($BH$3,0,0,'Données projet'!$E$11+1,1))-AVERAGE(OFFSET($H$3,0,0,'Données projet'!$E$11+1,1))</f>
        <v>287.69656598881124</v>
      </c>
      <c r="BJ21" s="62">
        <f t="shared" si="38"/>
        <v>221.9773436301067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310.95287409903602</v>
      </c>
      <c r="T22" s="62">
        <f t="shared" si="34"/>
        <v>224.10083380795163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28.2</v>
      </c>
      <c r="AI22" s="14">
        <f>IF('Données projet'!$A$62&gt;35,AI21+AH22-AQ21,IF(A22&lt;'Données projet'!$A$62,$AF$205^A22,IF(A22='Données projet'!$A$62,'Données projet'!$B$62,AI21+AH22-AQ21)))</f>
        <v>274.79999999999995</v>
      </c>
      <c r="AJ22" s="14">
        <f>AI22*VLOOKUP('Données projet'!$B$10,Paramètres!$A$1:$I$89,3,0)*VLOOKUP('Données projet'!$B$10,Paramètres!$A$1:$I$89,5,0)</f>
        <v>153.61319999999998</v>
      </c>
      <c r="AK22" s="14">
        <f t="shared" si="35"/>
        <v>39.398557339898318</v>
      </c>
      <c r="AL22" s="22">
        <f t="shared" si="4"/>
        <v>336.16214403365615</v>
      </c>
      <c r="AM22" s="62">
        <f t="shared" si="5"/>
        <v>629.49547736698946</v>
      </c>
      <c r="AN22" s="62">
        <f ca="1">AVERAGE(OFFSET($AM$3,0,0,'Données projet'!$E$10+1,1))-AVERAGE(OFFSET($H$3,0,0,'Données projet'!$E$10+1,1))</f>
        <v>490.96084572840579</v>
      </c>
      <c r="AO22" s="62">
        <f t="shared" si="36"/>
        <v>597.91658789908263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379.84337213080869</v>
      </c>
      <c r="BI22" s="62">
        <f ca="1">AVERAGE(OFFSET($BH$3,0,0,'Données projet'!$E$11+1,1))-AVERAGE(OFFSET($H$3,0,0,'Données projet'!$E$11+1,1))</f>
        <v>287.69656598881124</v>
      </c>
      <c r="BJ22" s="62">
        <f t="shared" si="38"/>
        <v>221.9773436301067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310.95287409903602</v>
      </c>
      <c r="T23" s="62">
        <f t="shared" si="34"/>
        <v>224.10083380795163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0.22000000000000003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0.15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303</v>
      </c>
      <c r="AG23" s="13">
        <f>VLOOKUP(A23,'Données projet'!$A$61:$I$81,9,0)</f>
        <v>28.2</v>
      </c>
      <c r="AH23" s="13">
        <f t="array" ref="AH23">INDEX(AG:AG,MIN(IF(ISNUMBER(AG23:AG219),ROW(AG23:AG219),"")))</f>
        <v>28.2</v>
      </c>
      <c r="AI23" s="14">
        <f>IF('Données projet'!$A$62&gt;35,AI22+AH23-AQ22,IF(A23&lt;'Données projet'!$A$62,$AF$205^A23,IF(A23='Données projet'!$A$62,'Données projet'!$B$62,AI22+AH23-AQ22)))</f>
        <v>302.99999999999994</v>
      </c>
      <c r="AJ23" s="14">
        <f>AI23*VLOOKUP('Données projet'!$B$10,Paramètres!$A$1:$I$89,3,0)*VLOOKUP('Données projet'!$B$10,Paramètres!$A$1:$I$89,5,0)</f>
        <v>169.37699999999995</v>
      </c>
      <c r="AK23" s="14">
        <f t="shared" si="35"/>
        <v>42.950462509094685</v>
      </c>
      <c r="AL23" s="22">
        <f t="shared" si="4"/>
        <v>369.80366387000646</v>
      </c>
      <c r="AM23" s="62">
        <f t="shared" si="5"/>
        <v>663.13699720333977</v>
      </c>
      <c r="AN23" s="62">
        <f ca="1">AVERAGE(OFFSET($AM$3,0,0,'Données projet'!$E$10+1,1))-AVERAGE(OFFSET($H$3,0,0,'Données projet'!$E$10+1,1))</f>
        <v>490.96084572840579</v>
      </c>
      <c r="AO23" s="62">
        <f t="shared" si="36"/>
        <v>597.91658789908263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0.13750000000000001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0.75</v>
      </c>
      <c r="AU23" s="23">
        <f>EXP(-LN(2)/35)*AU22+(1-EXP(-LN(2)/35))/(LN(2)/35)*AQ23*AR23*VLOOKUP('Données projet'!$B$10,Paramètres!$A$1:$I$89,3,0)*0.475*44/12</f>
        <v>4.3844115996175317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20.411600801732742</v>
      </c>
      <c r="AX23" s="23">
        <f t="shared" si="6"/>
        <v>24.796012401350275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400.36809883857921</v>
      </c>
      <c r="BI23" s="62">
        <f ca="1">AVERAGE(OFFSET($BH$3,0,0,'Données projet'!$E$11+1,1))-AVERAGE(OFFSET($H$3,0,0,'Données projet'!$E$11+1,1))</f>
        <v>287.69656598881124</v>
      </c>
      <c r="BJ23" s="62">
        <f t="shared" si="38"/>
        <v>221.9773436301067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310.95287409903602</v>
      </c>
      <c r="T24" s="62">
        <f t="shared" si="34"/>
        <v>224.10083380795163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31.8</v>
      </c>
      <c r="AI24" s="14">
        <f>IF('Données projet'!$A$62&gt;35,AI23+AH24-AQ23,IF(A24&lt;'Données projet'!$A$62,$AF$205^A24,IF(A24='Données projet'!$A$62,'Données projet'!$B$62,AI23+AH24-AQ23)))</f>
        <v>291.79999999999995</v>
      </c>
      <c r="AJ24" s="14">
        <f>AI24*VLOOKUP('Données projet'!$B$10,Paramètres!$A$1:$I$89,3,0)*VLOOKUP('Données projet'!$B$10,Paramètres!$A$1:$I$89,5,0)</f>
        <v>163.11619999999996</v>
      </c>
      <c r="AK24" s="14">
        <f t="shared" si="35"/>
        <v>41.544592017733109</v>
      </c>
      <c r="AL24" s="22">
        <f t="shared" si="4"/>
        <v>356.4508794308851</v>
      </c>
      <c r="AM24" s="62">
        <f t="shared" si="5"/>
        <v>649.78421276421841</v>
      </c>
      <c r="AN24" s="62">
        <f ca="1">AVERAGE(OFFSET($AM$3,0,0,'Données projet'!$E$10+1,1))-AVERAGE(OFFSET($H$3,0,0,'Données projet'!$E$10+1,1))</f>
        <v>490.96084572840579</v>
      </c>
      <c r="AO24" s="62">
        <f t="shared" si="36"/>
        <v>597.91658789908263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4.2984359623760495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14.433181341777994</v>
      </c>
      <c r="AX24" s="23">
        <f t="shared" si="6"/>
        <v>18.731617304154042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425.77744411092726</v>
      </c>
      <c r="BI24" s="62">
        <f ca="1">AVERAGE(OFFSET($BH$3,0,0,'Données projet'!$E$11+1,1))-AVERAGE(OFFSET($H$3,0,0,'Données projet'!$E$11+1,1))</f>
        <v>287.69656598881124</v>
      </c>
      <c r="BJ24" s="62">
        <f t="shared" si="38"/>
        <v>221.9773436301067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310.95287409903602</v>
      </c>
      <c r="T25" s="62">
        <f t="shared" si="34"/>
        <v>224.10083380795163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31.8</v>
      </c>
      <c r="AI25" s="14">
        <f>IF('Données projet'!$A$62&gt;35,AI24+AH25-AQ24,IF(A25&lt;'Données projet'!$A$62,$AF$205^A25,IF(A25='Données projet'!$A$62,'Données projet'!$B$62,AI24+AH25-AQ24)))</f>
        <v>323.59999999999997</v>
      </c>
      <c r="AJ25" s="14">
        <f>AI25*VLOOKUP('Données projet'!$B$10,Paramètres!$A$1:$I$89,3,0)*VLOOKUP('Données projet'!$B$10,Paramètres!$A$1:$I$89,5,0)</f>
        <v>180.89240000000001</v>
      </c>
      <c r="AK25" s="14">
        <f t="shared" si="35"/>
        <v>45.520671542487669</v>
      </c>
      <c r="AL25" s="22">
        <f t="shared" si="4"/>
        <v>394.33609960316602</v>
      </c>
      <c r="AM25" s="62">
        <f t="shared" si="5"/>
        <v>687.66943293649933</v>
      </c>
      <c r="AN25" s="62">
        <f ca="1">AVERAGE(OFFSET($AM$3,0,0,'Données projet'!$E$10+1,1))-AVERAGE(OFFSET($H$3,0,0,'Données projet'!$E$10+1,1))</f>
        <v>490.96084572840579</v>
      </c>
      <c r="AO25" s="62">
        <f t="shared" si="36"/>
        <v>597.91658789908263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4.2141462549409123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10.205800400866373</v>
      </c>
      <c r="AX25" s="23">
        <f t="shared" si="6"/>
        <v>14.419946655807285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457.23719620976442</v>
      </c>
      <c r="BI25" s="62">
        <f ca="1">AVERAGE(OFFSET($BH$3,0,0,'Données projet'!$E$11+1,1))-AVERAGE(OFFSET($H$3,0,0,'Données projet'!$E$11+1,1))</f>
        <v>287.69656598881124</v>
      </c>
      <c r="BJ25" s="62">
        <f t="shared" si="38"/>
        <v>221.9773436301067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310.95287409903602</v>
      </c>
      <c r="T26" s="62">
        <f t="shared" si="34"/>
        <v>224.10083380795163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31.8</v>
      </c>
      <c r="AI26" s="14">
        <f>IF('Données projet'!$A$62&gt;35,AI25+AH26-AQ25,IF(A26&lt;'Données projet'!$A$62,$AF$205^A26,IF(A26='Données projet'!$A$62,'Données projet'!$B$62,AI25+AH26-AQ25)))</f>
        <v>355.4</v>
      </c>
      <c r="AJ26" s="14">
        <f>AI26*VLOOKUP('Données projet'!$B$10,Paramètres!$A$1:$I$89,3,0)*VLOOKUP('Données projet'!$B$10,Paramètres!$A$1:$I$89,5,0)</f>
        <v>198.66859999999997</v>
      </c>
      <c r="AK26" s="14">
        <f t="shared" si="35"/>
        <v>49.451452656287465</v>
      </c>
      <c r="AL26" s="22">
        <f t="shared" si="4"/>
        <v>432.14242504303394</v>
      </c>
      <c r="AM26" s="62">
        <f t="shared" si="5"/>
        <v>725.47575837636725</v>
      </c>
      <c r="AN26" s="62">
        <f ca="1">AVERAGE(OFFSET($AM$3,0,0,'Données projet'!$E$10+1,1))-AVERAGE(OFFSET($H$3,0,0,'Données projet'!$E$10+1,1))</f>
        <v>490.96084572840579</v>
      </c>
      <c r="AO26" s="62">
        <f t="shared" si="36"/>
        <v>597.91658789908263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4.1315094172569333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7.2165906708889977</v>
      </c>
      <c r="AX26" s="23">
        <f t="shared" si="6"/>
        <v>11.34810008814593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452.47373260408426</v>
      </c>
      <c r="BI26" s="62">
        <f ca="1">AVERAGE(OFFSET($BH$3,0,0,'Données projet'!$E$11+1,1))-AVERAGE(OFFSET($H$3,0,0,'Données projet'!$E$11+1,1))</f>
        <v>287.69656598881124</v>
      </c>
      <c r="BJ26" s="62">
        <f t="shared" si="38"/>
        <v>221.9773436301067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310.95287409903602</v>
      </c>
      <c r="T27" s="62">
        <f t="shared" si="34"/>
        <v>224.10083380795163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31.8</v>
      </c>
      <c r="AI27" s="14">
        <f>IF('Données projet'!$A$62&gt;35,AI26+AH27-AQ26,IF(A27&lt;'Données projet'!$A$62,$AF$205^A27,IF(A27='Données projet'!$A$62,'Données projet'!$B$62,AI26+AH27-AQ26)))</f>
        <v>387.2</v>
      </c>
      <c r="AJ27" s="14">
        <f>AI27*VLOOKUP('Données projet'!$B$10,Paramètres!$A$1:$I$89,3,0)*VLOOKUP('Données projet'!$B$10,Paramètres!$A$1:$I$89,5,0)</f>
        <v>216.44479999999999</v>
      </c>
      <c r="AK27" s="14">
        <f t="shared" si="35"/>
        <v>53.341449419561528</v>
      </c>
      <c r="AL27" s="22">
        <f t="shared" si="4"/>
        <v>469.87771773906962</v>
      </c>
      <c r="AM27" s="62">
        <f t="shared" si="5"/>
        <v>763.21105107240294</v>
      </c>
      <c r="AN27" s="62">
        <f ca="1">AVERAGE(OFFSET($AM$3,0,0,'Données projet'!$E$10+1,1))-AVERAGE(OFFSET($H$3,0,0,'Données projet'!$E$10+1,1))</f>
        <v>490.96084572840579</v>
      </c>
      <c r="AO27" s="62">
        <f t="shared" si="36"/>
        <v>597.91658789908263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4.0504930375564427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5.1029002004331874</v>
      </c>
      <c r="AX27" s="23">
        <f t="shared" si="6"/>
        <v>9.1533932379896292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468.48347327497567</v>
      </c>
      <c r="BI27" s="62">
        <f ca="1">AVERAGE(OFFSET($BH$3,0,0,'Données projet'!$E$11+1,1))-AVERAGE(OFFSET($H$3,0,0,'Données projet'!$E$11+1,1))</f>
        <v>287.69656598881124</v>
      </c>
      <c r="BJ27" s="62">
        <f t="shared" si="38"/>
        <v>221.9773436301067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310.95287409903602</v>
      </c>
      <c r="T28" s="62">
        <f t="shared" si="34"/>
        <v>224.10083380795163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419</v>
      </c>
      <c r="AG28" s="13">
        <f>VLOOKUP(A28,'Données projet'!$A$61:$I$81,9,0)</f>
        <v>31.8</v>
      </c>
      <c r="AH28" s="13">
        <f t="array" ref="AH28">INDEX(AG:AG,MIN(IF(ISNUMBER(AG28:AG224),ROW(AG28:AG224),"")))</f>
        <v>31.8</v>
      </c>
      <c r="AI28" s="14">
        <f>IF('Données projet'!$A$62&gt;35,AI27+AH28-AQ27,IF(A28&lt;'Données projet'!$A$62,$AF$205^A28,IF(A28='Données projet'!$A$62,'Données projet'!$B$62,AI27+AH28-AQ27)))</f>
        <v>419</v>
      </c>
      <c r="AJ28" s="14">
        <f>AI28*VLOOKUP('Données projet'!$B$10,Paramètres!$A$1:$I$89,3,0)*VLOOKUP('Données projet'!$B$10,Paramètres!$A$1:$I$89,5,0)</f>
        <v>234.221</v>
      </c>
      <c r="AK28" s="14">
        <f t="shared" si="35"/>
        <v>57.194392182630075</v>
      </c>
      <c r="AL28" s="22">
        <f t="shared" si="4"/>
        <v>507.54847471808063</v>
      </c>
      <c r="AM28" s="62">
        <f t="shared" si="5"/>
        <v>800.88180805141394</v>
      </c>
      <c r="AN28" s="62">
        <f ca="1">AVERAGE(OFFSET($AM$3,0,0,'Données projet'!$E$10+1,1))-AVERAGE(OFFSET($H$3,0,0,'Données projet'!$E$10+1,1))</f>
        <v>490.96084572840579</v>
      </c>
      <c r="AO28" s="62">
        <f t="shared" si="36"/>
        <v>597.91658789908263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60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3.9710653396467666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3.6082953354444998</v>
      </c>
      <c r="AX28" s="23">
        <f t="shared" si="6"/>
        <v>7.5793606750912659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484.4588463196344</v>
      </c>
      <c r="BI28" s="62">
        <f ca="1">AVERAGE(OFFSET($BH$3,0,0,'Données projet'!$E$11+1,1))-AVERAGE(OFFSET($H$3,0,0,'Données projet'!$E$11+1,1))</f>
        <v>287.69656598881124</v>
      </c>
      <c r="BJ28" s="62">
        <f t="shared" si="38"/>
        <v>221.9773436301067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9.0000000000000011E-2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</v>
      </c>
      <c r="BP28" s="23">
        <f>EXP(-LN(2)/35)*BP27+(1-EXP(-LN(2)/35))/(LN(2)/35)*BL28*BM28*VLOOKUP('Données projet'!$B$11,Paramètres!$A$1:$I$89,3,0)*0.475*44/12</f>
        <v>1.2137268828598531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13.038332933360959</v>
      </c>
      <c r="BS28" s="24">
        <f t="shared" si="9"/>
        <v>14.252059816220811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310.95287409903602</v>
      </c>
      <c r="T29" s="62">
        <f t="shared" si="34"/>
        <v>224.10083380795163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33</v>
      </c>
      <c r="AI29" s="14">
        <f>IF('Données projet'!$A$62&gt;35,AI28+AH29-AQ28,IF(A29&lt;'Données projet'!$A$62,$AF$205^A29,IF(A29='Données projet'!$A$62,'Données projet'!$B$62,AI28+AH29-AQ28)))</f>
        <v>392</v>
      </c>
      <c r="AJ29" s="14">
        <f>AI29*VLOOKUP('Données projet'!$B$10,Paramètres!$A$1:$I$89,3,0)*VLOOKUP('Données projet'!$B$10,Paramètres!$A$1:$I$89,5,0)</f>
        <v>219.12800000000001</v>
      </c>
      <c r="AK29" s="14">
        <f t="shared" si="35"/>
        <v>53.925317044064428</v>
      </c>
      <c r="AL29" s="22">
        <f t="shared" si="4"/>
        <v>475.56786051841215</v>
      </c>
      <c r="AM29" s="62">
        <f t="shared" si="5"/>
        <v>768.90119385174546</v>
      </c>
      <c r="AN29" s="62">
        <f ca="1">AVERAGE(OFFSET($AM$3,0,0,'Données projet'!$E$10+1,1))-AVERAGE(OFFSET($H$3,0,0,'Données projet'!$E$10+1,1))</f>
        <v>490.96084572840579</v>
      </c>
      <c r="AO29" s="62">
        <f t="shared" si="36"/>
        <v>597.91658789908263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3.8931951704469872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2.5514501002165941</v>
      </c>
      <c r="AX29" s="23">
        <f t="shared" si="6"/>
        <v>6.4446452706635817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479.79911161741188</v>
      </c>
      <c r="BI29" s="62">
        <f ca="1">AVERAGE(OFFSET($BH$3,0,0,'Données projet'!$E$11+1,1))-AVERAGE(OFFSET($H$3,0,0,'Données projet'!$E$11+1,1))</f>
        <v>287.69656598881124</v>
      </c>
      <c r="BJ29" s="62">
        <f t="shared" si="38"/>
        <v>221.9773436301067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1.1899264389872712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9.2194936325474242</v>
      </c>
      <c r="BS29" s="24">
        <f t="shared" si="9"/>
        <v>10.409420071534695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310.95287409903602</v>
      </c>
      <c r="T30" s="62">
        <f t="shared" si="34"/>
        <v>224.10083380795163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33</v>
      </c>
      <c r="AI30" s="14">
        <f>IF('Données projet'!$A$62&gt;35,AI29+AH30-AQ29,IF(A30&lt;'Données projet'!$A$62,$AF$205^A30,IF(A30='Données projet'!$A$62,'Données projet'!$B$62,AI29+AH30-AQ29)))</f>
        <v>425</v>
      </c>
      <c r="AJ30" s="14">
        <f>AI30*VLOOKUP('Données projet'!$B$10,Paramètres!$A$1:$I$89,3,0)*VLOOKUP('Données projet'!$B$10,Paramètres!$A$1:$I$89,5,0)</f>
        <v>237.57500000000002</v>
      </c>
      <c r="AK30" s="14">
        <f t="shared" si="35"/>
        <v>57.917471937261162</v>
      </c>
      <c r="AL30" s="22">
        <f t="shared" si="4"/>
        <v>514.64938862406325</v>
      </c>
      <c r="AM30" s="62">
        <f t="shared" si="5"/>
        <v>807.98272195739651</v>
      </c>
      <c r="AN30" s="62">
        <f ca="1">AVERAGE(OFFSET($AM$3,0,0,'Données projet'!$E$10+1,1))-AVERAGE(OFFSET($H$3,0,0,'Données projet'!$E$10+1,1))</f>
        <v>490.96084572840579</v>
      </c>
      <c r="AO30" s="62">
        <f t="shared" si="36"/>
        <v>597.91658789908263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3.8168519877691018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1.8041476677222501</v>
      </c>
      <c r="AX30" s="23">
        <f t="shared" si="6"/>
        <v>5.6209996554913522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497.13048476928668</v>
      </c>
      <c r="BI30" s="62">
        <f ca="1">AVERAGE(OFFSET($BH$3,0,0,'Données projet'!$E$11+1,1))-AVERAGE(OFFSET($H$3,0,0,'Données projet'!$E$11+1,1))</f>
        <v>287.69656598881124</v>
      </c>
      <c r="BJ30" s="62">
        <f t="shared" si="38"/>
        <v>221.9773436301067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1.1665927073021936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6.5191664666804803</v>
      </c>
      <c r="BS30" s="24">
        <f t="shared" si="9"/>
        <v>7.6857591739826736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310.95287409903602</v>
      </c>
      <c r="T31" s="62">
        <f t="shared" si="34"/>
        <v>224.10083380795163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33</v>
      </c>
      <c r="AI31" s="14">
        <f>IF('Données projet'!$A$62&gt;35,AI30+AH31-AQ30,IF(A31&lt;'Données projet'!$A$62,$AF$205^A31,IF(A31='Données projet'!$A$62,'Données projet'!$B$62,AI30+AH31-AQ30)))</f>
        <v>458</v>
      </c>
      <c r="AJ31" s="14">
        <f>AI31*VLOOKUP('Données projet'!$B$10,Paramètres!$A$1:$I$89,3,0)*VLOOKUP('Données projet'!$B$10,Paramètres!$A$1:$I$89,5,0)</f>
        <v>256.02199999999999</v>
      </c>
      <c r="AK31" s="14">
        <f t="shared" si="35"/>
        <v>61.873669712051253</v>
      </c>
      <c r="AL31" s="22">
        <f t="shared" si="4"/>
        <v>553.66829141515586</v>
      </c>
      <c r="AM31" s="62">
        <f t="shared" si="5"/>
        <v>847.00162474848912</v>
      </c>
      <c r="AN31" s="62">
        <f ca="1">AVERAGE(OFFSET($AM$3,0,0,'Données projet'!$E$10+1,1))-AVERAGE(OFFSET($H$3,0,0,'Données projet'!$E$10+1,1))</f>
        <v>490.96084572840579</v>
      </c>
      <c r="AO31" s="62">
        <f t="shared" si="36"/>
        <v>597.91658789908263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3.7420058483387866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1.2757250501082973</v>
      </c>
      <c r="AX31" s="23">
        <f t="shared" si="6"/>
        <v>5.0177308984470841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514.42775738247849</v>
      </c>
      <c r="BI31" s="62">
        <f ca="1">AVERAGE(OFFSET($BH$3,0,0,'Données projet'!$E$11+1,1))-AVERAGE(OFFSET($H$3,0,0,'Données projet'!$E$11+1,1))</f>
        <v>287.69656598881124</v>
      </c>
      <c r="BJ31" s="62">
        <f t="shared" si="38"/>
        <v>221.9773436301067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1.143716535863289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4.609746816273713</v>
      </c>
      <c r="BS31" s="24">
        <f t="shared" si="9"/>
        <v>5.7534633521370022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310.95287409903602</v>
      </c>
      <c r="T32" s="62">
        <f t="shared" si="34"/>
        <v>224.10083380795163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33</v>
      </c>
      <c r="AI32" s="14">
        <f>IF('Données projet'!$A$62&gt;35,AI31+AH32-AQ31,IF(A32&lt;'Données projet'!$A$62,$AF$205^A32,IF(A32='Données projet'!$A$62,'Données projet'!$B$62,AI31+AH32-AQ31)))</f>
        <v>491</v>
      </c>
      <c r="AJ32" s="14">
        <f>AI32*VLOOKUP('Données projet'!$B$10,Paramètres!$A$1:$I$89,3,0)*VLOOKUP('Données projet'!$B$10,Paramètres!$A$1:$I$89,5,0)</f>
        <v>274.46899999999999</v>
      </c>
      <c r="AK32" s="14">
        <f t="shared" si="35"/>
        <v>65.796795812732981</v>
      </c>
      <c r="AL32" s="22">
        <f t="shared" si="4"/>
        <v>592.62959437384313</v>
      </c>
      <c r="AM32" s="62">
        <f t="shared" si="5"/>
        <v>885.9629277071765</v>
      </c>
      <c r="AN32" s="62">
        <f ca="1">AVERAGE(OFFSET($AM$3,0,0,'Données projet'!$E$10+1,1))-AVERAGE(OFFSET($H$3,0,0,'Données projet'!$E$10+1,1))</f>
        <v>490.96084572840579</v>
      </c>
      <c r="AO32" s="62">
        <f t="shared" si="36"/>
        <v>597.91658789908263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3.6686273960510625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0.90207383386112516</v>
      </c>
      <c r="AX32" s="23">
        <f t="shared" si="6"/>
        <v>4.5707012299121876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531.69397310455531</v>
      </c>
      <c r="BI32" s="62">
        <f ca="1">AVERAGE(OFFSET($BH$3,0,0,'Données projet'!$E$11+1,1))-AVERAGE(OFFSET($H$3,0,0,'Données projet'!$E$11+1,1))</f>
        <v>287.69656598881124</v>
      </c>
      <c r="BJ32" s="62">
        <f t="shared" si="38"/>
        <v>221.9773436301067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1.1212889521932148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3.2595832333402406</v>
      </c>
      <c r="BS32" s="24">
        <f t="shared" si="9"/>
        <v>4.3808721855334554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310.95287409903602</v>
      </c>
      <c r="T33" s="62">
        <f t="shared" si="34"/>
        <v>224.10083380795163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524</v>
      </c>
      <c r="AG33" s="13">
        <f>VLOOKUP(A33,'Données projet'!$A$61:$I$81,9,0)</f>
        <v>33</v>
      </c>
      <c r="AH33" s="13">
        <f t="array" ref="AH33">INDEX(AG:AG,MIN(IF(ISNUMBER(AG33:AG229),ROW(AG33:AG229),"")))</f>
        <v>33</v>
      </c>
      <c r="AI33" s="14">
        <f>IF('Données projet'!$A$62&gt;35,AI32+AH33-AQ32,IF(A33&lt;'Données projet'!$A$62,$AF$205^A33,IF(A33='Données projet'!$A$62,'Données projet'!$B$62,AI32+AH33-AQ32)))</f>
        <v>524</v>
      </c>
      <c r="AJ33" s="14">
        <f>AI33*VLOOKUP('Données projet'!$B$10,Paramètres!$A$1:$I$89,3,0)*VLOOKUP('Données projet'!$B$10,Paramètres!$A$1:$I$89,5,0)</f>
        <v>292.916</v>
      </c>
      <c r="AK33" s="14">
        <f t="shared" si="35"/>
        <v>69.68932587703776</v>
      </c>
      <c r="AL33" s="22">
        <f t="shared" si="4"/>
        <v>631.53760923584082</v>
      </c>
      <c r="AM33" s="62">
        <f t="shared" si="5"/>
        <v>924.87094256917408</v>
      </c>
      <c r="AN33" s="62">
        <f ca="1">AVERAGE(OFFSET($AM$3,0,0,'Données projet'!$E$10+1,1))-AVERAGE(OFFSET($H$3,0,0,'Données projet'!$E$10+1,1))</f>
        <v>490.96084572840579</v>
      </c>
      <c r="AO33" s="62">
        <f t="shared" si="36"/>
        <v>597.91658789908263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90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3.5966878504562638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0.63786252505414864</v>
      </c>
      <c r="AX33" s="23">
        <f t="shared" si="6"/>
        <v>4.2345503755104126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287.69656598881124</v>
      </c>
      <c r="BJ33" s="62">
        <f t="shared" si="38"/>
        <v>221.9773436301067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0.6</v>
      </c>
      <c r="BP33" s="23">
        <f>EXP(-LN(2)/35)*BP32+(1-EXP(-LN(2)/35))/(LN(2)/35)*BL33*BM33*VLOOKUP('Données projet'!$B$11,Paramètres!$A$1:$I$89,3,0)*0.475*44/12</f>
        <v>5.9542086911988479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16.117201652121722</v>
      </c>
      <c r="BS33" s="24">
        <f t="shared" si="9"/>
        <v>22.071410343320569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310.95287409903602</v>
      </c>
      <c r="T34" s="62">
        <f t="shared" si="34"/>
        <v>224.10083380795163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28.4</v>
      </c>
      <c r="AI34" s="14">
        <f>IF('Données projet'!$A$62&gt;35,AI33+AH34-AQ33,IF(A34&lt;'Données projet'!$A$62,$AF$205^A34,IF(A34='Données projet'!$A$62,'Données projet'!$B$62,AI33+AH34-AQ33)))</f>
        <v>462.4</v>
      </c>
      <c r="AJ34" s="14">
        <f>AI34*VLOOKUP('Données projet'!$B$10,Paramètres!$A$1:$I$89,3,0)*VLOOKUP('Données projet'!$B$10,Paramètres!$A$1:$I$89,5,0)</f>
        <v>258.48160000000001</v>
      </c>
      <c r="AK34" s="14">
        <f t="shared" si="35"/>
        <v>62.398606187610767</v>
      </c>
      <c r="AL34" s="22">
        <f t="shared" si="4"/>
        <v>558.86635911008875</v>
      </c>
      <c r="AM34" s="62">
        <f t="shared" si="5"/>
        <v>852.19969244342201</v>
      </c>
      <c r="AN34" s="62">
        <f ca="1">AVERAGE(OFFSET($AM$3,0,0,'Données projet'!$E$10+1,1))-AVERAGE(OFFSET($H$3,0,0,'Données projet'!$E$10+1,1))</f>
        <v>490.96084572840579</v>
      </c>
      <c r="AO34" s="62">
        <f t="shared" si="36"/>
        <v>597.91658789908263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3.5261589954717891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0.45103691693056258</v>
      </c>
      <c r="AX34" s="23">
        <f t="shared" si="6"/>
        <v>3.9771959124023519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287.69656598881124</v>
      </c>
      <c r="BJ34" s="62">
        <f t="shared" si="38"/>
        <v>221.9773436301067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5.8374502904731385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11.396582581966298</v>
      </c>
      <c r="BS34" s="24">
        <f t="shared" si="9"/>
        <v>17.234032872439435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310.95287409903602</v>
      </c>
      <c r="T35" s="62">
        <f t="shared" si="34"/>
        <v>224.10083380795163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28.4</v>
      </c>
      <c r="AI35" s="14">
        <f>IF('Données projet'!$A$62&gt;35,AI34+AH35-AQ34,IF(A35&lt;'Données projet'!$A$62,$AF$205^A35,IF(A35='Données projet'!$A$62,'Données projet'!$B$62,AI34+AH35-AQ34)))</f>
        <v>490.79999999999995</v>
      </c>
      <c r="AJ35" s="14">
        <f>AI35*VLOOKUP('Données projet'!$B$10,Paramètres!$A$1:$I$89,3,0)*VLOOKUP('Données projet'!$B$10,Paramètres!$A$1:$I$89,5,0)</f>
        <v>274.35719999999998</v>
      </c>
      <c r="AK35" s="14">
        <f t="shared" si="35"/>
        <v>65.773113764972635</v>
      </c>
      <c r="AL35" s="22">
        <f t="shared" si="4"/>
        <v>592.39362980732722</v>
      </c>
      <c r="AM35" s="62">
        <f t="shared" si="5"/>
        <v>885.72696314066047</v>
      </c>
      <c r="AN35" s="62">
        <f ca="1">AVERAGE(OFFSET($AM$3,0,0,'Données projet'!$E$10+1,1))-AVERAGE(OFFSET($H$3,0,0,'Données projet'!$E$10+1,1))</f>
        <v>490.96084572840579</v>
      </c>
      <c r="AO35" s="62">
        <f t="shared" si="36"/>
        <v>597.91658789908263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3.4570131683152061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0.31893126252707432</v>
      </c>
      <c r="AX35" s="23">
        <f t="shared" si="6"/>
        <v>3.7759444308422805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287.69656598881124</v>
      </c>
      <c r="BJ35" s="62">
        <f t="shared" si="38"/>
        <v>221.9773436301067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5.7229814507700683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8.0586008260608626</v>
      </c>
      <c r="BS35" s="24">
        <f t="shared" si="9"/>
        <v>13.781582276830932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310.95287409903602</v>
      </c>
      <c r="T36" s="62">
        <f t="shared" si="34"/>
        <v>224.10083380795163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28.4</v>
      </c>
      <c r="AI36" s="14">
        <f>IF('Données projet'!$A$62&gt;35,AI35+AH36-AQ35,IF(A36&lt;'Données projet'!$A$62,$AF$205^A36,IF(A36='Données projet'!$A$62,'Données projet'!$B$62,AI35+AH36-AQ35)))</f>
        <v>519.19999999999993</v>
      </c>
      <c r="AJ36" s="14">
        <f>AI36*VLOOKUP('Données projet'!$B$10,Paramètres!$A$1:$I$89,3,0)*VLOOKUP('Données projet'!$B$10,Paramètres!$A$1:$I$89,5,0)</f>
        <v>290.2328</v>
      </c>
      <c r="AK36" s="14">
        <f t="shared" si="35"/>
        <v>69.124955529636495</v>
      </c>
      <c r="AL36" s="22">
        <f t="shared" si="4"/>
        <v>625.88142421411692</v>
      </c>
      <c r="AM36" s="62">
        <f t="shared" si="5"/>
        <v>919.21475754745029</v>
      </c>
      <c r="AN36" s="62">
        <f ca="1">AVERAGE(OFFSET($AM$3,0,0,'Données projet'!$E$10+1,1))-AVERAGE(OFFSET($H$3,0,0,'Données projet'!$E$10+1,1))</f>
        <v>490.96084572840579</v>
      </c>
      <c r="AO36" s="62">
        <f t="shared" si="36"/>
        <v>597.91658789908263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3.3892232486543734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0.22551845846528129</v>
      </c>
      <c r="AX36" s="23">
        <f t="shared" si="6"/>
        <v>3.6147417071196548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287.69656598881124</v>
      </c>
      <c r="BJ36" s="62">
        <f t="shared" si="38"/>
        <v>221.9773436301067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5.6107572751944765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5.6982912909831498</v>
      </c>
      <c r="BS36" s="24">
        <f t="shared" si="9"/>
        <v>11.309048566177626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310.95287409903602</v>
      </c>
      <c r="T37" s="62">
        <f t="shared" si="34"/>
        <v>224.10083380795163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28.4</v>
      </c>
      <c r="AI37" s="14">
        <f>IF('Données projet'!$A$62&gt;35,AI36+AH37-AQ36,IF(A37&lt;'Données projet'!$A$62,$AF$205^A37,IF(A37='Données projet'!$A$62,'Données projet'!$B$62,AI36+AH37-AQ36)))</f>
        <v>547.59999999999991</v>
      </c>
      <c r="AJ37" s="14">
        <f>AI37*VLOOKUP('Données projet'!$B$10,Paramètres!$A$1:$I$89,3,0)*VLOOKUP('Données projet'!$B$10,Paramètres!$A$1:$I$89,5,0)</f>
        <v>306.10839999999996</v>
      </c>
      <c r="AK37" s="14">
        <f t="shared" si="35"/>
        <v>72.455512621968097</v>
      </c>
      <c r="AL37" s="22">
        <f t="shared" si="4"/>
        <v>659.33214781659433</v>
      </c>
      <c r="AM37" s="62">
        <f t="shared" si="5"/>
        <v>952.6654811499277</v>
      </c>
      <c r="AN37" s="62">
        <f ca="1">AVERAGE(OFFSET($AM$3,0,0,'Données projet'!$E$10+1,1))-AVERAGE(OFFSET($H$3,0,0,'Données projet'!$E$10+1,1))</f>
        <v>490.96084572840579</v>
      </c>
      <c r="AO37" s="62">
        <f t="shared" si="36"/>
        <v>597.91658789908263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3.3227626479703214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0.15946563126353716</v>
      </c>
      <c r="AX37" s="23">
        <f t="shared" si="6"/>
        <v>3.4822282792338584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287.69656598881124</v>
      </c>
      <c r="BJ37" s="62">
        <f t="shared" si="38"/>
        <v>221.9773436301067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5.5007337472519344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4.0293004130304322</v>
      </c>
      <c r="BS37" s="24">
        <f t="shared" si="9"/>
        <v>9.5300341602823657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310.95287409903602</v>
      </c>
      <c r="T38" s="62">
        <f t="shared" si="34"/>
        <v>224.10083380795163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576</v>
      </c>
      <c r="AG38" s="13">
        <f>VLOOKUP(A38,'Données projet'!$A$61:$I$81,9,0)</f>
        <v>28.4</v>
      </c>
      <c r="AH38" s="13">
        <f t="array" ref="AH38">INDEX(AG:AG,MIN(IF(ISNUMBER(AG38:AG234),ROW(AG38:AG234),"")))</f>
        <v>28.4</v>
      </c>
      <c r="AI38" s="14">
        <f>IF('Données projet'!$A$62&gt;35,AI37+AH38-AQ37,IF(A38&lt;'Données projet'!$A$62,$AF$205^A38,IF(A38='Données projet'!$A$62,'Données projet'!$B$62,AI37+AH38-AQ37)))</f>
        <v>575.99999999999989</v>
      </c>
      <c r="AJ38" s="14">
        <f>AI38*VLOOKUP('Données projet'!$B$10,Paramètres!$A$1:$I$89,3,0)*VLOOKUP('Données projet'!$B$10,Paramètres!$A$1:$I$89,5,0)</f>
        <v>321.98399999999992</v>
      </c>
      <c r="AK38" s="14">
        <f t="shared" si="35"/>
        <v>75.76601483154208</v>
      </c>
      <c r="AL38" s="22">
        <f t="shared" si="4"/>
        <v>692.74794249826891</v>
      </c>
      <c r="AM38" s="62">
        <f t="shared" si="5"/>
        <v>986.08127583160217</v>
      </c>
      <c r="AN38" s="62">
        <f ca="1">AVERAGE(OFFSET($AM$3,0,0,'Données projet'!$E$10+1,1))-AVERAGE(OFFSET($H$3,0,0,'Données projet'!$E$10+1,1))</f>
        <v>490.96084572840579</v>
      </c>
      <c r="AO38" s="62">
        <f t="shared" si="36"/>
        <v>597.91658789908263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72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3.2576052991287203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0.11275922923264065</v>
      </c>
      <c r="AX38" s="23">
        <f t="shared" si="6"/>
        <v>3.3703645283613608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287.69656598881124</v>
      </c>
      <c r="BJ38" s="62">
        <f t="shared" si="38"/>
        <v>221.9773436301067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0.20250000000000001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0.55000000000000004</v>
      </c>
      <c r="BP38" s="23">
        <f>EXP(-LN(2)/35)*BP37+(1-EXP(-LN(2)/35))/(LN(2)/35)*BL38*BM38*VLOOKUP('Données projet'!$B$11,Paramètres!$A$1:$I$89,3,0)*0.475*44/12</f>
        <v>11.979120945574117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18.11718495440622</v>
      </c>
      <c r="BS38" s="24">
        <f t="shared" si="9"/>
        <v>30.096305899980337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310.95287409903602</v>
      </c>
      <c r="T39" s="62">
        <f t="shared" si="34"/>
        <v>224.10083380795163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27</v>
      </c>
      <c r="AI39" s="14">
        <f>IF('Données projet'!$A$62&gt;35,AI38+AH39-AQ38,IF(A39&lt;'Données projet'!$A$62,$AF$205^A39,IF(A39='Données projet'!$A$62,'Données projet'!$B$62,AI38+AH39-AQ38)))</f>
        <v>530.99999999999989</v>
      </c>
      <c r="AJ39" s="14">
        <f>AI39*VLOOKUP('Données projet'!$B$10,Paramètres!$A$1:$I$89,3,0)*VLOOKUP('Données projet'!$B$10,Paramètres!$A$1:$I$89,5,0)</f>
        <v>296.82899999999995</v>
      </c>
      <c r="AK39" s="14">
        <f t="shared" si="35"/>
        <v>70.511289513454344</v>
      </c>
      <c r="AL39" s="22">
        <f t="shared" si="4"/>
        <v>639.78433756926631</v>
      </c>
      <c r="AM39" s="62">
        <f t="shared" si="5"/>
        <v>933.11767090259968</v>
      </c>
      <c r="AN39" s="62">
        <f ca="1">AVERAGE(OFFSET($AM$3,0,0,'Données projet'!$E$10+1,1))-AVERAGE(OFFSET($H$3,0,0,'Données projet'!$E$10+1,1))</f>
        <v>490.96084572840579</v>
      </c>
      <c r="AO39" s="62">
        <f t="shared" si="36"/>
        <v>597.91658789908263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3.1937256461558441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7.973281563176858E-2</v>
      </c>
      <c r="AX39" s="23">
        <f t="shared" si="6"/>
        <v>3.2734584617876128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287.69656598881124</v>
      </c>
      <c r="BJ39" s="62">
        <f t="shared" si="38"/>
        <v>221.9773436301067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11.744217690373723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12.810784337271532</v>
      </c>
      <c r="BS39" s="24">
        <f t="shared" si="9"/>
        <v>24.555002027645255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310.95287409903602</v>
      </c>
      <c r="T40" s="62">
        <f t="shared" si="34"/>
        <v>224.10083380795163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27</v>
      </c>
      <c r="AI40" s="14">
        <f>IF('Données projet'!$A$62&gt;35,AI39+AH40-AQ39,IF(A40&lt;'Données projet'!$A$62,$AF$205^A40,IF(A40='Données projet'!$A$62,'Données projet'!$B$62,AI39+AH40-AQ39)))</f>
        <v>557.99999999999989</v>
      </c>
      <c r="AJ40" s="14">
        <f>AI40*VLOOKUP('Données projet'!$B$10,Paramètres!$A$1:$I$89,3,0)*VLOOKUP('Données projet'!$B$10,Paramètres!$A$1:$I$89,5,0)</f>
        <v>311.92199999999991</v>
      </c>
      <c r="AK40" s="14">
        <f t="shared" si="35"/>
        <v>73.670075764965745</v>
      </c>
      <c r="AL40" s="22">
        <f t="shared" si="4"/>
        <v>671.57286529064845</v>
      </c>
      <c r="AM40" s="62">
        <f t="shared" si="5"/>
        <v>964.90619862398171</v>
      </c>
      <c r="AN40" s="62">
        <f ca="1">AVERAGE(OFFSET($AM$3,0,0,'Données projet'!$E$10+1,1))-AVERAGE(OFFSET($H$3,0,0,'Données projet'!$E$10+1,1))</f>
        <v>490.96084572840579</v>
      </c>
      <c r="AO40" s="62">
        <f t="shared" si="36"/>
        <v>597.91658789908263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3.1310986342150251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5.6379614616320323E-2</v>
      </c>
      <c r="AX40" s="23">
        <f t="shared" si="6"/>
        <v>3.1874782488313453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287.69656598881124</v>
      </c>
      <c r="BJ40" s="62">
        <f t="shared" si="38"/>
        <v>221.9773436301067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11.513920744730973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9.0585924772031117</v>
      </c>
      <c r="BS40" s="24">
        <f t="shared" si="9"/>
        <v>20.572513221934084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310.95287409903602</v>
      </c>
      <c r="T41" s="62">
        <f t="shared" si="34"/>
        <v>224.10083380795163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27</v>
      </c>
      <c r="AI41" s="14">
        <f>IF('Données projet'!$A$62&gt;35,AI40+AH41-AQ40,IF(A41&lt;'Données projet'!$A$62,$AF$205^A41,IF(A41='Données projet'!$A$62,'Données projet'!$B$62,AI40+AH41-AQ40)))</f>
        <v>584.99999999999989</v>
      </c>
      <c r="AJ41" s="14">
        <f>AI41*VLOOKUP('Données projet'!$B$10,Paramètres!$A$1:$I$89,3,0)*VLOOKUP('Données projet'!$B$10,Paramètres!$A$1:$I$89,5,0)</f>
        <v>327.01499999999993</v>
      </c>
      <c r="AK41" s="14">
        <f t="shared" si="35"/>
        <v>76.811113612871907</v>
      </c>
      <c r="AL41" s="22">
        <f t="shared" si="4"/>
        <v>703.33048120908506</v>
      </c>
      <c r="AM41" s="62">
        <f t="shared" si="5"/>
        <v>996.66381454241832</v>
      </c>
      <c r="AN41" s="62">
        <f ca="1">AVERAGE(OFFSET($AM$3,0,0,'Données projet'!$E$10+1,1))-AVERAGE(OFFSET($H$3,0,0,'Données projet'!$E$10+1,1))</f>
        <v>490.96084572840579</v>
      </c>
      <c r="AO41" s="62">
        <f t="shared" si="36"/>
        <v>597.91658789908263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3.06969969977966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3.986640781588429E-2</v>
      </c>
      <c r="AX41" s="23">
        <f t="shared" si="6"/>
        <v>3.1095661075955441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287.69656598881124</v>
      </c>
      <c r="BJ41" s="62">
        <f t="shared" si="38"/>
        <v>221.9773436301067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11.288139781725009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6.4053921686357667</v>
      </c>
      <c r="BS41" s="24">
        <f t="shared" si="9"/>
        <v>17.693531950360775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310.95287409903602</v>
      </c>
      <c r="T42" s="62">
        <f t="shared" si="34"/>
        <v>224.10083380795163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27</v>
      </c>
      <c r="AI42" s="14">
        <f>IF('Données projet'!$A$62&gt;35,AI41+AH42-AQ41,IF(A42&lt;'Données projet'!$A$62,$AF$205^A42,IF(A42='Données projet'!$A$62,'Données projet'!$B$62,AI41+AH42-AQ41)))</f>
        <v>611.99999999999989</v>
      </c>
      <c r="AJ42" s="14">
        <f>AI42*VLOOKUP('Données projet'!$B$10,Paramètres!$A$1:$I$89,3,0)*VLOOKUP('Données projet'!$B$10,Paramètres!$A$1:$I$89,5,0)</f>
        <v>342.10799999999995</v>
      </c>
      <c r="AK42" s="14">
        <f t="shared" si="35"/>
        <v>79.935315774430151</v>
      </c>
      <c r="AL42" s="22">
        <f t="shared" si="4"/>
        <v>735.0587749737989</v>
      </c>
      <c r="AM42" s="62">
        <f t="shared" si="5"/>
        <v>1028.3921083071323</v>
      </c>
      <c r="AN42" s="62">
        <f ca="1">AVERAGE(OFFSET($AM$3,0,0,'Données projet'!$E$10+1,1))-AVERAGE(OFFSET($H$3,0,0,'Données projet'!$E$10+1,1))</f>
        <v>490.96084572840579</v>
      </c>
      <c r="AO42" s="62">
        <f t="shared" si="36"/>
        <v>597.91658789908263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3.0095047609989201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2.8189807308160161E-2</v>
      </c>
      <c r="AX42" s="23">
        <f t="shared" si="6"/>
        <v>3.0376945683070802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287.69656598881124</v>
      </c>
      <c r="BJ42" s="62">
        <f t="shared" si="38"/>
        <v>221.9773436301067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11.066786245690803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4.5292962386015567</v>
      </c>
      <c r="BS42" s="24">
        <f t="shared" si="9"/>
        <v>15.59608248429236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310.95287409903602</v>
      </c>
      <c r="T43" s="62">
        <f t="shared" si="34"/>
        <v>224.10083380795163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639</v>
      </c>
      <c r="AG43" s="13">
        <f>VLOOKUP(A43,'Données projet'!$A$61:$I$81,9,0)</f>
        <v>27</v>
      </c>
      <c r="AH43" s="13">
        <f t="array" ref="AH43">INDEX(AG:AG,MIN(IF(ISNUMBER(AG43:AG239),ROW(AG43:AG239),"")))</f>
        <v>27</v>
      </c>
      <c r="AI43" s="14">
        <f>IF('Données projet'!$A$62&gt;35,AI42+AH43-AQ42,IF(A43&lt;'Données projet'!$A$62,$AF$205^A43,IF(A43='Données projet'!$A$62,'Données projet'!$B$62,AI42+AH43-AQ42)))</f>
        <v>638.99999999999989</v>
      </c>
      <c r="AJ43" s="14">
        <f>AI43*VLOOKUP('Données projet'!$B$10,Paramètres!$A$1:$I$89,3,0)*VLOOKUP('Données projet'!$B$10,Paramètres!$A$1:$I$89,5,0)</f>
        <v>357.20099999999991</v>
      </c>
      <c r="AK43" s="14">
        <f t="shared" si="35"/>
        <v>83.043509879488369</v>
      </c>
      <c r="AL43" s="22">
        <f t="shared" si="4"/>
        <v>766.75918804010871</v>
      </c>
      <c r="AM43" s="62">
        <f t="shared" si="5"/>
        <v>1060.092521373442</v>
      </c>
      <c r="AN43" s="62">
        <f ca="1">AVERAGE(OFFSET($AM$3,0,0,'Données projet'!$E$10+1,1))-AVERAGE(OFFSET($H$3,0,0,'Données projet'!$E$10+1,1))</f>
        <v>490.96084572840579</v>
      </c>
      <c r="AO43" s="62">
        <f t="shared" si="36"/>
        <v>597.91658789908263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77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2.9504902082523832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1.9933203907942145E-2</v>
      </c>
      <c r="AX43" s="23">
        <f t="shared" si="6"/>
        <v>2.9704234121603252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287.69656598881124</v>
      </c>
      <c r="BJ43" s="62">
        <f t="shared" si="38"/>
        <v>221.9773436301067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10.849773317485901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3.2026960843178838</v>
      </c>
      <c r="BS43" s="24">
        <f t="shared" si="9"/>
        <v>14.052469401803785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310.95287409903602</v>
      </c>
      <c r="T44" s="62">
        <f t="shared" si="34"/>
        <v>224.10083380795163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24.8</v>
      </c>
      <c r="AI44" s="14">
        <f>IF('Données projet'!$A$62&gt;35,AI43+AH44-AQ43,IF(A44&lt;'Données projet'!$A$62,$AF$205^A44,IF(A44='Données projet'!$A$62,'Données projet'!$B$62,AI43+AH44-AQ43)))</f>
        <v>586.79999999999984</v>
      </c>
      <c r="AJ44" s="14">
        <f>AI44*VLOOKUP('Données projet'!$B$10,Paramètres!$A$1:$I$89,3,0)*VLOOKUP('Données projet'!$B$10,Paramètres!$A$1:$I$89,5,0)</f>
        <v>328.02119999999991</v>
      </c>
      <c r="AK44" s="14">
        <f t="shared" si="35"/>
        <v>77.019907950957702</v>
      </c>
      <c r="AL44" s="22">
        <f t="shared" si="4"/>
        <v>705.44659634791776</v>
      </c>
      <c r="AM44" s="62">
        <f t="shared" si="5"/>
        <v>998.77992968125113</v>
      </c>
      <c r="AN44" s="62">
        <f ca="1">AVERAGE(OFFSET($AM$3,0,0,'Données projet'!$E$10+1,1))-AVERAGE(OFFSET($H$3,0,0,'Données projet'!$E$10+1,1))</f>
        <v>490.96084572840579</v>
      </c>
      <c r="AO44" s="62">
        <f t="shared" si="36"/>
        <v>597.91658789908263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2.892632894889883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1.4094903654080081E-2</v>
      </c>
      <c r="AX44" s="23">
        <f t="shared" si="6"/>
        <v>2.906727798543963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239.60000000000008</v>
      </c>
      <c r="BE44" s="14">
        <f>BD44*VLOOKUP('Données projet'!$B$11,Paramètres!$A$1:$I$89,3,0)*VLOOKUP('Données projet'!$B$11,Paramètres!$A$1:$I$89,5,0)</f>
        <v>143.28080000000006</v>
      </c>
      <c r="BF44" s="14">
        <f t="shared" si="37"/>
        <v>37.047574465948976</v>
      </c>
      <c r="BG44" s="22">
        <f t="shared" si="7"/>
        <v>314.07191886152788</v>
      </c>
      <c r="BH44" s="62">
        <f t="shared" si="8"/>
        <v>607.40525219486119</v>
      </c>
      <c r="BI44" s="62">
        <f ca="1">AVERAGE(OFFSET($BH$3,0,0,'Données projet'!$E$11+1,1))-AVERAGE(OFFSET($H$3,0,0,'Données projet'!$E$11+1,1))</f>
        <v>287.69656598881124</v>
      </c>
      <c r="BJ44" s="62">
        <f t="shared" si="38"/>
        <v>221.9773436301067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10.637015880438282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2.2646481193007784</v>
      </c>
      <c r="BS44" s="24">
        <f t="shared" si="9"/>
        <v>12.901663999739061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310.95287409903602</v>
      </c>
      <c r="T45" s="62">
        <f t="shared" si="34"/>
        <v>224.10083380795163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24.8</v>
      </c>
      <c r="AI45" s="14">
        <f>IF('Données projet'!$A$62&gt;35,AI44+AH45-AQ44,IF(A45&lt;'Données projet'!$A$62,$AF$205^A45,IF(A45='Données projet'!$A$62,'Données projet'!$B$62,AI44+AH45-AQ44)))</f>
        <v>611.5999999999998</v>
      </c>
      <c r="AJ45" s="14">
        <f>AI45*VLOOKUP('Données projet'!$B$10,Paramètres!$A$1:$I$89,3,0)*VLOOKUP('Données projet'!$B$10,Paramètres!$A$1:$I$89,5,0)</f>
        <v>341.88439999999986</v>
      </c>
      <c r="AK45" s="14">
        <f t="shared" si="35"/>
        <v>79.889150066970018</v>
      </c>
      <c r="AL45" s="22">
        <f t="shared" si="4"/>
        <v>734.58893303330581</v>
      </c>
      <c r="AM45" s="62">
        <f t="shared" si="5"/>
        <v>1027.9222663666392</v>
      </c>
      <c r="AN45" s="62">
        <f ca="1">AVERAGE(OFFSET($AM$3,0,0,'Données projet'!$E$10+1,1))-AVERAGE(OFFSET($H$3,0,0,'Données projet'!$E$10+1,1))</f>
        <v>490.96084572840579</v>
      </c>
      <c r="AO45" s="62">
        <f t="shared" si="36"/>
        <v>597.91658789908263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2.8359101281529449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9.9666019539710726E-3</v>
      </c>
      <c r="AX45" s="23">
        <f t="shared" si="6"/>
        <v>2.8458767301069159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256.2000000000001</v>
      </c>
      <c r="BE45" s="14">
        <f>BD45*VLOOKUP('Données projet'!$B$11,Paramètres!$A$1:$I$89,3,0)*VLOOKUP('Données projet'!$B$11,Paramètres!$A$1:$I$89,5,0)</f>
        <v>153.20760000000007</v>
      </c>
      <c r="BF45" s="14">
        <f t="shared" si="37"/>
        <v>39.306624169832133</v>
      </c>
      <c r="BG45" s="22">
        <f t="shared" si="7"/>
        <v>335.29560709579107</v>
      </c>
      <c r="BH45" s="62">
        <f t="shared" si="8"/>
        <v>628.62894042912444</v>
      </c>
      <c r="BI45" s="62">
        <f ca="1">AVERAGE(OFFSET($BH$3,0,0,'Données projet'!$E$11+1,1))-AVERAGE(OFFSET($H$3,0,0,'Données projet'!$E$11+1,1))</f>
        <v>287.69656598881124</v>
      </c>
      <c r="BJ45" s="62">
        <f t="shared" si="38"/>
        <v>221.9773436301067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10.428430486961943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1.6013480421589419</v>
      </c>
      <c r="BS45" s="24">
        <f t="shared" si="9"/>
        <v>12.029778529120886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310.95287409903602</v>
      </c>
      <c r="T46" s="62">
        <f t="shared" si="34"/>
        <v>224.10083380795163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24.8</v>
      </c>
      <c r="AI46" s="14">
        <f>IF('Données projet'!$A$62&gt;35,AI45+AH46-AQ45,IF(A46&lt;'Données projet'!$A$62,$AF$205^A46,IF(A46='Données projet'!$A$62,'Données projet'!$B$62,AI45+AH46-AQ45)))</f>
        <v>636.39999999999975</v>
      </c>
      <c r="AJ46" s="14">
        <f>AI46*VLOOKUP('Données projet'!$B$10,Paramètres!$A$1:$I$89,3,0)*VLOOKUP('Données projet'!$B$10,Paramètres!$A$1:$I$89,5,0)</f>
        <v>355.74759999999986</v>
      </c>
      <c r="AK46" s="14">
        <f t="shared" si="35"/>
        <v>82.744877508992289</v>
      </c>
      <c r="AL46" s="22">
        <f t="shared" si="4"/>
        <v>763.70773166149456</v>
      </c>
      <c r="AM46" s="62">
        <f t="shared" si="5"/>
        <v>1057.0410649948278</v>
      </c>
      <c r="AN46" s="62">
        <f ca="1">AVERAGE(OFFSET($AM$3,0,0,'Données projet'!$E$10+1,1))-AVERAGE(OFFSET($H$3,0,0,'Données projet'!$E$10+1,1))</f>
        <v>490.96084572840579</v>
      </c>
      <c r="AO46" s="62">
        <f t="shared" si="36"/>
        <v>597.91658789908263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2.7802996602742467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7.0474518270400403E-3</v>
      </c>
      <c r="AX46" s="23">
        <f t="shared" si="6"/>
        <v>2.7873471121012869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272.80000000000013</v>
      </c>
      <c r="BE46" s="14">
        <f>BD46*VLOOKUP('Données projet'!$B$11,Paramètres!$A$1:$I$89,3,0)*VLOOKUP('Données projet'!$B$11,Paramètres!$A$1:$I$89,5,0)</f>
        <v>163.13440000000008</v>
      </c>
      <c r="BF46" s="14">
        <f t="shared" si="37"/>
        <v>41.548687845426002</v>
      </c>
      <c r="BG46" s="22">
        <f t="shared" si="7"/>
        <v>356.48971133078379</v>
      </c>
      <c r="BH46" s="62">
        <f t="shared" si="8"/>
        <v>649.82304466411711</v>
      </c>
      <c r="BI46" s="62">
        <f ca="1">AVERAGE(OFFSET($BH$3,0,0,'Données projet'!$E$11+1,1))-AVERAGE(OFFSET($H$3,0,0,'Données projet'!$E$11+1,1))</f>
        <v>287.69656598881124</v>
      </c>
      <c r="BJ46" s="62">
        <f t="shared" si="38"/>
        <v>221.9773436301067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10.223935325827147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1.1323240596503892</v>
      </c>
      <c r="BS46" s="24">
        <f t="shared" si="9"/>
        <v>11.356259385477536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310.95287409903602</v>
      </c>
      <c r="T47" s="62">
        <f t="shared" si="34"/>
        <v>224.10083380795163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24.8</v>
      </c>
      <c r="AI47" s="14">
        <f>IF('Données projet'!$A$62&gt;35,AI46+AH47-AQ46,IF(A47&lt;'Données projet'!$A$62,$AF$205^A47,IF(A47='Données projet'!$A$62,'Données projet'!$B$62,AI46+AH47-AQ46)))</f>
        <v>661.1999999999997</v>
      </c>
      <c r="AJ47" s="14">
        <f>AI47*VLOOKUP('Données projet'!$B$10,Paramètres!$A$1:$I$89,3,0)*VLOOKUP('Données projet'!$B$10,Paramètres!$A$1:$I$89,5,0)</f>
        <v>369.61079999999981</v>
      </c>
      <c r="AK47" s="14">
        <f t="shared" si="35"/>
        <v>85.587677206936931</v>
      </c>
      <c r="AL47" s="22">
        <f t="shared" si="4"/>
        <v>792.80401446874805</v>
      </c>
      <c r="AM47" s="62">
        <f t="shared" si="5"/>
        <v>1086.1373478020814</v>
      </c>
      <c r="AN47" s="62">
        <f ca="1">AVERAGE(OFFSET($AM$3,0,0,'Données projet'!$E$10+1,1))-AVERAGE(OFFSET($H$3,0,0,'Données projet'!$E$10+1,1))</f>
        <v>490.96084572840579</v>
      </c>
      <c r="AO47" s="62">
        <f t="shared" si="36"/>
        <v>597.91658789908263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2.7257796797516138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4.9833009769855363E-3</v>
      </c>
      <c r="AX47" s="23">
        <f t="shared" si="6"/>
        <v>2.7307629807285996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289.40000000000015</v>
      </c>
      <c r="BE47" s="14">
        <f>BD47*VLOOKUP('Données projet'!$B$11,Paramètres!$A$1:$I$89,3,0)*VLOOKUP('Données projet'!$B$11,Paramètres!$A$1:$I$89,5,0)</f>
        <v>173.0612000000001</v>
      </c>
      <c r="BF47" s="14">
        <f t="shared" si="37"/>
        <v>43.774916798471111</v>
      </c>
      <c r="BG47" s="22">
        <f t="shared" si="7"/>
        <v>377.65623675733735</v>
      </c>
      <c r="BH47" s="62">
        <f t="shared" si="8"/>
        <v>670.98957009067067</v>
      </c>
      <c r="BI47" s="62">
        <f ca="1">AVERAGE(OFFSET($BH$3,0,0,'Données projet'!$E$11+1,1))-AVERAGE(OFFSET($H$3,0,0,'Données projet'!$E$11+1,1))</f>
        <v>287.69656598881124</v>
      </c>
      <c r="BJ47" s="62">
        <f t="shared" si="38"/>
        <v>221.9773436301067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10.023450190072474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0.80067402107947094</v>
      </c>
      <c r="BS47" s="24">
        <f t="shared" si="9"/>
        <v>10.824124211151945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310.95287409903602</v>
      </c>
      <c r="T48" s="62">
        <f t="shared" si="34"/>
        <v>224.10083380795163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686</v>
      </c>
      <c r="AG48" s="13">
        <f>VLOOKUP(A48,'Données projet'!$A$61:$I$81,9,0)</f>
        <v>24.8</v>
      </c>
      <c r="AH48" s="13">
        <f t="array" ref="AH48">INDEX(AG:AG,MIN(IF(ISNUMBER(AG48:AG244),ROW(AG48:AG244),"")))</f>
        <v>24.8</v>
      </c>
      <c r="AI48" s="14">
        <f>IF('Données projet'!$A$62&gt;35,AI47+AH48-AQ47,IF(A48&lt;'Données projet'!$A$62,$AF$205^A48,IF(A48='Données projet'!$A$62,'Données projet'!$B$62,AI47+AH48-AQ47)))</f>
        <v>685.99999999999966</v>
      </c>
      <c r="AJ48" s="14">
        <f>AI48*VLOOKUP('Données projet'!$B$10,Paramètres!$A$1:$I$89,3,0)*VLOOKUP('Données projet'!$B$10,Paramètres!$A$1:$I$89,5,0)</f>
        <v>383.47399999999982</v>
      </c>
      <c r="AK48" s="14">
        <f t="shared" si="35"/>
        <v>88.418089567872116</v>
      </c>
      <c r="AL48" s="22">
        <f t="shared" si="4"/>
        <v>821.87872266404372</v>
      </c>
      <c r="AM48" s="62">
        <f t="shared" si="5"/>
        <v>1115.2120559973771</v>
      </c>
      <c r="AN48" s="62">
        <f ca="1">AVERAGE(OFFSET($AM$3,0,0,'Données projet'!$E$10+1,1))-AVERAGE(OFFSET($H$3,0,0,'Données projet'!$E$10+1,1))</f>
        <v>490.96084572840579</v>
      </c>
      <c r="AO48" s="62">
        <f t="shared" si="36"/>
        <v>597.91658789908263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64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2.6723288027931251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3.5237259135200202E-3</v>
      </c>
      <c r="AX48" s="23">
        <f t="shared" si="6"/>
        <v>2.675852528706645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306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306.00000000000017</v>
      </c>
      <c r="BE48" s="14">
        <f>BD48*VLOOKUP('Données projet'!$B$11,Paramètres!$A$1:$I$89,3,0)*VLOOKUP('Données projet'!$B$11,Paramètres!$A$1:$I$89,5,0)</f>
        <v>182.98800000000011</v>
      </c>
      <c r="BF48" s="14">
        <f t="shared" si="37"/>
        <v>45.986322796524874</v>
      </c>
      <c r="BG48" s="22">
        <f t="shared" si="7"/>
        <v>398.79694553728103</v>
      </c>
      <c r="BH48" s="62">
        <f t="shared" si="8"/>
        <v>692.13027887061435</v>
      </c>
      <c r="BI48" s="62">
        <f ca="1">AVERAGE(OFFSET($BH$3,0,0,'Données projet'!$E$11+1,1))-AVERAGE(OFFSET($H$3,0,0,'Données projet'!$E$11+1,1))</f>
        <v>287.69656598881124</v>
      </c>
      <c r="BJ48" s="62">
        <f t="shared" si="38"/>
        <v>221.9773436301067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9.8268964455460903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0.56616202982519459</v>
      </c>
      <c r="BS48" s="24">
        <f t="shared" si="9"/>
        <v>10.393058475371285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310.95287409903602</v>
      </c>
      <c r="T49" s="62">
        <f t="shared" si="34"/>
        <v>224.10083380795163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20.399999999999999</v>
      </c>
      <c r="AI49" s="14">
        <f>IF('Données projet'!$A$62&gt;35,AI48+AH49-AQ48,IF(A49&lt;'Données projet'!$A$62,$AF$205^A49,IF(A49='Données projet'!$A$62,'Données projet'!$B$62,AI48+AH49-AQ48)))</f>
        <v>642.39999999999964</v>
      </c>
      <c r="AJ49" s="14">
        <f>AI49*VLOOKUP('Données projet'!$B$10,Paramètres!$A$1:$I$89,3,0)*VLOOKUP('Données projet'!$B$10,Paramètres!$A$1:$I$89,5,0)</f>
        <v>359.10159999999985</v>
      </c>
      <c r="AK49" s="14">
        <f t="shared" si="35"/>
        <v>83.433815871723468</v>
      </c>
      <c r="AL49" s="22">
        <f t="shared" si="4"/>
        <v>770.74918264325152</v>
      </c>
      <c r="AM49" s="62">
        <f t="shared" si="5"/>
        <v>1064.0825159765848</v>
      </c>
      <c r="AN49" s="62">
        <f ca="1">AVERAGE(OFFSET($AM$3,0,0,'Données projet'!$E$10+1,1))-AVERAGE(OFFSET($H$3,0,0,'Données projet'!$E$10+1,1))</f>
        <v>490.96084572840579</v>
      </c>
      <c r="AO49" s="62">
        <f t="shared" si="36"/>
        <v>597.91658789908263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2.6199260649299765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2.4916504884927681E-3</v>
      </c>
      <c r="AX49" s="23">
        <f t="shared" si="6"/>
        <v>2.6224177154184694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270.40000000000015</v>
      </c>
      <c r="BE49" s="14">
        <f>BD49*VLOOKUP('Données projet'!$B$11,Paramètres!$A$1:$I$89,3,0)*VLOOKUP('Données projet'!$B$11,Paramètres!$A$1:$I$89,5,0)</f>
        <v>161.6992000000001</v>
      </c>
      <c r="BF49" s="14">
        <f t="shared" si="37"/>
        <v>41.225538754249229</v>
      </c>
      <c r="BG49" s="22">
        <f t="shared" si="7"/>
        <v>353.42725333031763</v>
      </c>
      <c r="BH49" s="62">
        <f t="shared" si="8"/>
        <v>646.76058666365088</v>
      </c>
      <c r="BI49" s="62">
        <f ca="1">AVERAGE(OFFSET($BH$3,0,0,'Données projet'!$E$11+1,1))-AVERAGE(OFFSET($H$3,0,0,'Données projet'!$E$11+1,1))</f>
        <v>287.69656598881124</v>
      </c>
      <c r="BJ49" s="62">
        <f t="shared" si="38"/>
        <v>221.9773436301067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9.6341970000639225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0.40033701053973547</v>
      </c>
      <c r="BS49" s="24">
        <f t="shared" si="9"/>
        <v>10.034534010603657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310.95287409903602</v>
      </c>
      <c r="T50" s="62">
        <f t="shared" si="34"/>
        <v>224.10083380795163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20.399999999999999</v>
      </c>
      <c r="AI50" s="14">
        <f>IF('Données projet'!$A$62&gt;35,AI49+AH50-AQ49,IF(A50&lt;'Données projet'!$A$62,$AF$205^A50,IF(A50='Données projet'!$A$62,'Données projet'!$B$62,AI49+AH50-AQ49)))</f>
        <v>662.79999999999961</v>
      </c>
      <c r="AJ50" s="14">
        <f>AI50*VLOOKUP('Données projet'!$B$10,Paramètres!$A$1:$I$89,3,0)*VLOOKUP('Données projet'!$B$10,Paramètres!$A$1:$I$89,5,0)</f>
        <v>370.50519999999983</v>
      </c>
      <c r="AK50" s="14">
        <f t="shared" si="35"/>
        <v>85.770652719303072</v>
      </c>
      <c r="AL50" s="22">
        <f t="shared" si="4"/>
        <v>794.6804434861192</v>
      </c>
      <c r="AM50" s="62">
        <f t="shared" si="5"/>
        <v>1088.0137768194525</v>
      </c>
      <c r="AN50" s="62">
        <f ca="1">AVERAGE(OFFSET($AM$3,0,0,'Données projet'!$E$10+1,1))-AVERAGE(OFFSET($H$3,0,0,'Données projet'!$E$10+1,1))</f>
        <v>490.96084572840579</v>
      </c>
      <c r="AO50" s="62">
        <f t="shared" si="36"/>
        <v>597.91658789908263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2.56855091279381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1.7618629567600101E-3</v>
      </c>
      <c r="AX50" s="23">
        <f t="shared" si="6"/>
        <v>2.5703127757505699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287.80000000000013</v>
      </c>
      <c r="BE50" s="14">
        <f>BD50*VLOOKUP('Données projet'!$B$11,Paramètres!$A$1:$I$89,3,0)*VLOOKUP('Données projet'!$B$11,Paramètres!$A$1:$I$89,5,0)</f>
        <v>172.10440000000008</v>
      </c>
      <c r="BF50" s="14">
        <f t="shared" si="37"/>
        <v>43.561001176960559</v>
      </c>
      <c r="BG50" s="22">
        <f t="shared" si="7"/>
        <v>375.61724038320648</v>
      </c>
      <c r="BH50" s="62">
        <f t="shared" si="8"/>
        <v>668.95057371653979</v>
      </c>
      <c r="BI50" s="62">
        <f ca="1">AVERAGE(OFFSET($BH$3,0,0,'Données projet'!$E$11+1,1))-AVERAGE(OFFSET($H$3,0,0,'Données projet'!$E$11+1,1))</f>
        <v>287.69656598881124</v>
      </c>
      <c r="BJ50" s="62">
        <f t="shared" si="38"/>
        <v>221.9773436301067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9.4452762731726043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0.2830810149125973</v>
      </c>
      <c r="BS50" s="24">
        <f t="shared" si="9"/>
        <v>9.7283572880852009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310.95287409903602</v>
      </c>
      <c r="T51" s="62">
        <f t="shared" si="34"/>
        <v>224.10083380795163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20.399999999999999</v>
      </c>
      <c r="AI51" s="14">
        <f>IF('Données projet'!$A$62&gt;35,AI50+AH51-AQ50,IF(A51&lt;'Données projet'!$A$62,$AF$205^A51,IF(A51='Données projet'!$A$62,'Données projet'!$B$62,AI50+AH51-AQ50)))</f>
        <v>683.19999999999959</v>
      </c>
      <c r="AJ51" s="14">
        <f>AI51*VLOOKUP('Données projet'!$B$10,Paramètres!$A$1:$I$89,3,0)*VLOOKUP('Données projet'!$B$10,Paramètres!$A$1:$I$89,5,0)</f>
        <v>381.90879999999981</v>
      </c>
      <c r="AK51" s="14">
        <f t="shared" si="35"/>
        <v>88.099131154986978</v>
      </c>
      <c r="AL51" s="22">
        <f t="shared" si="4"/>
        <v>818.59714676160195</v>
      </c>
      <c r="AM51" s="62">
        <f t="shared" si="5"/>
        <v>1111.9304800949353</v>
      </c>
      <c r="AN51" s="62">
        <f ca="1">AVERAGE(OFFSET($AM$3,0,0,'Données projet'!$E$10+1,1))-AVERAGE(OFFSET($H$3,0,0,'Données projet'!$E$10+1,1))</f>
        <v>490.96084572840579</v>
      </c>
      <c r="AO51" s="62">
        <f t="shared" si="36"/>
        <v>597.91658789908263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2.5181831960552854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1.2458252442463841E-3</v>
      </c>
      <c r="AX51" s="23">
        <f t="shared" si="6"/>
        <v>2.5194290212995316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305.2000000000001</v>
      </c>
      <c r="BE51" s="14">
        <f>BD51*VLOOKUP('Données projet'!$B$11,Paramètres!$A$1:$I$89,3,0)*VLOOKUP('Données projet'!$B$11,Paramètres!$A$1:$I$89,5,0)</f>
        <v>182.50960000000006</v>
      </c>
      <c r="BF51" s="14">
        <f t="shared" si="37"/>
        <v>45.880075205637056</v>
      </c>
      <c r="BG51" s="22">
        <f t="shared" si="7"/>
        <v>397.77868431648454</v>
      </c>
      <c r="BH51" s="62">
        <f t="shared" si="8"/>
        <v>691.11201764981786</v>
      </c>
      <c r="BI51" s="62">
        <f ca="1">AVERAGE(OFFSET($BH$3,0,0,'Données projet'!$E$11+1,1))-AVERAGE(OFFSET($H$3,0,0,'Données projet'!$E$11+1,1))</f>
        <v>287.69656598881124</v>
      </c>
      <c r="BJ51" s="62">
        <f t="shared" si="38"/>
        <v>221.9773436301067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9.2600601665053599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0.20016850526986774</v>
      </c>
      <c r="BS51" s="24">
        <f t="shared" si="9"/>
        <v>9.4602286717752282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310.95287409903602</v>
      </c>
      <c r="T52" s="62">
        <f t="shared" si="34"/>
        <v>224.10083380795163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20.399999999999999</v>
      </c>
      <c r="AI52" s="14">
        <f>IF('Données projet'!$A$62&gt;35,AI51+AH52-AQ51,IF(A52&lt;'Données projet'!$A$62,$AF$205^A52,IF(A52='Données projet'!$A$62,'Données projet'!$B$62,AI51+AH52-AQ51)))</f>
        <v>703.59999999999957</v>
      </c>
      <c r="AJ52" s="14">
        <f>AI52*VLOOKUP('Données projet'!$B$10,Paramètres!$A$1:$I$89,3,0)*VLOOKUP('Données projet'!$B$10,Paramètres!$A$1:$I$89,5,0)</f>
        <v>393.3123999999998</v>
      </c>
      <c r="AK52" s="14">
        <f t="shared" si="35"/>
        <v>90.419529407700907</v>
      </c>
      <c r="AL52" s="22">
        <f t="shared" si="4"/>
        <v>842.49977705174535</v>
      </c>
      <c r="AM52" s="62">
        <f t="shared" si="5"/>
        <v>1135.8331103850787</v>
      </c>
      <c r="AN52" s="62">
        <f ca="1">AVERAGE(OFFSET($AM$3,0,0,'Données projet'!$E$10+1,1))-AVERAGE(OFFSET($H$3,0,0,'Données projet'!$E$10+1,1))</f>
        <v>490.96084572840579</v>
      </c>
      <c r="AO52" s="62">
        <f t="shared" si="36"/>
        <v>597.91658789908263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2.4688031595207294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8.8093147838000504E-4</v>
      </c>
      <c r="AX52" s="23">
        <f t="shared" si="6"/>
        <v>2.4696840909991096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322.60000000000008</v>
      </c>
      <c r="BE52" s="14">
        <f>BD52*VLOOKUP('Données projet'!$B$11,Paramètres!$A$1:$I$89,3,0)*VLOOKUP('Données projet'!$B$11,Paramètres!$A$1:$I$89,5,0)</f>
        <v>192.91480000000007</v>
      </c>
      <c r="BF52" s="14">
        <f t="shared" si="37"/>
        <v>48.18380163388656</v>
      </c>
      <c r="BG52" s="22">
        <f t="shared" si="7"/>
        <v>419.91339784568589</v>
      </c>
      <c r="BH52" s="62">
        <f t="shared" si="8"/>
        <v>713.24673117901921</v>
      </c>
      <c r="BI52" s="62">
        <f ca="1">AVERAGE(OFFSET($BH$3,0,0,'Données projet'!$E$11+1,1))-AVERAGE(OFFSET($H$3,0,0,'Données projet'!$E$11+1,1))</f>
        <v>287.69656598881124</v>
      </c>
      <c r="BJ52" s="62">
        <f t="shared" si="38"/>
        <v>221.9773436301067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9.0784760347191895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0.14154050745629865</v>
      </c>
      <c r="BS52" s="24">
        <f t="shared" si="9"/>
        <v>9.2200165421754878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310.95287409903602</v>
      </c>
      <c r="T53" s="62">
        <f t="shared" si="34"/>
        <v>224.10083380795163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724</v>
      </c>
      <c r="AG53" s="13">
        <f>VLOOKUP(A53,'Données projet'!$A$61:$I$81,9,0)</f>
        <v>20.399999999999999</v>
      </c>
      <c r="AH53" s="13">
        <f t="array" ref="AH53">INDEX(AG:AG,MIN(IF(ISNUMBER(AG53:AG249),ROW(AG53:AG249),"")))</f>
        <v>20.399999999999999</v>
      </c>
      <c r="AI53" s="14">
        <f>IF('Données projet'!$A$62&gt;35,AI52+AH53-AQ52,IF(A53&lt;'Données projet'!$A$62,$AF$205^A53,IF(A53='Données projet'!$A$62,'Données projet'!$B$62,AI52+AH53-AQ52)))</f>
        <v>723.99999999999955</v>
      </c>
      <c r="AJ53" s="14">
        <f>AI53*VLOOKUP('Données projet'!$B$10,Paramètres!$A$1:$I$89,3,0)*VLOOKUP('Données projet'!$B$10,Paramètres!$A$1:$I$89,5,0)</f>
        <v>404.71599999999978</v>
      </c>
      <c r="AK53" s="14">
        <f t="shared" si="35"/>
        <v>92.732108655131142</v>
      </c>
      <c r="AL53" s="22">
        <f t="shared" si="4"/>
        <v>866.38878924101971</v>
      </c>
      <c r="AM53" s="62">
        <f t="shared" si="5"/>
        <v>1159.7221225743531</v>
      </c>
      <c r="AN53" s="62">
        <f ca="1">AVERAGE(OFFSET($AM$3,0,0,'Données projet'!$E$10+1,1))-AVERAGE(OFFSET($H$3,0,0,'Données projet'!$E$10+1,1))</f>
        <v>490.96084572840579</v>
      </c>
      <c r="AO53" s="62">
        <f t="shared" si="36"/>
        <v>597.91658789908263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62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2.4203914353837677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6.2291262212319203E-4</v>
      </c>
      <c r="AX53" s="23">
        <f t="shared" si="6"/>
        <v>2.4210143480058908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340.00000000000006</v>
      </c>
      <c r="BE53" s="14">
        <f>BD53*VLOOKUP('Données projet'!$B$11,Paramètres!$A$1:$I$89,3,0)*VLOOKUP('Données projet'!$B$11,Paramètres!$A$1:$I$89,5,0)</f>
        <v>203.32000000000005</v>
      </c>
      <c r="BF53" s="14">
        <f t="shared" si="37"/>
        <v>50.473102640215579</v>
      </c>
      <c r="BG53" s="22">
        <f t="shared" si="7"/>
        <v>442.02298709837555</v>
      </c>
      <c r="BH53" s="62">
        <f t="shared" si="8"/>
        <v>735.35632043170881</v>
      </c>
      <c r="BI53" s="62">
        <f ca="1">AVERAGE(OFFSET($BH$3,0,0,'Données projet'!$E$11+1,1))-AVERAGE(OFFSET($H$3,0,0,'Données projet'!$E$11+1,1))</f>
        <v>287.69656598881124</v>
      </c>
      <c r="BJ53" s="62">
        <f t="shared" si="38"/>
        <v>221.9773436301067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8.9004526570019618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0.10008425263493387</v>
      </c>
      <c r="BS53" s="24">
        <f t="shared" si="9"/>
        <v>9.0005369096368959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310.95287409903602</v>
      </c>
      <c r="T54" s="62">
        <f t="shared" si="34"/>
        <v>224.10083380795163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15.4</v>
      </c>
      <c r="AI54" s="14">
        <f>IF('Données projet'!$A$62&gt;35,AI53+AH54-AQ53,IF(A54&lt;'Données projet'!$A$62,$AF$205^A54,IF(A54='Données projet'!$A$62,'Données projet'!$B$62,AI53+AH54-AQ53)))</f>
        <v>677.39999999999952</v>
      </c>
      <c r="AJ54" s="14">
        <f>AI54*VLOOKUP('Données projet'!$B$10,Paramètres!$A$1:$I$89,3,0)*VLOOKUP('Données projet'!$B$10,Paramètres!$A$1:$I$89,5,0)</f>
        <v>378.66659999999979</v>
      </c>
      <c r="AK54" s="14">
        <f t="shared" si="35"/>
        <v>87.437946637883755</v>
      </c>
      <c r="AL54" s="22">
        <f t="shared" si="4"/>
        <v>811.79875206098052</v>
      </c>
      <c r="AM54" s="62">
        <f t="shared" si="5"/>
        <v>1105.1320853943139</v>
      </c>
      <c r="AN54" s="62">
        <f ca="1">AVERAGE(OFFSET($AM$3,0,0,'Données projet'!$E$10+1,1))-AVERAGE(OFFSET($H$3,0,0,'Données projet'!$E$10+1,1))</f>
        <v>490.96084572840579</v>
      </c>
      <c r="AO54" s="62">
        <f t="shared" si="36"/>
        <v>597.91658789908263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2.3729290356288959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4.4046573919000252E-4</v>
      </c>
      <c r="AX54" s="23">
        <f t="shared" si="6"/>
        <v>2.373369501368086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304.62500000000006</v>
      </c>
      <c r="BE54" s="14">
        <f>BD54*VLOOKUP('Données projet'!$B$11,Paramètres!$A$1:$I$89,3,0)*VLOOKUP('Données projet'!$B$11,Paramètres!$A$1:$I$89,5,0)</f>
        <v>182.16575000000003</v>
      </c>
      <c r="BF54" s="14">
        <f t="shared" si="37"/>
        <v>45.803689728693968</v>
      </c>
      <c r="BG54" s="22">
        <f t="shared" si="7"/>
        <v>397.04677419414202</v>
      </c>
      <c r="BH54" s="62">
        <f t="shared" si="8"/>
        <v>690.38010752747527</v>
      </c>
      <c r="BI54" s="62">
        <f ca="1">AVERAGE(OFFSET($BH$3,0,0,'Données projet'!$E$11+1,1))-AVERAGE(OFFSET($H$3,0,0,'Données projet'!$E$11+1,1))</f>
        <v>287.69656598881124</v>
      </c>
      <c r="BJ54" s="62">
        <f t="shared" si="38"/>
        <v>221.9773436301067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8.7259202091382306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7.0770253728149324E-2</v>
      </c>
      <c r="BS54" s="24">
        <f t="shared" si="9"/>
        <v>8.7966904628663798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310.95287409903602</v>
      </c>
      <c r="T55" s="62">
        <f t="shared" si="34"/>
        <v>224.10083380795163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15.4</v>
      </c>
      <c r="AI55" s="14">
        <f>IF('Données projet'!$A$62&gt;35,AI54+AH55-AQ54,IF(A55&lt;'Données projet'!$A$62,$AF$205^A55,IF(A55='Données projet'!$A$62,'Données projet'!$B$62,AI54+AH55-AQ54)))</f>
        <v>692.7999999999995</v>
      </c>
      <c r="AJ55" s="14">
        <f>AI55*VLOOKUP('Données projet'!$B$10,Paramètres!$A$1:$I$89,3,0)*VLOOKUP('Données projet'!$B$10,Paramètres!$A$1:$I$89,5,0)</f>
        <v>387.2751999999997</v>
      </c>
      <c r="AK55" s="14">
        <f t="shared" si="35"/>
        <v>89.192073473767834</v>
      </c>
      <c r="AL55" s="22">
        <f t="shared" si="4"/>
        <v>829.84716796681175</v>
      </c>
      <c r="AM55" s="62">
        <f t="shared" si="5"/>
        <v>1123.1805013001451</v>
      </c>
      <c r="AN55" s="62">
        <f ca="1">AVERAGE(OFFSET($AM$3,0,0,'Données projet'!$E$10+1,1))-AVERAGE(OFFSET($H$3,0,0,'Données projet'!$E$10+1,1))</f>
        <v>490.96084572840579</v>
      </c>
      <c r="AO55" s="62">
        <f t="shared" si="36"/>
        <v>597.91658789908263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2.3263973445840116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3.1145631106159602E-4</v>
      </c>
      <c r="AX55" s="23">
        <f t="shared" si="6"/>
        <v>2.3267088008950734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322.25000000000006</v>
      </c>
      <c r="BE55" s="14">
        <f>BD55*VLOOKUP('Données projet'!$B$11,Paramètres!$A$1:$I$89,3,0)*VLOOKUP('Données projet'!$B$11,Paramètres!$A$1:$I$89,5,0)</f>
        <v>192.70550000000006</v>
      </c>
      <c r="BF55" s="14">
        <f t="shared" si="37"/>
        <v>48.137607387789963</v>
      </c>
      <c r="BG55" s="22">
        <f t="shared" si="7"/>
        <v>419.46841203373424</v>
      </c>
      <c r="BH55" s="62">
        <f t="shared" si="8"/>
        <v>712.8017453670675</v>
      </c>
      <c r="BI55" s="62">
        <f ca="1">AVERAGE(OFFSET($BH$3,0,0,'Données projet'!$E$11+1,1))-AVERAGE(OFFSET($H$3,0,0,'Données projet'!$E$11+1,1))</f>
        <v>287.69656598881124</v>
      </c>
      <c r="BJ55" s="62">
        <f t="shared" si="38"/>
        <v>221.9773436301067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8.554810236122826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5.0042126317466934E-2</v>
      </c>
      <c r="BS55" s="24">
        <f t="shared" si="9"/>
        <v>8.6048523624402922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310.95287409903602</v>
      </c>
      <c r="T56" s="62">
        <f t="shared" si="34"/>
        <v>224.10083380795163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15.4</v>
      </c>
      <c r="AI56" s="14">
        <f>IF('Données projet'!$A$62&gt;35,AI55+AH56-AQ55,IF(A56&lt;'Données projet'!$A$62,$AF$205^A56,IF(A56='Données projet'!$A$62,'Données projet'!$B$62,AI55+AH56-AQ55)))</f>
        <v>708.19999999999948</v>
      </c>
      <c r="AJ56" s="14">
        <f>AI56*VLOOKUP('Données projet'!$B$10,Paramètres!$A$1:$I$89,3,0)*VLOOKUP('Données projet'!$B$10,Paramètres!$A$1:$I$89,5,0)</f>
        <v>395.88379999999972</v>
      </c>
      <c r="AK56" s="14">
        <f t="shared" si="35"/>
        <v>90.941667130422957</v>
      </c>
      <c r="AL56" s="22">
        <f t="shared" si="4"/>
        <v>847.8876885854861</v>
      </c>
      <c r="AM56" s="62">
        <f t="shared" si="5"/>
        <v>1141.2210219188194</v>
      </c>
      <c r="AN56" s="62">
        <f ca="1">AVERAGE(OFFSET($AM$3,0,0,'Données projet'!$E$10+1,1))-AVERAGE(OFFSET($H$3,0,0,'Données projet'!$E$10+1,1))</f>
        <v>490.96084572840579</v>
      </c>
      <c r="AO56" s="62">
        <f t="shared" si="36"/>
        <v>597.91658789908263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2.2807781116189885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2.2023286959500126E-4</v>
      </c>
      <c r="AX56" s="23">
        <f t="shared" si="6"/>
        <v>2.2809983444885833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339.87500000000006</v>
      </c>
      <c r="BE56" s="14">
        <f>BD56*VLOOKUP('Données projet'!$B$11,Paramètres!$A$1:$I$89,3,0)*VLOOKUP('Données projet'!$B$11,Paramètres!$A$1:$I$89,5,0)</f>
        <v>203.24525000000006</v>
      </c>
      <c r="BF56" s="14">
        <f t="shared" si="37"/>
        <v>50.45670595349123</v>
      </c>
      <c r="BG56" s="22">
        <f t="shared" si="7"/>
        <v>441.86423995233059</v>
      </c>
      <c r="BH56" s="62">
        <f t="shared" si="8"/>
        <v>735.19757328566391</v>
      </c>
      <c r="BI56" s="62">
        <f ca="1">AVERAGE(OFFSET($BH$3,0,0,'Données projet'!$E$11+1,1))-AVERAGE(OFFSET($H$3,0,0,'Données projet'!$E$11+1,1))</f>
        <v>287.69656598881124</v>
      </c>
      <c r="BJ56" s="62">
        <f t="shared" si="38"/>
        <v>221.9773436301067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8.3870556253114739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3.5385126864074662E-2</v>
      </c>
      <c r="BS56" s="24">
        <f t="shared" si="9"/>
        <v>8.4224407521755484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310.95287409903602</v>
      </c>
      <c r="T57" s="62">
        <f t="shared" si="34"/>
        <v>224.10083380795163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15.4</v>
      </c>
      <c r="AI57" s="14">
        <f>IF('Données projet'!$A$62&gt;35,AI56+AH57-AQ56,IF(A57&lt;'Données projet'!$A$62,$AF$205^A57,IF(A57='Données projet'!$A$62,'Données projet'!$B$62,AI56+AH57-AQ56)))</f>
        <v>723.59999999999945</v>
      </c>
      <c r="AJ57" s="14">
        <f>AI57*VLOOKUP('Données projet'!$B$10,Paramètres!$A$1:$I$89,3,0)*VLOOKUP('Données projet'!$B$10,Paramètres!$A$1:$I$89,5,0)</f>
        <v>404.49239999999969</v>
      </c>
      <c r="AK57" s="14">
        <f t="shared" si="35"/>
        <v>92.686837535548761</v>
      </c>
      <c r="AL57" s="22">
        <f t="shared" si="4"/>
        <v>865.92050537441344</v>
      </c>
      <c r="AM57" s="62">
        <f t="shared" si="5"/>
        <v>1159.2538387077468</v>
      </c>
      <c r="AN57" s="62">
        <f ca="1">AVERAGE(OFFSET($AM$3,0,0,'Données projet'!$E$10+1,1))-AVERAGE(OFFSET($H$3,0,0,'Données projet'!$E$10+1,1))</f>
        <v>490.96084572840579</v>
      </c>
      <c r="AO57" s="62">
        <f t="shared" si="36"/>
        <v>597.91658789908263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2.2360534439874247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1.5572815553079801E-4</v>
      </c>
      <c r="AX57" s="23">
        <f t="shared" si="6"/>
        <v>2.2362091721429556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357.50000000000006</v>
      </c>
      <c r="BE57" s="14">
        <f>BD57*VLOOKUP('Données projet'!$B$11,Paramètres!$A$1:$I$89,3,0)*VLOOKUP('Données projet'!$B$11,Paramètres!$A$1:$I$89,5,0)</f>
        <v>213.78500000000005</v>
      </c>
      <c r="BF57" s="14">
        <f t="shared" si="37"/>
        <v>52.761841557402377</v>
      </c>
      <c r="BG57" s="22">
        <f t="shared" si="7"/>
        <v>464.2357490458092</v>
      </c>
      <c r="BH57" s="62">
        <f t="shared" si="8"/>
        <v>757.56908237914251</v>
      </c>
      <c r="BI57" s="62">
        <f ca="1">AVERAGE(OFFSET($BH$3,0,0,'Données projet'!$E$11+1,1))-AVERAGE(OFFSET($H$3,0,0,'Données projet'!$E$11+1,1))</f>
        <v>287.69656598881124</v>
      </c>
      <c r="BJ57" s="62">
        <f t="shared" si="38"/>
        <v>221.9773436301067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8.2225905800979238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2.5021063158733467E-2</v>
      </c>
      <c r="BS57" s="24">
        <f t="shared" si="9"/>
        <v>8.2476116432566577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310.95287409903602</v>
      </c>
      <c r="T58" s="62">
        <f t="shared" si="34"/>
        <v>224.10083380795163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739</v>
      </c>
      <c r="AG58" s="13">
        <f>VLOOKUP(A58,'Données projet'!$A$61:$I$81,9,0)</f>
        <v>15.4</v>
      </c>
      <c r="AH58" s="13">
        <f t="array" ref="AH58">INDEX(AG:AG,MIN(IF(ISNUMBER(AG58:AG254),ROW(AG58:AG254),"")))</f>
        <v>15.4</v>
      </c>
      <c r="AI58" s="14">
        <f>IF('Données projet'!$A$62&gt;35,AI57+AH58-AQ57,IF(A58&lt;'Données projet'!$A$62,$AF$205^A58,IF(A58='Données projet'!$A$62,'Données projet'!$B$62,AI57+AH58-AQ57)))</f>
        <v>738.99999999999943</v>
      </c>
      <c r="AJ58" s="14">
        <f>AI58*VLOOKUP('Données projet'!$B$10,Paramètres!$A$1:$I$89,3,0)*VLOOKUP('Données projet'!$B$10,Paramètres!$A$1:$I$89,5,0)</f>
        <v>413.10099999999971</v>
      </c>
      <c r="AK58" s="14">
        <f t="shared" si="35"/>
        <v>94.427689670462271</v>
      </c>
      <c r="AL58" s="22">
        <f t="shared" si="4"/>
        <v>883.94580117605472</v>
      </c>
      <c r="AM58" s="62">
        <f t="shared" si="5"/>
        <v>1177.2791345093881</v>
      </c>
      <c r="AN58" s="62">
        <f ca="1">AVERAGE(OFFSET($AM$3,0,0,'Données projet'!$E$10+1,1))-AVERAGE(OFFSET($H$3,0,0,'Données projet'!$E$10+1,1))</f>
        <v>490.96084572840579</v>
      </c>
      <c r="AO58" s="62">
        <f t="shared" si="36"/>
        <v>597.91658789908263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46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2.1922057998087623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1.1011643479750063E-4</v>
      </c>
      <c r="AX58" s="23">
        <f t="shared" si="6"/>
        <v>2.1923159162435599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375.12500000000006</v>
      </c>
      <c r="BE58" s="14">
        <f>BD58*VLOOKUP('Données projet'!$B$11,Paramètres!$A$1:$I$89,3,0)*VLOOKUP('Données projet'!$B$11,Paramètres!$A$1:$I$89,5,0)</f>
        <v>224.32475000000005</v>
      </c>
      <c r="BF58" s="14">
        <f t="shared" si="37"/>
        <v>55.053781146410472</v>
      </c>
      <c r="BG58" s="22">
        <f t="shared" si="7"/>
        <v>486.58427507999835</v>
      </c>
      <c r="BH58" s="62">
        <f t="shared" si="8"/>
        <v>779.91760841333166</v>
      </c>
      <c r="BI58" s="62">
        <f ca="1">AVERAGE(OFFSET($BH$3,0,0,'Données projet'!$E$11+1,1))-AVERAGE(OFFSET($H$3,0,0,'Données projet'!$E$11+1,1))</f>
        <v>287.69656598881124</v>
      </c>
      <c r="BJ58" s="62">
        <f t="shared" si="38"/>
        <v>221.9773436301067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8.061350594107239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1.7692563432037331E-2</v>
      </c>
      <c r="BS58" s="24">
        <f t="shared" si="9"/>
        <v>8.0790431575392763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310.95287409903602</v>
      </c>
      <c r="T59" s="62">
        <f t="shared" si="34"/>
        <v>224.10083380795163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12.2</v>
      </c>
      <c r="AI59" s="14">
        <f>IF('Données projet'!$A$62&gt;35,AI58+AH59-AQ58,IF(A59&lt;'Données projet'!$A$62,$AF$205^A59,IF(A59='Données projet'!$A$62,'Données projet'!$B$62,AI58+AH59-AQ58)))</f>
        <v>705.19999999999948</v>
      </c>
      <c r="AJ59" s="14">
        <f>AI59*VLOOKUP('Données projet'!$B$10,Paramètres!$A$1:$I$89,3,0)*VLOOKUP('Données projet'!$B$10,Paramètres!$A$1:$I$89,5,0)</f>
        <v>394.2067999999997</v>
      </c>
      <c r="AK59" s="14">
        <f t="shared" si="35"/>
        <v>90.601187466199292</v>
      </c>
      <c r="AL59" s="22">
        <f t="shared" si="4"/>
        <v>844.37391150362998</v>
      </c>
      <c r="AM59" s="62">
        <f t="shared" si="5"/>
        <v>1137.7072448369634</v>
      </c>
      <c r="AN59" s="62">
        <f ca="1">AVERAGE(OFFSET($AM$3,0,0,'Données projet'!$E$10+1,1))-AVERAGE(OFFSET($H$3,0,0,'Données projet'!$E$10+1,1))</f>
        <v>490.96084572840579</v>
      </c>
      <c r="AO59" s="62">
        <f t="shared" si="36"/>
        <v>597.91658789908263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2.1492179811880212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7.7864077765399004E-5</v>
      </c>
      <c r="AX59" s="23">
        <f t="shared" si="6"/>
        <v>2.1492958452657867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392.75000000000006</v>
      </c>
      <c r="BE59" s="14">
        <f>BD59*VLOOKUP('Données projet'!$B$11,Paramètres!$A$1:$I$89,3,0)*VLOOKUP('Données projet'!$B$11,Paramètres!$A$1:$I$89,5,0)</f>
        <v>234.86450000000002</v>
      </c>
      <c r="BF59" s="14">
        <f t="shared" si="37"/>
        <v>57.33321552572081</v>
      </c>
      <c r="BG59" s="22">
        <f t="shared" si="7"/>
        <v>508.9110212072971</v>
      </c>
      <c r="BH59" s="62">
        <f t="shared" si="8"/>
        <v>802.24435454063041</v>
      </c>
      <c r="BI59" s="62">
        <f ca="1">AVERAGE(OFFSET($BH$3,0,0,'Données projet'!$E$11+1,1))-AVERAGE(OFFSET($H$3,0,0,'Données projet'!$E$11+1,1))</f>
        <v>287.69656598881124</v>
      </c>
      <c r="BJ59" s="62">
        <f t="shared" si="38"/>
        <v>221.9773436301067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7.9032724258951514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1.2510531579366733E-2</v>
      </c>
      <c r="BS59" s="24">
        <f t="shared" si="9"/>
        <v>7.9157829574745184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310.95287409903602</v>
      </c>
      <c r="T60" s="62">
        <f t="shared" si="34"/>
        <v>224.10083380795163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12.2</v>
      </c>
      <c r="AI60" s="14">
        <f>IF('Données projet'!$A$62&gt;35,AI59+AH60-AQ59,IF(A60&lt;'Données projet'!$A$62,$AF$205^A60,IF(A60='Données projet'!$A$62,'Données projet'!$B$62,AI59+AH60-AQ59)))</f>
        <v>717.39999999999952</v>
      </c>
      <c r="AJ60" s="14">
        <f>AI60*VLOOKUP('Données projet'!$B$10,Paramètres!$A$1:$I$89,3,0)*VLOOKUP('Données projet'!$B$10,Paramètres!$A$1:$I$89,5,0)</f>
        <v>401.02659999999975</v>
      </c>
      <c r="AK60" s="14">
        <f t="shared" si="35"/>
        <v>91.984761558101539</v>
      </c>
      <c r="AL60" s="22">
        <f t="shared" si="4"/>
        <v>858.66145471369293</v>
      </c>
      <c r="AM60" s="62">
        <f t="shared" si="5"/>
        <v>1151.9947880470263</v>
      </c>
      <c r="AN60" s="62">
        <f ca="1">AVERAGE(OFFSET($AM$3,0,0,'Données projet'!$E$10+1,1))-AVERAGE(OFFSET($H$3,0,0,'Données projet'!$E$10+1,1))</f>
        <v>490.96084572840579</v>
      </c>
      <c r="AO60" s="62">
        <f t="shared" si="36"/>
        <v>597.91658789908263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2.1070731274704526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5.5058217398750315E-5</v>
      </c>
      <c r="AX60" s="23">
        <f t="shared" si="6"/>
        <v>2.1071281856878512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410.37500000000006</v>
      </c>
      <c r="BE60" s="14">
        <f>BD60*VLOOKUP('Données projet'!$B$11,Paramètres!$A$1:$I$89,3,0)*VLOOKUP('Données projet'!$B$11,Paramètres!$A$1:$I$89,5,0)</f>
        <v>245.40425000000005</v>
      </c>
      <c r="BF60" s="14">
        <f t="shared" si="37"/>
        <v>59.60076999447687</v>
      </c>
      <c r="BG60" s="22">
        <f t="shared" si="7"/>
        <v>531.21707649038069</v>
      </c>
      <c r="BH60" s="62">
        <f t="shared" si="8"/>
        <v>824.55040982371406</v>
      </c>
      <c r="BI60" s="62">
        <f ca="1">AVERAGE(OFFSET($BH$3,0,0,'Données projet'!$E$11+1,1))-AVERAGE(OFFSET($H$3,0,0,'Données projet'!$E$11+1,1))</f>
        <v>287.69656598881124</v>
      </c>
      <c r="BJ60" s="62">
        <f t="shared" si="38"/>
        <v>221.9773436301067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7.7482940741435407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8.8462817160186655E-3</v>
      </c>
      <c r="BS60" s="24">
        <f t="shared" si="9"/>
        <v>7.7571403558595593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310.95287409903602</v>
      </c>
      <c r="T61" s="62">
        <f t="shared" si="34"/>
        <v>224.10083380795163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12.2</v>
      </c>
      <c r="AI61" s="14">
        <f>IF('Données projet'!$A$62&gt;35,AI60+AH61-AQ60,IF(A61&lt;'Données projet'!$A$62,$AF$205^A61,IF(A61='Données projet'!$A$62,'Données projet'!$B$62,AI60+AH61-AQ60)))</f>
        <v>729.59999999999957</v>
      </c>
      <c r="AJ61" s="14">
        <f>AI61*VLOOKUP('Données projet'!$B$10,Paramètres!$A$1:$I$89,3,0)*VLOOKUP('Données projet'!$B$10,Paramètres!$A$1:$I$89,5,0)</f>
        <v>407.84639999999973</v>
      </c>
      <c r="AK61" s="14">
        <f t="shared" si="35"/>
        <v>93.365599460181741</v>
      </c>
      <c r="AL61" s="22">
        <f t="shared" si="4"/>
        <v>872.94423239314926</v>
      </c>
      <c r="AM61" s="62">
        <f t="shared" si="5"/>
        <v>1166.2775657264826</v>
      </c>
      <c r="AN61" s="62">
        <f ca="1">AVERAGE(OFFSET($AM$3,0,0,'Données projet'!$E$10+1,1))-AVERAGE(OFFSET($H$3,0,0,'Données projet'!$E$10+1,1))</f>
        <v>490.96084572840579</v>
      </c>
      <c r="AO61" s="62">
        <f t="shared" si="36"/>
        <v>597.91658789908263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2.0657547086284631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3.8932038882699502E-5</v>
      </c>
      <c r="AX61" s="23">
        <f t="shared" si="6"/>
        <v>2.0657936406673456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428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428.00000000000006</v>
      </c>
      <c r="BE61" s="14">
        <f>BD61*VLOOKUP('Données projet'!$B$11,Paramètres!$A$1:$I$89,3,0)*VLOOKUP('Données projet'!$B$11,Paramètres!$A$1:$I$89,5,0)</f>
        <v>255.94400000000005</v>
      </c>
      <c r="BF61" s="14">
        <f t="shared" si="37"/>
        <v>61.857013102708898</v>
      </c>
      <c r="BG61" s="22">
        <f t="shared" si="7"/>
        <v>553.50343115388478</v>
      </c>
      <c r="BH61" s="62">
        <f t="shared" si="8"/>
        <v>846.83676448721803</v>
      </c>
      <c r="BI61" s="62">
        <f ca="1">AVERAGE(OFFSET($BH$3,0,0,'Données projet'!$E$11+1,1))-AVERAGE(OFFSET($H$3,0,0,'Données projet'!$E$11+1,1))</f>
        <v>287.69656598881124</v>
      </c>
      <c r="BJ61" s="62">
        <f t="shared" si="38"/>
        <v>221.9773436301067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7.5963547533423181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6.2552657896833667E-3</v>
      </c>
      <c r="BS61" s="24">
        <f t="shared" si="9"/>
        <v>7.6026100191320012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310.95287409903602</v>
      </c>
      <c r="T62" s="62">
        <f t="shared" si="34"/>
        <v>224.10083380795163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12.2</v>
      </c>
      <c r="AI62" s="14">
        <f>IF('Données projet'!$A$62&gt;35,AI61+AH62-AQ61,IF(A62&lt;'Données projet'!$A$62,$AF$205^A62,IF(A62='Données projet'!$A$62,'Données projet'!$B$62,AI61+AH62-AQ61)))</f>
        <v>741.79999999999961</v>
      </c>
      <c r="AJ62" s="14">
        <f>AI62*VLOOKUP('Données projet'!$B$10,Paramètres!$A$1:$I$89,3,0)*VLOOKUP('Données projet'!$B$10,Paramètres!$A$1:$I$89,5,0)</f>
        <v>414.66619999999978</v>
      </c>
      <c r="AK62" s="14">
        <f t="shared" si="35"/>
        <v>94.743752206399009</v>
      </c>
      <c r="AL62" s="22">
        <f t="shared" si="4"/>
        <v>887.22233342614447</v>
      </c>
      <c r="AM62" s="62">
        <f t="shared" si="5"/>
        <v>1180.5556667594778</v>
      </c>
      <c r="AN62" s="62">
        <f ca="1">AVERAGE(OFFSET($AM$3,0,0,'Données projet'!$E$10+1,1))-AVERAGE(OFFSET($H$3,0,0,'Données projet'!$E$10+1,1))</f>
        <v>490.96084572840579</v>
      </c>
      <c r="AO62" s="62">
        <f t="shared" si="36"/>
        <v>597.91658789908263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2.0252465187782178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2.7529108699375158E-5</v>
      </c>
      <c r="AX62" s="23">
        <f t="shared" si="6"/>
        <v>2.0252740478869171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366.62500000000006</v>
      </c>
      <c r="BE62" s="14">
        <f>BD62*VLOOKUP('Données projet'!$B$11,Paramètres!$A$1:$I$89,3,0)*VLOOKUP('Données projet'!$B$11,Paramètres!$A$1:$I$89,5,0)</f>
        <v>219.24175000000005</v>
      </c>
      <c r="BF62" s="14">
        <f t="shared" si="37"/>
        <v>53.950050729111297</v>
      </c>
      <c r="BG62" s="22">
        <f t="shared" si="7"/>
        <v>475.80905293653558</v>
      </c>
      <c r="BH62" s="62">
        <f t="shared" si="8"/>
        <v>769.14238626986889</v>
      </c>
      <c r="BI62" s="62">
        <f ca="1">AVERAGE(OFFSET($BH$3,0,0,'Données projet'!$E$11+1,1))-AVERAGE(OFFSET($H$3,0,0,'Données projet'!$E$11+1,1))</f>
        <v>287.69656598881124</v>
      </c>
      <c r="BJ62" s="62">
        <f t="shared" si="38"/>
        <v>221.9773436301067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7.4473948699481722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4.4231408580093327E-3</v>
      </c>
      <c r="BS62" s="24">
        <f t="shared" si="9"/>
        <v>7.451818010806182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310.95287409903602</v>
      </c>
      <c r="T63" s="62">
        <f t="shared" si="34"/>
        <v>224.10083380795163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754</v>
      </c>
      <c r="AG63" s="13">
        <f>VLOOKUP(A63,'Données projet'!$A$61:$I$81,9,0)</f>
        <v>12.2</v>
      </c>
      <c r="AH63" s="13">
        <f t="array" ref="AH63">INDEX(AG:AG,MIN(IF(ISNUMBER(AG63:AG259),ROW(AG63:AG259),"")))</f>
        <v>12.2</v>
      </c>
      <c r="AI63" s="14">
        <f>IF('Données projet'!$A$62&gt;35,AI62+AH63-AQ62,IF(A63&lt;'Données projet'!$A$62,$AF$205^A63,IF(A63='Données projet'!$A$62,'Données projet'!$B$62,AI62+AH63-AQ62)))</f>
        <v>753.99999999999966</v>
      </c>
      <c r="AJ63" s="14">
        <f>AI63*VLOOKUP('Données projet'!$B$10,Paramètres!$A$1:$I$89,3,0)*VLOOKUP('Données projet'!$B$10,Paramètres!$A$1:$I$89,5,0)</f>
        <v>421.48599999999982</v>
      </c>
      <c r="AK63" s="14">
        <f t="shared" si="35"/>
        <v>96.119269055816147</v>
      </c>
      <c r="AL63" s="22">
        <f t="shared" si="4"/>
        <v>901.49584360554616</v>
      </c>
      <c r="AM63" s="62">
        <f t="shared" si="5"/>
        <v>1194.8291769388795</v>
      </c>
      <c r="AN63" s="62">
        <f ca="1">AVERAGE(OFFSET($AM$3,0,0,'Données projet'!$E$10+1,1))-AVERAGE(OFFSET($H$3,0,0,'Données projet'!$E$10+1,1))</f>
        <v>490.96084572840579</v>
      </c>
      <c r="AO63" s="62">
        <f t="shared" si="36"/>
        <v>597.91658789908263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35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1.9855326698233797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1.9466019441349751E-5</v>
      </c>
      <c r="AX63" s="23">
        <f t="shared" si="6"/>
        <v>1.985552135842821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383.25000000000006</v>
      </c>
      <c r="BE63" s="14">
        <f>BD63*VLOOKUP('Données projet'!$B$11,Paramètres!$A$1:$I$89,3,0)*VLOOKUP('Données projet'!$B$11,Paramètres!$A$1:$I$89,5,0)</f>
        <v>229.18350000000007</v>
      </c>
      <c r="BF63" s="14">
        <f t="shared" si="37"/>
        <v>56.106098616839645</v>
      </c>
      <c r="BG63" s="22">
        <f t="shared" si="7"/>
        <v>496.87938425766248</v>
      </c>
      <c r="BH63" s="62">
        <f t="shared" si="8"/>
        <v>790.21271759099579</v>
      </c>
      <c r="BI63" s="62">
        <f ca="1">AVERAGE(OFFSET($BH$3,0,0,'Données projet'!$E$11+1,1))-AVERAGE(OFFSET($H$3,0,0,'Données projet'!$E$11+1,1))</f>
        <v>287.69656598881124</v>
      </c>
      <c r="BJ63" s="62">
        <f t="shared" si="38"/>
        <v>221.9773436301067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7.3013559990108288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3.1276328948416834E-3</v>
      </c>
      <c r="BS63" s="24">
        <f t="shared" si="9"/>
        <v>7.3044836319056703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310.95287409903602</v>
      </c>
      <c r="T64" s="62">
        <f t="shared" si="34"/>
        <v>224.10083380795163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</v>
      </c>
      <c r="AI64" s="14">
        <f>IF('Données projet'!$A$62&gt;35,AI63+AH64-AQ63,IF(A64&lt;'Données projet'!$A$62,$AF$205^A64,IF(A64='Données projet'!$A$62,'Données projet'!$B$62,AI63+AH64-AQ63)))</f>
        <v>728.99999999999966</v>
      </c>
      <c r="AJ64" s="14">
        <f>AI64*VLOOKUP('Données projet'!$B$10,Paramètres!$A$1:$I$89,3,0)*VLOOKUP('Données projet'!$B$10,Paramètres!$A$1:$I$89,5,0)</f>
        <v>407.51099999999985</v>
      </c>
      <c r="AK64" s="14">
        <f t="shared" si="35"/>
        <v>93.297752590617137</v>
      </c>
      <c r="AL64" s="22">
        <f t="shared" si="4"/>
        <v>872.24191076199133</v>
      </c>
      <c r="AM64" s="62">
        <f t="shared" si="5"/>
        <v>1165.5752440953247</v>
      </c>
      <c r="AN64" s="62">
        <f ca="1">AVERAGE(OFFSET($AM$3,0,0,'Données projet'!$E$10+1,1))-AVERAGE(OFFSET($H$3,0,0,'Données projet'!$E$10+1,1))</f>
        <v>490.96084572840579</v>
      </c>
      <c r="AO64" s="62">
        <f t="shared" si="36"/>
        <v>597.91658789908263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1.94659758522349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1.3764554349687579E-5</v>
      </c>
      <c r="AX64" s="23">
        <f t="shared" si="6"/>
        <v>1.9466113497778397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399.87500000000006</v>
      </c>
      <c r="BE64" s="14">
        <f>BD64*VLOOKUP('Données projet'!$B$11,Paramètres!$A$1:$I$89,3,0)*VLOOKUP('Données projet'!$B$11,Paramètres!$A$1:$I$89,5,0)</f>
        <v>239.12525000000005</v>
      </c>
      <c r="BF64" s="14">
        <f t="shared" si="37"/>
        <v>58.251283780505084</v>
      </c>
      <c r="BG64" s="22">
        <f t="shared" si="7"/>
        <v>517.93079633437981</v>
      </c>
      <c r="BH64" s="62">
        <f t="shared" si="8"/>
        <v>811.26412966771318</v>
      </c>
      <c r="BI64" s="62">
        <f ca="1">AVERAGE(OFFSET($BH$3,0,0,'Données projet'!$E$11+1,1))-AVERAGE(OFFSET($H$3,0,0,'Données projet'!$E$11+1,1))</f>
        <v>287.69656598881124</v>
      </c>
      <c r="BJ64" s="62">
        <f t="shared" si="38"/>
        <v>221.9773436301067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7.1581808612576507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2.2115704290046664E-3</v>
      </c>
      <c r="BS64" s="24">
        <f t="shared" si="9"/>
        <v>7.1603924316866552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310.95287409903602</v>
      </c>
      <c r="T65" s="62">
        <f t="shared" si="34"/>
        <v>224.10083380795163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</v>
      </c>
      <c r="AI65" s="14">
        <f>IF('Données projet'!$A$62&gt;35,AI64+AH65-AQ64,IF(A65&lt;'Données projet'!$A$62,$AF$205^A65,IF(A65='Données projet'!$A$62,'Données projet'!$B$62,AI64+AH65-AQ64)))</f>
        <v>738.99999999999966</v>
      </c>
      <c r="AJ65" s="14">
        <f>AI65*VLOOKUP('Données projet'!$B$10,Paramètres!$A$1:$I$89,3,0)*VLOOKUP('Données projet'!$B$10,Paramètres!$A$1:$I$89,5,0)</f>
        <v>413.10099999999983</v>
      </c>
      <c r="AK65" s="14">
        <f t="shared" si="35"/>
        <v>94.427689670462357</v>
      </c>
      <c r="AL65" s="22">
        <f t="shared" si="4"/>
        <v>883.94580117605494</v>
      </c>
      <c r="AM65" s="62">
        <f t="shared" si="5"/>
        <v>1177.2791345093883</v>
      </c>
      <c r="AN65" s="62">
        <f ca="1">AVERAGE(OFFSET($AM$3,0,0,'Données projet'!$E$10+1,1))-AVERAGE(OFFSET($H$3,0,0,'Données projet'!$E$10+1,1))</f>
        <v>490.96084572840579</v>
      </c>
      <c r="AO65" s="62">
        <f t="shared" si="36"/>
        <v>597.91658789908263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1.9084259938845476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9.7330097206748755E-6</v>
      </c>
      <c r="AX65" s="23">
        <f t="shared" si="6"/>
        <v>1.9084357268942682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416.50000000000006</v>
      </c>
      <c r="BE65" s="14">
        <f>BD65*VLOOKUP('Données projet'!$B$11,Paramètres!$A$1:$I$89,3,0)*VLOOKUP('Données projet'!$B$11,Paramètres!$A$1:$I$89,5,0)</f>
        <v>249.06700000000004</v>
      </c>
      <c r="BF65" s="14">
        <f t="shared" si="37"/>
        <v>60.386109489804014</v>
      </c>
      <c r="BG65" s="22">
        <f t="shared" si="7"/>
        <v>538.96416569474195</v>
      </c>
      <c r="BH65" s="62">
        <f t="shared" si="8"/>
        <v>832.29749902807521</v>
      </c>
      <c r="BI65" s="62">
        <f ca="1">AVERAGE(OFFSET($BH$3,0,0,'Données projet'!$E$11+1,1))-AVERAGE(OFFSET($H$3,0,0,'Données projet'!$E$11+1,1))</f>
        <v>287.69656598881124</v>
      </c>
      <c r="BJ65" s="62">
        <f t="shared" si="38"/>
        <v>221.9773436301067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7.0178133006276013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1.5638164474208417E-3</v>
      </c>
      <c r="BS65" s="24">
        <f t="shared" si="9"/>
        <v>7.0193771170750221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310.95287409903602</v>
      </c>
      <c r="T66" s="62">
        <f t="shared" si="34"/>
        <v>224.10083380795163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</v>
      </c>
      <c r="AI66" s="14">
        <f>IF('Données projet'!$A$62&gt;35,AI65+AH66-AQ65,IF(A66&lt;'Données projet'!$A$62,$AF$205^A66,IF(A66='Données projet'!$A$62,'Données projet'!$B$62,AI65+AH66-AQ65)))</f>
        <v>748.99999999999966</v>
      </c>
      <c r="AJ66" s="14">
        <f>AI66*VLOOKUP('Données projet'!$B$10,Paramètres!$A$1:$I$89,3,0)*VLOOKUP('Données projet'!$B$10,Paramètres!$A$1:$I$89,5,0)</f>
        <v>418.6909999999998</v>
      </c>
      <c r="AK66" s="14">
        <f t="shared" si="35"/>
        <v>95.555848328260851</v>
      </c>
      <c r="AL66" s="22">
        <f t="shared" si="4"/>
        <v>895.64659417172061</v>
      </c>
      <c r="AM66" s="62">
        <f t="shared" si="5"/>
        <v>1188.9799275050539</v>
      </c>
      <c r="AN66" s="62">
        <f ca="1">AVERAGE(OFFSET($AM$3,0,0,'Données projet'!$E$10+1,1))-AVERAGE(OFFSET($H$3,0,0,'Données projet'!$E$10+1,1))</f>
        <v>490.96084572840579</v>
      </c>
      <c r="AO66" s="62">
        <f t="shared" si="36"/>
        <v>597.91658789908263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1.87100292416939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6.8822771748437894E-6</v>
      </c>
      <c r="AX66" s="23">
        <f t="shared" si="6"/>
        <v>1.8710098064465648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433.12500000000006</v>
      </c>
      <c r="BE66" s="14">
        <f>BD66*VLOOKUP('Données projet'!$B$11,Paramètres!$A$1:$I$89,3,0)*VLOOKUP('Données projet'!$B$11,Paramètres!$A$1:$I$89,5,0)</f>
        <v>259.00875000000008</v>
      </c>
      <c r="BF66" s="14">
        <f t="shared" si="37"/>
        <v>62.511036563235727</v>
      </c>
      <c r="BG66" s="22">
        <f t="shared" si="7"/>
        <v>559.98029493096897</v>
      </c>
      <c r="BH66" s="62">
        <f t="shared" si="8"/>
        <v>853.31362826430222</v>
      </c>
      <c r="BI66" s="62">
        <f ca="1">AVERAGE(OFFSET($BH$3,0,0,'Données projet'!$E$11+1,1))-AVERAGE(OFFSET($H$3,0,0,'Données projet'!$E$11+1,1))</f>
        <v>287.69656598881124</v>
      </c>
      <c r="BJ66" s="62">
        <f t="shared" si="38"/>
        <v>221.9773436301067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6.8801982622457487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1.1057852145023332E-3</v>
      </c>
      <c r="BS66" s="24">
        <f t="shared" si="9"/>
        <v>6.8813040474602509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310.95287409903602</v>
      </c>
      <c r="T67" s="62">
        <f t="shared" si="34"/>
        <v>224.10083380795163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</v>
      </c>
      <c r="AI67" s="14">
        <f>IF('Données projet'!$A$62&gt;35,AI66+AH67-AQ66,IF(A67&lt;'Données projet'!$A$62,$AF$205^A67,IF(A67='Données projet'!$A$62,'Données projet'!$B$62,AI66+AH67-AQ66)))</f>
        <v>758.99999999999966</v>
      </c>
      <c r="AJ67" s="14">
        <f>AI67*VLOOKUP('Données projet'!$B$10,Paramètres!$A$1:$I$89,3,0)*VLOOKUP('Données projet'!$B$10,Paramètres!$A$1:$I$89,5,0)</f>
        <v>424.28099999999978</v>
      </c>
      <c r="AK67" s="14">
        <f t="shared" si="35"/>
        <v>96.682255052757768</v>
      </c>
      <c r="AL67" s="22">
        <f t="shared" si="4"/>
        <v>907.34433588355262</v>
      </c>
      <c r="AM67" s="62">
        <f t="shared" si="5"/>
        <v>1200.677669216886</v>
      </c>
      <c r="AN67" s="62">
        <f ca="1">AVERAGE(OFFSET($AM$3,0,0,'Données projet'!$E$10+1,1))-AVERAGE(OFFSET($H$3,0,0,'Données projet'!$E$10+1,1))</f>
        <v>490.96084572840579</v>
      </c>
      <c r="AO67" s="62">
        <f t="shared" si="36"/>
        <v>597.91658789908263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1.8343136980255279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4.8665048603374378E-6</v>
      </c>
      <c r="AX67" s="23">
        <f t="shared" si="6"/>
        <v>1.8343185645303883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449.75000000000006</v>
      </c>
      <c r="BE67" s="14">
        <f>BD67*VLOOKUP('Données projet'!$B$11,Paramètres!$A$1:$I$89,3,0)*VLOOKUP('Données projet'!$B$11,Paramètres!$A$1:$I$89,5,0)</f>
        <v>268.95050000000009</v>
      </c>
      <c r="BF67" s="14">
        <f t="shared" si="37"/>
        <v>64.626488439895155</v>
      </c>
      <c r="BG67" s="22">
        <f t="shared" si="7"/>
        <v>580.97992153281746</v>
      </c>
      <c r="BH67" s="62">
        <f t="shared" si="8"/>
        <v>874.31325486615083</v>
      </c>
      <c r="BI67" s="62">
        <f ca="1">AVERAGE(OFFSET($BH$3,0,0,'Données projet'!$E$11+1,1))-AVERAGE(OFFSET($H$3,0,0,'Données projet'!$E$11+1,1))</f>
        <v>287.69656598881124</v>
      </c>
      <c r="BJ67" s="62">
        <f t="shared" si="38"/>
        <v>221.9773436301067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6.7452817708296786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7.8190822371042084E-4</v>
      </c>
      <c r="BS67" s="24">
        <f t="shared" si="9"/>
        <v>6.746063679053389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310.95287409903602</v>
      </c>
      <c r="T68" s="62">
        <f t="shared" si="34"/>
        <v>224.10083380795163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769</v>
      </c>
      <c r="AG68" s="13">
        <f>VLOOKUP(A68,'Données projet'!$A$61:$I$81,9,0)</f>
        <v>10</v>
      </c>
      <c r="AH68" s="13">
        <f t="array" ref="AH68">INDEX(AG:AG,MIN(IF(ISNUMBER(AG68:AG264),ROW(AG68:AG264),"")))</f>
        <v>10</v>
      </c>
      <c r="AI68" s="14">
        <f>IF('Données projet'!$A$62&gt;35,AI67+AH68-AQ67,IF(A68&lt;'Données projet'!$A$62,$AF$205^A68,IF(A68='Données projet'!$A$62,'Données projet'!$B$62,AI67+AH68-AQ67)))</f>
        <v>768.99999999999966</v>
      </c>
      <c r="AJ68" s="14">
        <f>AI68*VLOOKUP('Données projet'!$B$10,Paramètres!$A$1:$I$89,3,0)*VLOOKUP('Données projet'!$B$10,Paramètres!$A$1:$I$89,5,0)</f>
        <v>429.87099999999981</v>
      </c>
      <c r="AK68" s="14">
        <f t="shared" si="35"/>
        <v>97.806935594587088</v>
      </c>
      <c r="AL68" s="22">
        <f t="shared" ref="AL68:AL131" si="58">(AJ68+AK68)*0.475*44/12</f>
        <v>919.03907116057201</v>
      </c>
      <c r="AM68" s="62">
        <f t="shared" ref="AM68:AM131" si="59">AL68+(AD68+AE68)*44/12</f>
        <v>1212.3724044939054</v>
      </c>
      <c r="AN68" s="62">
        <f ca="1">AVERAGE(OFFSET($AM$3,0,0,'Données projet'!$E$10+1,1))-AVERAGE(OFFSET($H$3,0,0,'Données projet'!$E$10+1,1))</f>
        <v>490.96084572840579</v>
      </c>
      <c r="AO68" s="62">
        <f t="shared" si="36"/>
        <v>597.91658789908263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769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1.7983439252281288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3.4411385874218947E-6</v>
      </c>
      <c r="AX68" s="23">
        <f t="shared" ref="AX68:AX131" si="60">SUM(AU68:AW68)</f>
        <v>1.7983473663667162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466.37500000000006</v>
      </c>
      <c r="BE68" s="14">
        <f>BD68*VLOOKUP('Données projet'!$B$11,Paramètres!$A$1:$I$89,3,0)*VLOOKUP('Données projet'!$B$11,Paramètres!$A$1:$I$89,5,0)</f>
        <v>278.89225000000005</v>
      </c>
      <c r="BF68" s="14">
        <f t="shared" si="37"/>
        <v>66.732855480271084</v>
      </c>
      <c r="BG68" s="22">
        <f t="shared" ref="BG68:BG131" si="61">(BE68+BF68)*0.475*44/12</f>
        <v>601.96372537813886</v>
      </c>
      <c r="BH68" s="62">
        <f t="shared" ref="BH68:BH131" si="62">BG68+(AY68+AZ68)*44/12</f>
        <v>895.29705871147212</v>
      </c>
      <c r="BI68" s="62">
        <f ca="1">AVERAGE(OFFSET($BH$3,0,0,'Données projet'!$E$11+1,1))-AVERAGE(OFFSET($H$3,0,0,'Données projet'!$E$11+1,1))</f>
        <v>287.69656598881124</v>
      </c>
      <c r="BJ68" s="62">
        <f t="shared" si="38"/>
        <v>221.9773436301067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6.6130109095193434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5.5289260725116659E-4</v>
      </c>
      <c r="BS68" s="24">
        <f t="shared" ref="BS68:BS131" si="63">SUM(BP68:BR68)</f>
        <v>6.6135638021265946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310.95287409903602</v>
      </c>
      <c r="T69" s="62">
        <f t="shared" ref="T69:T132" si="88">$T$3</f>
        <v>224.10083380795163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-3.4106051316484809E-13</v>
      </c>
      <c r="AJ69" s="14">
        <f>AI69*VLOOKUP('Données projet'!$B$10,Paramètres!$A$1:$I$89,3,0)*VLOOKUP('Données projet'!$B$10,Paramètres!$A$1:$I$89,5,0)</f>
        <v>-1.9065282685915009E-13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490.96084572840579</v>
      </c>
      <c r="AO69" s="62">
        <f t="shared" ref="AO69:AO132" si="90">$AO$3</f>
        <v>597.91658789908263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1.7630794977358915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2.4332524301687189E-6</v>
      </c>
      <c r="AX69" s="23">
        <f t="shared" si="60"/>
        <v>1.7630819309883217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483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483.00000000000006</v>
      </c>
      <c r="BE69" s="14">
        <f>BD69*VLOOKUP('Données projet'!$B$11,Paramètres!$A$1:$I$89,3,0)*VLOOKUP('Données projet'!$B$11,Paramètres!$A$1:$I$89,5,0)</f>
        <v>288.83400000000006</v>
      </c>
      <c r="BF69" s="14">
        <f t="shared" ref="BF69:BF132" si="91">EXP(-1.0587+0.8836*LN(BE69)+0.284)</f>
        <v>68.830498636563377</v>
      </c>
      <c r="BG69" s="22">
        <f t="shared" si="61"/>
        <v>622.932335125348</v>
      </c>
      <c r="BH69" s="62">
        <f t="shared" si="62"/>
        <v>916.26566845868138</v>
      </c>
      <c r="BI69" s="62">
        <f ca="1">AVERAGE(OFFSET($BH$3,0,0,'Données projet'!$E$11+1,1))-AVERAGE(OFFSET($H$3,0,0,'Données projet'!$E$11+1,1))</f>
        <v>287.69656598881124</v>
      </c>
      <c r="BJ69" s="62">
        <f t="shared" ref="BJ69:BJ132" si="92">$BJ$3</f>
        <v>221.9773436301067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6.483333799122045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3.9095411185521042E-4</v>
      </c>
      <c r="BS69" s="24">
        <f t="shared" si="63"/>
        <v>6.4837247532339006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310.95287409903602</v>
      </c>
      <c r="T70" s="62">
        <f t="shared" si="88"/>
        <v>224.10083380795163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-3.4106051316484809E-13</v>
      </c>
      <c r="AJ70" s="14">
        <f>AI70*VLOOKUP('Données projet'!$B$10,Paramètres!$A$1:$I$89,3,0)*VLOOKUP('Données projet'!$B$10,Paramètres!$A$1:$I$89,5,0)</f>
        <v>-1.9065282685915009E-13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490.96084572840579</v>
      </c>
      <c r="AO70" s="62">
        <f t="shared" si="90"/>
        <v>597.91658789908263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1.7285065841575999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1.7205692937109473E-6</v>
      </c>
      <c r="AX70" s="23">
        <f t="shared" si="60"/>
        <v>1.7285083047268937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430.87500000000006</v>
      </c>
      <c r="BE70" s="14">
        <f>BD70*VLOOKUP('Données projet'!$B$11,Paramètres!$A$1:$I$89,3,0)*VLOOKUP('Données projet'!$B$11,Paramètres!$A$1:$I$89,5,0)</f>
        <v>257.66325000000006</v>
      </c>
      <c r="BF70" s="14">
        <f t="shared" si="91"/>
        <v>62.224015868041043</v>
      </c>
      <c r="BG70" s="22">
        <f t="shared" si="61"/>
        <v>557.13698805350487</v>
      </c>
      <c r="BH70" s="62">
        <f t="shared" si="62"/>
        <v>850.47032138683812</v>
      </c>
      <c r="BI70" s="62">
        <f ca="1">AVERAGE(OFFSET($BH$3,0,0,'Données projet'!$E$11+1,1))-AVERAGE(OFFSET($H$3,0,0,'Données projet'!$E$11+1,1))</f>
        <v>287.69656598881124</v>
      </c>
      <c r="BJ70" s="62">
        <f t="shared" si="92"/>
        <v>221.9773436301067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6.3561995777644107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2.764463036255833E-4</v>
      </c>
      <c r="BS70" s="24">
        <f t="shared" si="63"/>
        <v>6.3564760240680362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310.95287409903602</v>
      </c>
      <c r="T71" s="62">
        <f t="shared" si="88"/>
        <v>224.10083380795163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-3.4106051316484809E-13</v>
      </c>
      <c r="AJ71" s="14">
        <f>AI71*VLOOKUP('Données projet'!$B$10,Paramètres!$A$1:$I$89,3,0)*VLOOKUP('Données projet'!$B$10,Paramètres!$A$1:$I$89,5,0)</f>
        <v>-1.9065282685915009E-13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490.96084572840579</v>
      </c>
      <c r="AO71" s="62">
        <f t="shared" si="90"/>
        <v>597.91658789908263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1.6946116243271838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1.2166262150843594E-6</v>
      </c>
      <c r="AX71" s="23">
        <f t="shared" si="60"/>
        <v>1.6946128409533989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443.75000000000006</v>
      </c>
      <c r="BE71" s="14">
        <f>BD71*VLOOKUP('Données projet'!$B$11,Paramètres!$A$1:$I$89,3,0)*VLOOKUP('Données projet'!$B$11,Paramètres!$A$1:$I$89,5,0)</f>
        <v>265.36250000000007</v>
      </c>
      <c r="BF71" s="14">
        <f t="shared" si="91"/>
        <v>63.864084559847946</v>
      </c>
      <c r="BG71" s="22">
        <f t="shared" si="61"/>
        <v>573.40296810840198</v>
      </c>
      <c r="BH71" s="62">
        <f t="shared" si="62"/>
        <v>866.73630144173535</v>
      </c>
      <c r="BI71" s="62">
        <f ca="1">AVERAGE(OFFSET($BH$3,0,0,'Données projet'!$E$11+1,1))-AVERAGE(OFFSET($H$3,0,0,'Données projet'!$E$11+1,1))</f>
        <v>287.69656598881124</v>
      </c>
      <c r="BJ71" s="62">
        <f t="shared" si="92"/>
        <v>221.9773436301067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6.2315583809433814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1.9547705592760521E-4</v>
      </c>
      <c r="BS71" s="24">
        <f t="shared" si="63"/>
        <v>6.2317538579993093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310.95287409903602</v>
      </c>
      <c r="T72" s="62">
        <f t="shared" si="88"/>
        <v>224.10083380795163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-3.4106051316484809E-13</v>
      </c>
      <c r="AJ72" s="14">
        <f>AI72*VLOOKUP('Données projet'!$B$10,Paramètres!$A$1:$I$89,3,0)*VLOOKUP('Données projet'!$B$10,Paramètres!$A$1:$I$89,5,0)</f>
        <v>-1.9065282685915009E-13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490.96084572840579</v>
      </c>
      <c r="AO72" s="62">
        <f t="shared" si="90"/>
        <v>597.91658789908263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1.661381323985158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8.6028464685547367E-7</v>
      </c>
      <c r="AX72" s="23">
        <f t="shared" si="60"/>
        <v>1.6613821842698049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456.62500000000006</v>
      </c>
      <c r="BE72" s="14">
        <f>BD72*VLOOKUP('Données projet'!$B$11,Paramètres!$A$1:$I$89,3,0)*VLOOKUP('Données projet'!$B$11,Paramètres!$A$1:$I$89,5,0)</f>
        <v>273.06175000000007</v>
      </c>
      <c r="BF72" s="14">
        <f t="shared" si="91"/>
        <v>65.49862286970442</v>
      </c>
      <c r="BG72" s="22">
        <f t="shared" si="61"/>
        <v>589.65931608140193</v>
      </c>
      <c r="BH72" s="62">
        <f t="shared" si="62"/>
        <v>882.9926494147353</v>
      </c>
      <c r="BI72" s="62">
        <f ca="1">AVERAGE(OFFSET($BH$3,0,0,'Données projet'!$E$11+1,1))-AVERAGE(OFFSET($H$3,0,0,'Données projet'!$E$11+1,1))</f>
        <v>287.69656598881124</v>
      </c>
      <c r="BJ72" s="62">
        <f t="shared" si="92"/>
        <v>221.9773436301067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6.1093613219683887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1.3822315181279165E-4</v>
      </c>
      <c r="BS72" s="24">
        <f t="shared" si="63"/>
        <v>6.1094995451202019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310.95287409903602</v>
      </c>
      <c r="T73" s="62">
        <f t="shared" si="88"/>
        <v>224.10083380795163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-3.4106051316484809E-13</v>
      </c>
      <c r="AJ73" s="14">
        <f>AI73*VLOOKUP('Données projet'!$B$10,Paramètres!$A$1:$I$89,3,0)*VLOOKUP('Données projet'!$B$10,Paramètres!$A$1:$I$89,5,0)</f>
        <v>-1.9065282685915009E-13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490.96084572840579</v>
      </c>
      <c r="AO73" s="62">
        <f t="shared" si="90"/>
        <v>597.91658789908263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1.6288026495643575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6.0831310754217972E-7</v>
      </c>
      <c r="AX73" s="23">
        <f t="shared" si="60"/>
        <v>1.6288032578774649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469.50000000000006</v>
      </c>
      <c r="BE73" s="14">
        <f>BD73*VLOOKUP('Données projet'!$B$11,Paramètres!$A$1:$I$89,3,0)*VLOOKUP('Données projet'!$B$11,Paramètres!$A$1:$I$89,5,0)</f>
        <v>280.76100000000002</v>
      </c>
      <c r="BF73" s="14">
        <f t="shared" si="91"/>
        <v>67.12780464438184</v>
      </c>
      <c r="BG73" s="22">
        <f t="shared" si="61"/>
        <v>605.90633475563175</v>
      </c>
      <c r="BH73" s="62">
        <f t="shared" si="62"/>
        <v>899.23966808896512</v>
      </c>
      <c r="BI73" s="62">
        <f ca="1">AVERAGE(OFFSET($BH$3,0,0,'Données projet'!$E$11+1,1))-AVERAGE(OFFSET($H$3,0,0,'Données projet'!$E$11+1,1))</f>
        <v>287.69656598881124</v>
      </c>
      <c r="BJ73" s="62">
        <f t="shared" si="92"/>
        <v>221.9773436301067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5.9895604727870495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9.7738527963802605E-5</v>
      </c>
      <c r="BS73" s="24">
        <f t="shared" si="63"/>
        <v>5.989658211315013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310.95287409903602</v>
      </c>
      <c r="T74" s="62">
        <f t="shared" si="88"/>
        <v>224.10083380795163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-3.4106051316484809E-13</v>
      </c>
      <c r="AJ74" s="14">
        <f>AI74*VLOOKUP('Données projet'!$B$10,Paramètres!$A$1:$I$89,3,0)*VLOOKUP('Données projet'!$B$10,Paramètres!$A$1:$I$89,5,0)</f>
        <v>-1.9065282685915009E-13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490.96084572840579</v>
      </c>
      <c r="AO74" s="62">
        <f t="shared" si="90"/>
        <v>597.91658789908263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1.5968628230779196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4.3014232342773684E-7</v>
      </c>
      <c r="AX74" s="23">
        <f t="shared" si="60"/>
        <v>1.5968632532202431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482.37500000000006</v>
      </c>
      <c r="BE74" s="14">
        <f>BD74*VLOOKUP('Données projet'!$B$11,Paramètres!$A$1:$I$89,3,0)*VLOOKUP('Données projet'!$B$11,Paramètres!$A$1:$I$89,5,0)</f>
        <v>288.46025000000009</v>
      </c>
      <c r="BF74" s="14">
        <f t="shared" si="91"/>
        <v>68.75179365327233</v>
      </c>
      <c r="BG74" s="22">
        <f t="shared" si="61"/>
        <v>622.14430936278279</v>
      </c>
      <c r="BH74" s="62">
        <f t="shared" si="62"/>
        <v>915.47764269611616</v>
      </c>
      <c r="BI74" s="62">
        <f ca="1">AVERAGE(OFFSET($BH$3,0,0,'Données projet'!$E$11+1,1))-AVERAGE(OFFSET($H$3,0,0,'Données projet'!$E$11+1,1))</f>
        <v>287.69656598881124</v>
      </c>
      <c r="BJ74" s="62">
        <f t="shared" si="92"/>
        <v>221.9773436301067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5.8721088451868537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6.9111575906395824E-5</v>
      </c>
      <c r="BS74" s="24">
        <f t="shared" si="63"/>
        <v>5.8721779567627603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310.95287409903602</v>
      </c>
      <c r="T75" s="62">
        <f t="shared" si="88"/>
        <v>224.10083380795163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-3.4106051316484809E-13</v>
      </c>
      <c r="AJ75" s="14">
        <f>AI75*VLOOKUP('Données projet'!$B$10,Paramètres!$A$1:$I$89,3,0)*VLOOKUP('Données projet'!$B$10,Paramètres!$A$1:$I$89,5,0)</f>
        <v>-1.9065282685915009E-13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490.96084572840579</v>
      </c>
      <c r="AO75" s="62">
        <f t="shared" si="90"/>
        <v>597.91658789908263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1.5655493171075101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3.0415655377108986E-7</v>
      </c>
      <c r="AX75" s="23">
        <f t="shared" si="60"/>
        <v>1.5655496212640638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495.25000000000006</v>
      </c>
      <c r="BE75" s="14">
        <f>BD75*VLOOKUP('Données projet'!$B$11,Paramètres!$A$1:$I$89,3,0)*VLOOKUP('Données projet'!$B$11,Paramètres!$A$1:$I$89,5,0)</f>
        <v>296.15950000000004</v>
      </c>
      <c r="BF75" s="14">
        <f t="shared" si="91"/>
        <v>70.370744425720076</v>
      </c>
      <c r="BG75" s="22">
        <f t="shared" si="61"/>
        <v>638.37350904146251</v>
      </c>
      <c r="BH75" s="62">
        <f t="shared" si="62"/>
        <v>931.70684237479577</v>
      </c>
      <c r="BI75" s="62">
        <f ca="1">AVERAGE(OFFSET($BH$3,0,0,'Données projet'!$E$11+1,1))-AVERAGE(OFFSET($H$3,0,0,'Données projet'!$E$11+1,1))</f>
        <v>287.69656598881124</v>
      </c>
      <c r="BJ75" s="62">
        <f t="shared" si="92"/>
        <v>221.9773436301067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5.7569603723654783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4.8869263981901303E-5</v>
      </c>
      <c r="BS75" s="24">
        <f t="shared" si="63"/>
        <v>5.7570092416294605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310.95287409903602</v>
      </c>
      <c r="T76" s="62">
        <f t="shared" si="88"/>
        <v>224.10083380795163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-3.4106051316484809E-13</v>
      </c>
      <c r="AJ76" s="14">
        <f>AI76*VLOOKUP('Données projet'!$B$10,Paramètres!$A$1:$I$89,3,0)*VLOOKUP('Données projet'!$B$10,Paramètres!$A$1:$I$89,5,0)</f>
        <v>-1.9065282685915009E-13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490.96084572840579</v>
      </c>
      <c r="AO76" s="62">
        <f t="shared" si="90"/>
        <v>597.91658789908263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1.5348498498898275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2.1507116171386842E-7</v>
      </c>
      <c r="AX76" s="23">
        <f t="shared" si="60"/>
        <v>1.5348500649609893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508.12500000000006</v>
      </c>
      <c r="BE76" s="14">
        <f>BD76*VLOOKUP('Données projet'!$B$11,Paramètres!$A$1:$I$89,3,0)*VLOOKUP('Données projet'!$B$11,Paramètres!$A$1:$I$89,5,0)</f>
        <v>303.85875000000004</v>
      </c>
      <c r="BF76" s="14">
        <f t="shared" si="91"/>
        <v>71.984802998830631</v>
      </c>
      <c r="BG76" s="22">
        <f t="shared" si="61"/>
        <v>654.59418813963009</v>
      </c>
      <c r="BH76" s="62">
        <f t="shared" si="62"/>
        <v>947.92752147296346</v>
      </c>
      <c r="BI76" s="62">
        <f ca="1">AVERAGE(OFFSET($BH$3,0,0,'Données projet'!$E$11+1,1))-AVERAGE(OFFSET($H$3,0,0,'Données projet'!$E$11+1,1))</f>
        <v>287.69656598881124</v>
      </c>
      <c r="BJ76" s="62">
        <f t="shared" si="92"/>
        <v>221.9773436301067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5.6440698908624967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3.4555787953197912E-5</v>
      </c>
      <c r="BS76" s="24">
        <f t="shared" si="63"/>
        <v>5.6441044466504495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310.95287409903602</v>
      </c>
      <c r="T77" s="62">
        <f t="shared" si="88"/>
        <v>224.10083380795163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-3.4106051316484809E-13</v>
      </c>
      <c r="AJ77" s="14">
        <f>AI77*VLOOKUP('Données projet'!$B$10,Paramètres!$A$1:$I$89,3,0)*VLOOKUP('Données projet'!$B$10,Paramètres!$A$1:$I$89,5,0)</f>
        <v>-1.9065282685915009E-13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490.96084572840579</v>
      </c>
      <c r="AO77" s="62">
        <f t="shared" si="90"/>
        <v>597.91658789908263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1.5047523804994578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1.5207827688554493E-7</v>
      </c>
      <c r="AX77" s="23">
        <f t="shared" si="60"/>
        <v>1.5047525325777347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521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521</v>
      </c>
      <c r="BE77" s="14">
        <f>BD77*VLOOKUP('Données projet'!$B$11,Paramètres!$A$1:$I$89,3,0)*VLOOKUP('Données projet'!$B$11,Paramètres!$A$1:$I$89,5,0)</f>
        <v>311.55799999999999</v>
      </c>
      <c r="BF77" s="14">
        <f t="shared" si="91"/>
        <v>73.594107587354372</v>
      </c>
      <c r="BG77" s="22">
        <f t="shared" si="61"/>
        <v>670.80658738130876</v>
      </c>
      <c r="BH77" s="62">
        <f t="shared" si="62"/>
        <v>964.13992071464213</v>
      </c>
      <c r="BI77" s="62">
        <f ca="1">AVERAGE(OFFSET($BH$3,0,0,'Données projet'!$E$11+1,1))-AVERAGE(OFFSET($H$3,0,0,'Données projet'!$E$11+1,1))</f>
        <v>287.69656598881124</v>
      </c>
      <c r="BJ77" s="62">
        <f t="shared" si="92"/>
        <v>221.9773436301067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5.5333931228453936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2.4434631990950651E-5</v>
      </c>
      <c r="BS77" s="24">
        <f t="shared" si="63"/>
        <v>5.5334175574773843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310.95287409903602</v>
      </c>
      <c r="T78" s="62">
        <f t="shared" si="88"/>
        <v>224.10083380795163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-3.4106051316484809E-13</v>
      </c>
      <c r="AJ78" s="14">
        <f>AI78*VLOOKUP('Données projet'!$B$10,Paramètres!$A$1:$I$89,3,0)*VLOOKUP('Données projet'!$B$10,Paramètres!$A$1:$I$89,5,0)</f>
        <v>-1.9065282685915009E-13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490.96084572840579</v>
      </c>
      <c r="AO78" s="62">
        <f t="shared" si="90"/>
        <v>597.91658789908263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1.4752451041261896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1.0753558085693421E-7</v>
      </c>
      <c r="AX78" s="23">
        <f t="shared" si="60"/>
        <v>1.4752452116617705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492.875</v>
      </c>
      <c r="BE78" s="14">
        <f>BD78*VLOOKUP('Données projet'!$B$11,Paramètres!$A$1:$I$89,3,0)*VLOOKUP('Données projet'!$B$11,Paramètres!$A$1:$I$89,5,0)</f>
        <v>294.73925000000003</v>
      </c>
      <c r="BF78" s="14">
        <f t="shared" si="91"/>
        <v>70.072475236035828</v>
      </c>
      <c r="BG78" s="22">
        <f t="shared" si="61"/>
        <v>635.38042145276233</v>
      </c>
      <c r="BH78" s="62">
        <f t="shared" si="62"/>
        <v>928.71375478609571</v>
      </c>
      <c r="BI78" s="62">
        <f ca="1">AVERAGE(OFFSET($BH$3,0,0,'Données projet'!$E$11+1,1))-AVERAGE(OFFSET($H$3,0,0,'Données projet'!$E$11+1,1))</f>
        <v>287.69656598881124</v>
      </c>
      <c r="BJ78" s="62">
        <f t="shared" si="92"/>
        <v>221.9773436301067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5.4248866587429436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1.7277893976598956E-5</v>
      </c>
      <c r="BS78" s="24">
        <f t="shared" si="63"/>
        <v>5.4249039366369205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310.95287409903602</v>
      </c>
      <c r="T79" s="62">
        <f t="shared" si="88"/>
        <v>224.10083380795163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-3.4106051316484809E-13</v>
      </c>
      <c r="AJ79" s="14">
        <f>AI79*VLOOKUP('Données projet'!$B$10,Paramètres!$A$1:$I$89,3,0)*VLOOKUP('Données projet'!$B$10,Paramètres!$A$1:$I$89,5,0)</f>
        <v>-1.9065282685915009E-13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490.96084572840579</v>
      </c>
      <c r="AO79" s="62">
        <f t="shared" si="90"/>
        <v>597.91658789908263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1.4463164474449397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7.6039138442772465E-8</v>
      </c>
      <c r="AX79" s="23">
        <f t="shared" si="60"/>
        <v>1.4463165234840782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501.75</v>
      </c>
      <c r="BE79" s="14">
        <f>BD79*VLOOKUP('Données projet'!$B$11,Paramètres!$A$1:$I$89,3,0)*VLOOKUP('Données projet'!$B$11,Paramètres!$A$1:$I$89,5,0)</f>
        <v>300.04650000000004</v>
      </c>
      <c r="BF79" s="14">
        <f t="shared" si="91"/>
        <v>71.186211573839699</v>
      </c>
      <c r="BG79" s="22">
        <f t="shared" si="61"/>
        <v>646.56363932443753</v>
      </c>
      <c r="BH79" s="62">
        <f t="shared" si="62"/>
        <v>939.8969726577709</v>
      </c>
      <c r="BI79" s="62">
        <f ca="1">AVERAGE(OFFSET($BH$3,0,0,'Données projet'!$E$11+1,1))-AVERAGE(OFFSET($H$3,0,0,'Données projet'!$E$11+1,1))</f>
        <v>287.69656598881124</v>
      </c>
      <c r="BJ79" s="62">
        <f t="shared" si="92"/>
        <v>221.9773436301067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5.318507940219134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1.2217315995475326E-5</v>
      </c>
      <c r="BS79" s="24">
        <f t="shared" si="63"/>
        <v>5.3185201575351293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310.95287409903602</v>
      </c>
      <c r="T80" s="62">
        <f t="shared" si="88"/>
        <v>224.10083380795163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-3.4106051316484809E-13</v>
      </c>
      <c r="AJ80" s="14">
        <f>AI80*VLOOKUP('Données projet'!$B$10,Paramètres!$A$1:$I$89,3,0)*VLOOKUP('Données projet'!$B$10,Paramètres!$A$1:$I$89,5,0)</f>
        <v>-1.9065282685915009E-13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490.96084572840579</v>
      </c>
      <c r="AO80" s="62">
        <f t="shared" si="90"/>
        <v>597.91658789908263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1.4179550640764707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5.3767790428467105E-8</v>
      </c>
      <c r="AX80" s="23">
        <f t="shared" si="60"/>
        <v>1.4179551178442611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510.625</v>
      </c>
      <c r="BE80" s="14">
        <f>BD80*VLOOKUP('Données projet'!$B$11,Paramètres!$A$1:$I$89,3,0)*VLOOKUP('Données projet'!$B$11,Paramètres!$A$1:$I$89,5,0)</f>
        <v>305.35375000000005</v>
      </c>
      <c r="BF80" s="14">
        <f t="shared" si="91"/>
        <v>72.297657079406008</v>
      </c>
      <c r="BG80" s="22">
        <f t="shared" si="61"/>
        <v>657.74286732996552</v>
      </c>
      <c r="BH80" s="62">
        <f t="shared" si="62"/>
        <v>951.07620066329878</v>
      </c>
      <c r="BI80" s="62">
        <f ca="1">AVERAGE(OFFSET($BH$3,0,0,'Données projet'!$E$11+1,1))-AVERAGE(OFFSET($H$3,0,0,'Données projet'!$E$11+1,1))</f>
        <v>287.69656598881124</v>
      </c>
      <c r="BJ80" s="62">
        <f t="shared" si="92"/>
        <v>221.9773436301067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5.2142152434809645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8.638946988299478E-6</v>
      </c>
      <c r="BS80" s="24">
        <f t="shared" si="63"/>
        <v>5.2142238824279525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310.95287409903602</v>
      </c>
      <c r="T81" s="62">
        <f t="shared" si="88"/>
        <v>224.10083380795163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-3.4106051316484809E-13</v>
      </c>
      <c r="AJ81" s="14">
        <f>AI81*VLOOKUP('Données projet'!$B$10,Paramètres!$A$1:$I$89,3,0)*VLOOKUP('Données projet'!$B$10,Paramètres!$A$1:$I$89,5,0)</f>
        <v>-1.9065282685915009E-13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490.96084572840579</v>
      </c>
      <c r="AO81" s="62">
        <f t="shared" si="90"/>
        <v>597.91658789908263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1.3901498301371216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3.8019569221386233E-8</v>
      </c>
      <c r="AX81" s="23">
        <f t="shared" si="60"/>
        <v>1.3901498681566908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519.5</v>
      </c>
      <c r="BE81" s="14">
        <f>BD81*VLOOKUP('Données projet'!$B$11,Paramètres!$A$1:$I$89,3,0)*VLOOKUP('Données projet'!$B$11,Paramètres!$A$1:$I$89,5,0)</f>
        <v>310.661</v>
      </c>
      <c r="BF81" s="14">
        <f t="shared" si="91"/>
        <v>73.406856163089444</v>
      </c>
      <c r="BG81" s="22">
        <f t="shared" si="61"/>
        <v>668.91818281738085</v>
      </c>
      <c r="BH81" s="62">
        <f t="shared" si="62"/>
        <v>962.25151615071422</v>
      </c>
      <c r="BI81" s="62">
        <f ca="1">AVERAGE(OFFSET($BH$3,0,0,'Données projet'!$E$11+1,1))-AVERAGE(OFFSET($H$3,0,0,'Données projet'!$E$11+1,1))</f>
        <v>287.69656598881124</v>
      </c>
      <c r="BJ81" s="62">
        <f t="shared" si="92"/>
        <v>221.9773436301067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5.1119676629135675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6.1086579977376628E-6</v>
      </c>
      <c r="BS81" s="24">
        <f t="shared" si="63"/>
        <v>5.1119737715715656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310.95287409903602</v>
      </c>
      <c r="T82" s="62">
        <f t="shared" si="88"/>
        <v>224.10083380795163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-3.4106051316484809E-13</v>
      </c>
      <c r="AJ82" s="14">
        <f>AI82*VLOOKUP('Données projet'!$B$10,Paramètres!$A$1:$I$89,3,0)*VLOOKUP('Données projet'!$B$10,Paramètres!$A$1:$I$89,5,0)</f>
        <v>-1.9065282685915009E-13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490.96084572840579</v>
      </c>
      <c r="AO82" s="62">
        <f t="shared" si="90"/>
        <v>597.91658789908263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1.3628898398758051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2.6883895214233552E-8</v>
      </c>
      <c r="AX82" s="23">
        <f t="shared" si="60"/>
        <v>1.3628898667597003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528.375</v>
      </c>
      <c r="BE82" s="14">
        <f>BD82*VLOOKUP('Données projet'!$B$11,Paramètres!$A$1:$I$89,3,0)*VLOOKUP('Données projet'!$B$11,Paramètres!$A$1:$I$89,5,0)</f>
        <v>315.96825000000001</v>
      </c>
      <c r="BF82" s="14">
        <f t="shared" si="91"/>
        <v>74.513851630905478</v>
      </c>
      <c r="BG82" s="22">
        <f t="shared" si="61"/>
        <v>680.08966034049365</v>
      </c>
      <c r="BH82" s="62">
        <f t="shared" si="62"/>
        <v>973.42299367382702</v>
      </c>
      <c r="BI82" s="62">
        <f ca="1">AVERAGE(OFFSET($BH$3,0,0,'Données projet'!$E$11+1,1))-AVERAGE(OFFSET($H$3,0,0,'Données projet'!$E$11+1,1))</f>
        <v>287.69656598881124</v>
      </c>
      <c r="BJ82" s="62">
        <f t="shared" si="92"/>
        <v>221.9773436301067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5.0117250950362306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4.319473494149739E-6</v>
      </c>
      <c r="BS82" s="24">
        <f t="shared" si="63"/>
        <v>5.0117294145097251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310.95287409903602</v>
      </c>
      <c r="T83" s="62">
        <f t="shared" si="88"/>
        <v>224.10083380795163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-3.4106051316484809E-13</v>
      </c>
      <c r="AJ83" s="14">
        <f>AI83*VLOOKUP('Données projet'!$B$10,Paramètres!$A$1:$I$89,3,0)*VLOOKUP('Données projet'!$B$10,Paramètres!$A$1:$I$89,5,0)</f>
        <v>-1.9065282685915009E-13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490.96084572840579</v>
      </c>
      <c r="AO83" s="62">
        <f t="shared" si="90"/>
        <v>597.91658789908263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1.3361644013965608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1.9009784610693116E-8</v>
      </c>
      <c r="AX83" s="23">
        <f t="shared" si="60"/>
        <v>1.3361644204063454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537.25</v>
      </c>
      <c r="BE83" s="14">
        <f>BD83*VLOOKUP('Données projet'!$B$11,Paramètres!$A$1:$I$89,3,0)*VLOOKUP('Données projet'!$B$11,Paramètres!$A$1:$I$89,5,0)</f>
        <v>321.27550000000002</v>
      </c>
      <c r="BF83" s="14">
        <f t="shared" si="91"/>
        <v>75.618684768443416</v>
      </c>
      <c r="BG83" s="22">
        <f t="shared" si="61"/>
        <v>691.25737180503893</v>
      </c>
      <c r="BH83" s="62">
        <f t="shared" si="62"/>
        <v>984.59070513837219</v>
      </c>
      <c r="BI83" s="62">
        <f ca="1">AVERAGE(OFFSET($BH$3,0,0,'Données projet'!$E$11+1,1))-AVERAGE(OFFSET($H$3,0,0,'Données projet'!$E$11+1,1))</f>
        <v>287.69656598881124</v>
      </c>
      <c r="BJ83" s="62">
        <f t="shared" si="92"/>
        <v>221.9773436301067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4.9134482227730389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3.0543289988688314E-6</v>
      </c>
      <c r="BS83" s="24">
        <f t="shared" si="63"/>
        <v>4.9134512771020376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310.95287409903602</v>
      </c>
      <c r="T84" s="62">
        <f t="shared" si="88"/>
        <v>224.10083380795163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-3.4106051316484809E-13</v>
      </c>
      <c r="AJ84" s="14">
        <f>AI84*VLOOKUP('Données projet'!$B$10,Paramètres!$A$1:$I$89,3,0)*VLOOKUP('Données projet'!$B$10,Paramètres!$A$1:$I$89,5,0)</f>
        <v>-1.9065282685915009E-13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490.96084572840579</v>
      </c>
      <c r="AO84" s="62">
        <f t="shared" si="90"/>
        <v>597.91658789908263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1.3099630324649865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1.3441947607116776E-8</v>
      </c>
      <c r="AX84" s="23">
        <f t="shared" si="60"/>
        <v>1.309963045906934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546.125</v>
      </c>
      <c r="BE84" s="14">
        <f>BD84*VLOOKUP('Données projet'!$B$11,Paramètres!$A$1:$I$89,3,0)*VLOOKUP('Données projet'!$B$11,Paramètres!$A$1:$I$89,5,0)</f>
        <v>326.58275000000003</v>
      </c>
      <c r="BF84" s="14">
        <f t="shared" si="91"/>
        <v>76.72139541907876</v>
      </c>
      <c r="BG84" s="22">
        <f t="shared" si="61"/>
        <v>702.42138660489547</v>
      </c>
      <c r="BH84" s="62">
        <f t="shared" si="62"/>
        <v>995.75471993822885</v>
      </c>
      <c r="BI84" s="62">
        <f ca="1">AVERAGE(OFFSET($BH$3,0,0,'Données projet'!$E$11+1,1))-AVERAGE(OFFSET($H$3,0,0,'Données projet'!$E$11+1,1))</f>
        <v>287.69656598881124</v>
      </c>
      <c r="BJ84" s="62">
        <f t="shared" si="92"/>
        <v>221.9773436301067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4.8170985000319559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2.1597367470748695E-6</v>
      </c>
      <c r="BS84" s="24">
        <f t="shared" si="63"/>
        <v>4.8171006597687027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310.95287409903602</v>
      </c>
      <c r="T85" s="62">
        <f t="shared" si="88"/>
        <v>224.10083380795163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-3.4106051316484809E-13</v>
      </c>
      <c r="AJ85" s="14">
        <f>AI85*VLOOKUP('Données projet'!$B$10,Paramètres!$A$1:$I$89,3,0)*VLOOKUP('Données projet'!$B$10,Paramètres!$A$1:$I$89,5,0)</f>
        <v>-1.9065282685915009E-13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490.96084572840579</v>
      </c>
      <c r="AO85" s="62">
        <f t="shared" si="90"/>
        <v>597.91658789908263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1.2842754563969034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9.5048923053465581E-9</v>
      </c>
      <c r="AX85" s="23">
        <f t="shared" si="60"/>
        <v>1.2842754659017956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555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555</v>
      </c>
      <c r="BE85" s="14">
        <f>BD85*VLOOKUP('Données projet'!$B$11,Paramètres!$A$1:$I$89,3,0)*VLOOKUP('Données projet'!$B$11,Paramètres!$A$1:$I$89,5,0)</f>
        <v>331.89000000000004</v>
      </c>
      <c r="BF85" s="14">
        <f t="shared" si="91"/>
        <v>77.822022056956186</v>
      </c>
      <c r="BG85" s="22">
        <f t="shared" si="61"/>
        <v>713.58177174919865</v>
      </c>
      <c r="BH85" s="62">
        <f t="shared" si="62"/>
        <v>1006.9151050825319</v>
      </c>
      <c r="BI85" s="62">
        <f ca="1">AVERAGE(OFFSET($BH$3,0,0,'Données projet'!$E$11+1,1))-AVERAGE(OFFSET($H$3,0,0,'Données projet'!$E$11+1,1))</f>
        <v>287.69656598881124</v>
      </c>
      <c r="BJ85" s="62">
        <f t="shared" si="92"/>
        <v>221.9773436301067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555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4.7226381365862968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1.5271644994344157E-6</v>
      </c>
      <c r="BS85" s="24">
        <f t="shared" si="63"/>
        <v>4.7226396637507966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310.95287409903602</v>
      </c>
      <c r="T86" s="62">
        <f t="shared" si="88"/>
        <v>224.10083380795163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-3.4106051316484809E-13</v>
      </c>
      <c r="AJ86" s="14">
        <f>AI86*VLOOKUP('Données projet'!$B$10,Paramètres!$A$1:$I$89,3,0)*VLOOKUP('Données projet'!$B$10,Paramètres!$A$1:$I$89,5,0)</f>
        <v>-1.9065282685915009E-13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490.96084572840579</v>
      </c>
      <c r="AO86" s="62">
        <f t="shared" si="90"/>
        <v>597.91658789908263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1.2590915980276411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6.7209738035583881E-9</v>
      </c>
      <c r="AX86" s="23">
        <f t="shared" si="60"/>
        <v>1.2590916047486149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287.69656598881124</v>
      </c>
      <c r="BJ86" s="62">
        <f t="shared" si="92"/>
        <v>221.9773436301067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4.6300300832526746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1.0798683735374348E-6</v>
      </c>
      <c r="BS86" s="24">
        <f t="shared" si="63"/>
        <v>4.630031163121048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310.95287409903602</v>
      </c>
      <c r="T87" s="62">
        <f t="shared" si="88"/>
        <v>224.10083380795163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-3.4106051316484809E-13</v>
      </c>
      <c r="AJ87" s="14">
        <f>AI87*VLOOKUP('Données projet'!$B$10,Paramètres!$A$1:$I$89,3,0)*VLOOKUP('Données projet'!$B$10,Paramètres!$A$1:$I$89,5,0)</f>
        <v>-1.9065282685915009E-13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490.96084572840579</v>
      </c>
      <c r="AO87" s="62">
        <f t="shared" si="90"/>
        <v>597.91658789908263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1.2344015797603631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4.7524461526732791E-9</v>
      </c>
      <c r="AX87" s="23">
        <f t="shared" si="60"/>
        <v>1.2344015845128093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287.69656598881124</v>
      </c>
      <c r="BJ87" s="62">
        <f t="shared" si="92"/>
        <v>221.9773436301067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4.5392380173595894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7.6358224971720785E-7</v>
      </c>
      <c r="BS87" s="24">
        <f t="shared" si="63"/>
        <v>4.5392387809418393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310.95287409903602</v>
      </c>
      <c r="T88" s="62">
        <f t="shared" si="88"/>
        <v>224.10083380795163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-3.4106051316484809E-13</v>
      </c>
      <c r="AJ88" s="14">
        <f>AI88*VLOOKUP('Données projet'!$B$10,Paramètres!$A$1:$I$89,3,0)*VLOOKUP('Données projet'!$B$10,Paramètres!$A$1:$I$89,5,0)</f>
        <v>-1.9065282685915009E-13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490.96084572840579</v>
      </c>
      <c r="AO88" s="62">
        <f t="shared" si="90"/>
        <v>597.91658789908263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1.2101957176918823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3.360486901779194E-9</v>
      </c>
      <c r="AX88" s="23">
        <f t="shared" si="60"/>
        <v>1.2101957210523693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287.69656598881124</v>
      </c>
      <c r="BJ88" s="62">
        <f t="shared" si="92"/>
        <v>221.9773436301067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4.4502263285009755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5.3993418676871738E-7</v>
      </c>
      <c r="BS88" s="24">
        <f t="shared" si="63"/>
        <v>4.4502268684351627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310.95287409903602</v>
      </c>
      <c r="T89" s="62">
        <f t="shared" si="88"/>
        <v>224.10083380795163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-3.4106051316484809E-13</v>
      </c>
      <c r="AJ89" s="14">
        <f>AI89*VLOOKUP('Données projet'!$B$10,Paramètres!$A$1:$I$89,3,0)*VLOOKUP('Données projet'!$B$10,Paramètres!$A$1:$I$89,5,0)</f>
        <v>-1.9065282685915009E-13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490.96084572840579</v>
      </c>
      <c r="AO89" s="62">
        <f t="shared" si="90"/>
        <v>597.91658789908263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1.1864645178144464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2.3762230763366395E-9</v>
      </c>
      <c r="AX89" s="23">
        <f t="shared" si="60"/>
        <v>1.1864645201906694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287.69656598881124</v>
      </c>
      <c r="BJ89" s="62">
        <f t="shared" si="92"/>
        <v>221.9773436301067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4.36296010456911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3.8179112485860393E-7</v>
      </c>
      <c r="BS89" s="24">
        <f t="shared" si="63"/>
        <v>4.3629604863602349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310.95287409903602</v>
      </c>
      <c r="T90" s="62">
        <f t="shared" si="88"/>
        <v>224.10083380795163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-3.4106051316484809E-13</v>
      </c>
      <c r="AJ90" s="14">
        <f>AI90*VLOOKUP('Données projet'!$B$10,Paramètres!$A$1:$I$89,3,0)*VLOOKUP('Données projet'!$B$10,Paramètres!$A$1:$I$89,5,0)</f>
        <v>-1.9065282685915009E-13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490.96084572840579</v>
      </c>
      <c r="AO90" s="62">
        <f t="shared" si="90"/>
        <v>597.91658789908263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1.1631986722920042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1.680243450889597E-9</v>
      </c>
      <c r="AX90" s="23">
        <f t="shared" si="60"/>
        <v>1.1631986739722477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287.69656598881124</v>
      </c>
      <c r="BJ90" s="62">
        <f t="shared" si="92"/>
        <v>221.9773436301067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4.2774051180614077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2.6996709338435869E-7</v>
      </c>
      <c r="BS90" s="24">
        <f t="shared" si="63"/>
        <v>4.2774053880285008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310.95287409903602</v>
      </c>
      <c r="T91" s="62">
        <f t="shared" si="88"/>
        <v>224.10083380795163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-3.4106051316484809E-13</v>
      </c>
      <c r="AJ91" s="14">
        <f>AI91*VLOOKUP('Données projet'!$B$10,Paramètres!$A$1:$I$89,3,0)*VLOOKUP('Données projet'!$B$10,Paramètres!$A$1:$I$89,5,0)</f>
        <v>-1.9065282685915009E-13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490.96084572840579</v>
      </c>
      <c r="AO91" s="62">
        <f t="shared" si="90"/>
        <v>597.91658789908263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1.1403890558094927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1.1881115381683198E-9</v>
      </c>
      <c r="AX91" s="23">
        <f t="shared" si="60"/>
        <v>1.1403890569976043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287.69656598881124</v>
      </c>
      <c r="BJ91" s="62">
        <f t="shared" si="92"/>
        <v>221.9773436301067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4.1935278126557325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1.9089556242930196E-7</v>
      </c>
      <c r="BS91" s="24">
        <f t="shared" si="63"/>
        <v>4.193528003551295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310.95287409903602</v>
      </c>
      <c r="T92" s="62">
        <f t="shared" si="88"/>
        <v>224.10083380795163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-3.4106051316484809E-13</v>
      </c>
      <c r="AJ92" s="14">
        <f>AI92*VLOOKUP('Données projet'!$B$10,Paramètres!$A$1:$I$89,3,0)*VLOOKUP('Données projet'!$B$10,Paramètres!$A$1:$I$89,5,0)</f>
        <v>-1.9065282685915009E-13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490.96084572840579</v>
      </c>
      <c r="AO92" s="62">
        <f t="shared" si="90"/>
        <v>597.91658789908263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1.1180267219937108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8.4012172544479851E-10</v>
      </c>
      <c r="AX92" s="23">
        <f t="shared" si="60"/>
        <v>1.1180267228338325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287.69656598881124</v>
      </c>
      <c r="BJ92" s="62">
        <f t="shared" si="92"/>
        <v>221.9773436301067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4.1112952900489574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1.3498354669217934E-7</v>
      </c>
      <c r="BS92" s="24">
        <f t="shared" si="63"/>
        <v>4.1112954250325044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310.95287409903602</v>
      </c>
      <c r="T93" s="62">
        <f t="shared" si="88"/>
        <v>224.10083380795163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-3.4106051316484809E-13</v>
      </c>
      <c r="AJ93" s="14">
        <f>AI93*VLOOKUP('Données projet'!$B$10,Paramètres!$A$1:$I$89,3,0)*VLOOKUP('Données projet'!$B$10,Paramètres!$A$1:$I$89,5,0)</f>
        <v>-1.9065282685915009E-13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490.96084572840579</v>
      </c>
      <c r="AO93" s="62">
        <f t="shared" si="90"/>
        <v>597.91658789908263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1.0961028999043796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5.9405576908415988E-10</v>
      </c>
      <c r="AX93" s="23">
        <f t="shared" si="60"/>
        <v>1.0961029004984353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287.69656598881124</v>
      </c>
      <c r="BJ93" s="62">
        <f t="shared" si="92"/>
        <v>221.9773436301067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4.030675297053615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9.5447781214650982E-8</v>
      </c>
      <c r="BS93" s="24">
        <f t="shared" si="63"/>
        <v>4.0306753925013963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310.95287409903602</v>
      </c>
      <c r="T94" s="62">
        <f t="shared" si="88"/>
        <v>224.10083380795163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-3.4106051316484809E-13</v>
      </c>
      <c r="AJ94" s="14">
        <f>AI94*VLOOKUP('Données projet'!$B$10,Paramètres!$A$1:$I$89,3,0)*VLOOKUP('Données projet'!$B$10,Paramètres!$A$1:$I$89,5,0)</f>
        <v>-1.9065282685915009E-13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490.96084572840579</v>
      </c>
      <c r="AO94" s="62">
        <f t="shared" si="90"/>
        <v>597.91658789908263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1.0746089905940091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4.2006086272239925E-10</v>
      </c>
      <c r="AX94" s="23">
        <f t="shared" si="60"/>
        <v>1.0746089910140699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287.69656598881124</v>
      </c>
      <c r="BJ94" s="62">
        <f t="shared" si="92"/>
        <v>221.9773436301067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3.9516362129475713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6.7491773346089672E-8</v>
      </c>
      <c r="BS94" s="24">
        <f t="shared" si="63"/>
        <v>3.9516362804393448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310.95287409903602</v>
      </c>
      <c r="T95" s="62">
        <f t="shared" si="88"/>
        <v>224.10083380795163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-3.4106051316484809E-13</v>
      </c>
      <c r="AJ95" s="14">
        <f>AI95*VLOOKUP('Données projet'!$B$10,Paramètres!$A$1:$I$89,3,0)*VLOOKUP('Données projet'!$B$10,Paramètres!$A$1:$I$89,5,0)</f>
        <v>-1.9065282685915009E-13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490.96084572840579</v>
      </c>
      <c r="AO95" s="62">
        <f t="shared" si="90"/>
        <v>597.91658789908263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1.0535365637352248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2.9702788454207994E-10</v>
      </c>
      <c r="AX95" s="23">
        <f t="shared" si="60"/>
        <v>1.0535365640322527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287.69656598881124</v>
      </c>
      <c r="BJ95" s="62">
        <f t="shared" si="92"/>
        <v>221.9773436301067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3.8741470370717659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4.7723890607325491E-8</v>
      </c>
      <c r="BS95" s="24">
        <f t="shared" si="63"/>
        <v>3.8741470847956565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310.95287409903602</v>
      </c>
      <c r="T96" s="62">
        <f t="shared" si="88"/>
        <v>224.10083380795163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-3.4106051316484809E-13</v>
      </c>
      <c r="AJ96" s="14">
        <f>AI96*VLOOKUP('Données projet'!$B$10,Paramètres!$A$1:$I$89,3,0)*VLOOKUP('Données projet'!$B$10,Paramètres!$A$1:$I$89,5,0)</f>
        <v>-1.9065282685915009E-13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490.96084572840579</v>
      </c>
      <c r="AO96" s="62">
        <f t="shared" si="90"/>
        <v>597.91658789908263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1.03287735431423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2.1003043136119963E-10</v>
      </c>
      <c r="AX96" s="23">
        <f t="shared" si="60"/>
        <v>1.0328773545242604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287.69656598881124</v>
      </c>
      <c r="BJ96" s="62">
        <f t="shared" si="92"/>
        <v>221.9773436301067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3.7981773766711546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3.3745886673044836E-8</v>
      </c>
      <c r="BS96" s="24">
        <f t="shared" si="63"/>
        <v>3.7981774104170412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310.95287409903602</v>
      </c>
      <c r="T97" s="62">
        <f t="shared" si="88"/>
        <v>224.10083380795163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-3.4106051316484809E-13</v>
      </c>
      <c r="AJ97" s="14">
        <f>AI97*VLOOKUP('Données projet'!$B$10,Paramètres!$A$1:$I$89,3,0)*VLOOKUP('Données projet'!$B$10,Paramètres!$A$1:$I$89,5,0)</f>
        <v>-1.9065282685915009E-13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490.96084572840579</v>
      </c>
      <c r="AO97" s="62">
        <f t="shared" si="90"/>
        <v>597.91658789908263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1.0126232593891074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1.4851394227103997E-10</v>
      </c>
      <c r="AX97" s="23">
        <f t="shared" si="60"/>
        <v>1.0126232595376212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287.69656598881124</v>
      </c>
      <c r="BJ97" s="62">
        <f t="shared" si="92"/>
        <v>221.9773436301067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3.7236974349740821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2.3861945303662745E-8</v>
      </c>
      <c r="BS97" s="24">
        <f t="shared" si="63"/>
        <v>3.7236974588360274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310.95287409903602</v>
      </c>
      <c r="T98" s="62">
        <f t="shared" si="88"/>
        <v>224.10083380795163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-3.4106051316484809E-13</v>
      </c>
      <c r="AJ98" s="14">
        <f>AI98*VLOOKUP('Données projet'!$B$10,Paramètres!$A$1:$I$89,3,0)*VLOOKUP('Données projet'!$B$10,Paramètres!$A$1:$I$89,5,0)</f>
        <v>-1.9065282685915009E-13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490.96084572840579</v>
      </c>
      <c r="AO98" s="62">
        <f t="shared" si="90"/>
        <v>597.91658789908263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0.99276633491168842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1.0501521568059981E-10</v>
      </c>
      <c r="AX98" s="23">
        <f t="shared" si="60"/>
        <v>0.99276633501670364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287.69656598881124</v>
      </c>
      <c r="BJ98" s="62">
        <f t="shared" si="92"/>
        <v>221.9773436301067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3.6506779995054104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1.6872943336522418E-8</v>
      </c>
      <c r="BS98" s="24">
        <f t="shared" si="63"/>
        <v>3.6506780163783539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310.95287409903602</v>
      </c>
      <c r="T99" s="62">
        <f t="shared" si="88"/>
        <v>224.10083380795163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-3.4106051316484809E-13</v>
      </c>
      <c r="AJ99" s="14">
        <f>AI99*VLOOKUP('Données projet'!$B$10,Paramètres!$A$1:$I$89,3,0)*VLOOKUP('Données projet'!$B$10,Paramètres!$A$1:$I$89,5,0)</f>
        <v>-1.9065282685915009E-13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490.96084572840579</v>
      </c>
      <c r="AO99" s="62">
        <f t="shared" si="90"/>
        <v>597.91658789908263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0.97329879261174357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7.4256971135519986E-11</v>
      </c>
      <c r="AX99" s="23">
        <f t="shared" si="60"/>
        <v>0.9732987926860005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287.69656598881124</v>
      </c>
      <c r="BJ99" s="62">
        <f t="shared" si="92"/>
        <v>221.9773436301067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3.5790904306288214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1.1930972651831373E-8</v>
      </c>
      <c r="BS99" s="24">
        <f t="shared" si="63"/>
        <v>3.579090442559794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310.95287409903602</v>
      </c>
      <c r="T100" s="62">
        <f t="shared" si="88"/>
        <v>224.10083380795163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-3.4106051316484809E-13</v>
      </c>
      <c r="AJ100" s="14">
        <f>AI100*VLOOKUP('Données projet'!$B$10,Paramètres!$A$1:$I$89,3,0)*VLOOKUP('Données projet'!$B$10,Paramètres!$A$1:$I$89,5,0)</f>
        <v>-1.9065282685915009E-13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490.96084572840579</v>
      </c>
      <c r="AO100" s="62">
        <f t="shared" si="90"/>
        <v>597.91658789908263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0.95421299694227235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5.2507607840299907E-11</v>
      </c>
      <c r="AX100" s="23">
        <f t="shared" si="60"/>
        <v>0.95421299699477991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287.69656598881124</v>
      </c>
      <c r="BJ100" s="62">
        <f t="shared" si="92"/>
        <v>221.9773436301067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3.5089066503137967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8.436471668261209E-9</v>
      </c>
      <c r="BS100" s="24">
        <f t="shared" si="63"/>
        <v>3.5089066587502682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310.95287409903602</v>
      </c>
      <c r="T101" s="62">
        <f t="shared" si="88"/>
        <v>224.10083380795163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-3.4106051316484809E-13</v>
      </c>
      <c r="AJ101" s="14">
        <f>AI101*VLOOKUP('Données projet'!$B$10,Paramètres!$A$1:$I$89,3,0)*VLOOKUP('Données projet'!$B$10,Paramètres!$A$1:$I$89,5,0)</f>
        <v>-1.9065282685915009E-13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490.96084572840579</v>
      </c>
      <c r="AO101" s="62">
        <f t="shared" si="90"/>
        <v>597.91658789908263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0.93550146208469354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3.7128485567759993E-11</v>
      </c>
      <c r="AX101" s="23">
        <f t="shared" si="60"/>
        <v>0.93550146212182206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287.69656598881124</v>
      </c>
      <c r="BJ101" s="62">
        <f t="shared" si="92"/>
        <v>221.9773436301067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3.4400991311228704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5.9654863259156864E-9</v>
      </c>
      <c r="BS101" s="24">
        <f t="shared" si="63"/>
        <v>3.4400991370883567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310.95287409903602</v>
      </c>
      <c r="T102" s="62">
        <f t="shared" si="88"/>
        <v>224.10083380795163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-3.4106051316484809E-13</v>
      </c>
      <c r="AJ102" s="14">
        <f>AI102*VLOOKUP('Données projet'!$B$10,Paramètres!$A$1:$I$89,3,0)*VLOOKUP('Données projet'!$B$10,Paramètres!$A$1:$I$89,5,0)</f>
        <v>-1.9065282685915009E-13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490.96084572840579</v>
      </c>
      <c r="AO102" s="62">
        <f t="shared" si="90"/>
        <v>597.91658789908263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0.91715684901276251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2.6253803920149953E-11</v>
      </c>
      <c r="AX102" s="23">
        <f t="shared" si="60"/>
        <v>0.91715684903901629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287.69656598881124</v>
      </c>
      <c r="BJ102" s="62">
        <f t="shared" si="92"/>
        <v>221.9773436301067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3.3726408854148358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4.2182358341306045E-9</v>
      </c>
      <c r="BS102" s="24">
        <f t="shared" si="63"/>
        <v>3.3726408896330717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310.95287409903602</v>
      </c>
      <c r="T103" s="62">
        <f t="shared" si="88"/>
        <v>224.10083380795163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-3.4106051316484809E-13</v>
      </c>
      <c r="AJ103" s="14">
        <f>AI103*VLOOKUP('Données projet'!$B$10,Paramètres!$A$1:$I$89,3,0)*VLOOKUP('Données projet'!$B$10,Paramètres!$A$1:$I$89,5,0)</f>
        <v>-1.9065282685915009E-13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490.96084572840579</v>
      </c>
      <c r="AO103" s="62">
        <f t="shared" si="90"/>
        <v>597.91658789908263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0.89917196261406296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1.8564242783879996E-11</v>
      </c>
      <c r="AX103" s="23">
        <f t="shared" si="60"/>
        <v>0.89917196263262722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287.69656598881124</v>
      </c>
      <c r="BJ103" s="62">
        <f t="shared" si="92"/>
        <v>221.9773436301067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3.3065054547596686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2.9827431629578432E-9</v>
      </c>
      <c r="BS103" s="24">
        <f t="shared" si="63"/>
        <v>3.3065054577424116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310.95287409903602</v>
      </c>
      <c r="T104" s="62">
        <f t="shared" si="88"/>
        <v>224.10083380795163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-1.9065282685915009E-13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490.96084572840579</v>
      </c>
      <c r="AO104" s="62">
        <f t="shared" si="90"/>
        <v>597.91658789908263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0.88153974886794439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1.3126901960074977E-11</v>
      </c>
      <c r="AX104" s="23">
        <f t="shared" si="60"/>
        <v>0.88153974888107134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287.69656598881124</v>
      </c>
      <c r="BJ104" s="62">
        <f t="shared" si="92"/>
        <v>221.9773436301067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3.2416668995610194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2.1091179170653022E-9</v>
      </c>
      <c r="BS104" s="24">
        <f t="shared" si="63"/>
        <v>3.2416669016701372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310.95287409903602</v>
      </c>
      <c r="T105" s="62">
        <f t="shared" si="88"/>
        <v>224.10083380795163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-1.9065282685915009E-13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490.96084572840579</v>
      </c>
      <c r="AO105" s="62">
        <f t="shared" si="90"/>
        <v>597.91658789908263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0.86425329207879875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9.2821213919399982E-12</v>
      </c>
      <c r="AX105" s="23">
        <f t="shared" si="60"/>
        <v>0.86425329208808088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287.69656598881124</v>
      </c>
      <c r="BJ105" s="62">
        <f t="shared" si="92"/>
        <v>221.9773436301067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3.1780997888822022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1.4913715814789216E-9</v>
      </c>
      <c r="BS105" s="24">
        <f t="shared" si="63"/>
        <v>3.1780997903735737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310.95287409903602</v>
      </c>
      <c r="T106" s="62">
        <f t="shared" si="88"/>
        <v>224.10083380795163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-1.9065282685915009E-13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490.96084572840579</v>
      </c>
      <c r="AO106" s="62">
        <f t="shared" si="90"/>
        <v>597.91658789908263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0.84730581216359069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6.5634509800374884E-12</v>
      </c>
      <c r="AX106" s="23">
        <f t="shared" si="60"/>
        <v>0.8473058121701541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287.69656598881124</v>
      </c>
      <c r="BJ106" s="62">
        <f t="shared" si="92"/>
        <v>221.9773436301067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3.1157791904716876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1.0545589585326511E-9</v>
      </c>
      <c r="BS106" s="24">
        <f t="shared" si="63"/>
        <v>3.1157791915262467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310.95287409903602</v>
      </c>
      <c r="T107" s="62">
        <f t="shared" si="88"/>
        <v>224.10083380795163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-1.9065282685915009E-13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490.96084572840579</v>
      </c>
      <c r="AO107" s="62">
        <f t="shared" si="90"/>
        <v>597.91658789908263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0.83069066199257779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4.6410606959699991E-12</v>
      </c>
      <c r="AX107" s="23">
        <f t="shared" si="60"/>
        <v>0.83069066199721886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287.69656598881124</v>
      </c>
      <c r="BJ107" s="62">
        <f t="shared" si="92"/>
        <v>221.9773436301067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3.0546806609841912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7.456857907394608E-10</v>
      </c>
      <c r="BS107" s="24">
        <f t="shared" si="63"/>
        <v>3.054680661729877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310.95287409903602</v>
      </c>
      <c r="T108" s="62">
        <f t="shared" si="88"/>
        <v>224.10083380795163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-1.9065282685915009E-13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490.96084572840579</v>
      </c>
      <c r="AO108" s="62">
        <f t="shared" si="90"/>
        <v>597.91658789908263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0.81440132478217753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3.2817254900187442E-12</v>
      </c>
      <c r="AX108" s="23">
        <f t="shared" si="60"/>
        <v>0.81440132478545924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287.69656598881124</v>
      </c>
      <c r="BJ108" s="62">
        <f t="shared" si="92"/>
        <v>221.9773436301067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2.9947802363935216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5.2727947926632556E-10</v>
      </c>
      <c r="BS108" s="24">
        <f t="shared" si="63"/>
        <v>2.9947802369208012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310.95287409903602</v>
      </c>
      <c r="T109" s="62">
        <f t="shared" si="88"/>
        <v>224.10083380795163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-1.9065282685915009E-13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490.96084572840579</v>
      </c>
      <c r="AO109" s="62">
        <f t="shared" si="90"/>
        <v>597.91658789908263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0.79843141153895858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2.3205303479849995E-12</v>
      </c>
      <c r="AX109" s="23">
        <f t="shared" si="60"/>
        <v>0.79843141154127906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287.69656598881124</v>
      </c>
      <c r="BJ109" s="62">
        <f t="shared" si="92"/>
        <v>221.9773436301067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2.9360544225934238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3.728428953697304E-10</v>
      </c>
      <c r="BS109" s="24">
        <f t="shared" si="63"/>
        <v>2.9360544229662668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310.95287409903602</v>
      </c>
      <c r="T110" s="62">
        <f t="shared" si="88"/>
        <v>224.10083380795163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-1.9065282685915009E-13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490.96084572840579</v>
      </c>
      <c r="AO110" s="62">
        <f t="shared" si="90"/>
        <v>597.91658789908263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0.78277465855375383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1.6408627450093721E-12</v>
      </c>
      <c r="AX110" s="23">
        <f t="shared" si="60"/>
        <v>0.78277465855539474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287.69656598881124</v>
      </c>
      <c r="BJ110" s="62">
        <f t="shared" si="92"/>
        <v>221.9773436301067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2.878480186182736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2.6363973963316278E-10</v>
      </c>
      <c r="BS110" s="24">
        <f t="shared" si="63"/>
        <v>2.8784801864463758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310.95287409903602</v>
      </c>
      <c r="T111" s="62">
        <f t="shared" si="88"/>
        <v>224.10083380795163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-1.9065282685915009E-13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490.96084572840579</v>
      </c>
      <c r="AO111" s="62">
        <f t="shared" si="90"/>
        <v>597.91658789908263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0.76742492494491266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1.1602651739924998E-12</v>
      </c>
      <c r="AX111" s="23">
        <f t="shared" si="60"/>
        <v>0.76742492494607295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287.69656598881124</v>
      </c>
      <c r="BJ111" s="62">
        <f t="shared" si="92"/>
        <v>221.9773436301067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2.8220349454312452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1.864214476848652E-10</v>
      </c>
      <c r="BS111" s="24">
        <f t="shared" si="63"/>
        <v>2.8220349456176668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310.95287409903602</v>
      </c>
      <c r="T112" s="62">
        <f t="shared" si="88"/>
        <v>224.10083380795163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-1.9065282685915009E-13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490.96084572840579</v>
      </c>
      <c r="AO112" s="62">
        <f t="shared" si="90"/>
        <v>597.91658789908263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0.75237619024972779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8.2043137250468604E-13</v>
      </c>
      <c r="AX112" s="23">
        <f t="shared" si="60"/>
        <v>0.75237619025054825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287.69656598881124</v>
      </c>
      <c r="BJ112" s="62">
        <f t="shared" si="92"/>
        <v>221.9773436301067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2.7666965614226937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1.3181986981658139E-10</v>
      </c>
      <c r="BS112" s="24">
        <f t="shared" si="63"/>
        <v>2.7666965615545136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310.95287409903602</v>
      </c>
      <c r="T113" s="62">
        <f t="shared" si="88"/>
        <v>224.10083380795163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-1.9065282685915009E-13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490.96084572840579</v>
      </c>
      <c r="AO113" s="62">
        <f t="shared" si="90"/>
        <v>597.91658789908263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0.73762255206309368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5.8013258699624989E-13</v>
      </c>
      <c r="AX113" s="23">
        <f t="shared" si="60"/>
        <v>0.73762255206367378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287.69656598881124</v>
      </c>
      <c r="BJ113" s="62">
        <f t="shared" si="92"/>
        <v>221.9773436301067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2.7124433293714687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9.3210723842432599E-11</v>
      </c>
      <c r="BS113" s="24">
        <f t="shared" si="63"/>
        <v>2.7124433294646795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310.95287409903602</v>
      </c>
      <c r="T114" s="62">
        <f t="shared" si="88"/>
        <v>224.10083380795163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-1.9065282685915009E-13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490.96084572840579</v>
      </c>
      <c r="AO114" s="62">
        <f t="shared" si="90"/>
        <v>597.91658789908263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0.72315822372246874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4.1021568625234302E-13</v>
      </c>
      <c r="AX114" s="23">
        <f t="shared" si="60"/>
        <v>0.72315822372287897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287.69656598881124</v>
      </c>
      <c r="BJ114" s="62">
        <f t="shared" si="92"/>
        <v>221.9773436301067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2.6592539701095639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6.5909934908290695E-11</v>
      </c>
      <c r="BS114" s="24">
        <f t="shared" si="63"/>
        <v>2.6592539701754738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310.95287409903602</v>
      </c>
      <c r="T115" s="62">
        <f t="shared" si="88"/>
        <v>224.10083380795163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-1.9065282685915009E-13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490.96084572840579</v>
      </c>
      <c r="AO115" s="62">
        <f t="shared" si="90"/>
        <v>597.91658789908263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0.70897753203823433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2.9006629349812494E-13</v>
      </c>
      <c r="AX115" s="23">
        <f t="shared" si="60"/>
        <v>0.70897753203852443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287.69656598881124</v>
      </c>
      <c r="BJ115" s="62">
        <f t="shared" si="92"/>
        <v>221.9773436301067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2.6071076217404796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4.66053619212163E-11</v>
      </c>
      <c r="BS115" s="24">
        <f t="shared" si="63"/>
        <v>2.607107621787085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310.95287409903602</v>
      </c>
      <c r="T116" s="62">
        <f t="shared" si="88"/>
        <v>224.10083380795163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-1.9065282685915009E-13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490.96084572840579</v>
      </c>
      <c r="AO116" s="62">
        <f t="shared" si="90"/>
        <v>597.91658789908263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0.69507491506855978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2.0510784312617151E-13</v>
      </c>
      <c r="AX116" s="23">
        <f t="shared" si="60"/>
        <v>0.69507491506876484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287.69656598881124</v>
      </c>
      <c r="BJ116" s="62">
        <f t="shared" si="92"/>
        <v>221.9773436301067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2.5559838314567811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3.2954967454145348E-11</v>
      </c>
      <c r="BS116" s="24">
        <f t="shared" si="63"/>
        <v>2.5559838314897361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310.95287409903602</v>
      </c>
      <c r="T117" s="62">
        <f t="shared" si="88"/>
        <v>224.10083380795163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-1.9065282685915009E-13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490.96084572840579</v>
      </c>
      <c r="AO117" s="62">
        <f t="shared" si="90"/>
        <v>597.91658789908263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0.68144491993790157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1.4503314674906247E-13</v>
      </c>
      <c r="AX117" s="23">
        <f t="shared" si="60"/>
        <v>0.68144491993804657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287.69656598881124</v>
      </c>
      <c r="BJ117" s="62">
        <f t="shared" si="92"/>
        <v>221.9773436301067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2.5058625475181127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2.330268096060815E-11</v>
      </c>
      <c r="BS117" s="24">
        <f t="shared" si="63"/>
        <v>2.5058625475414154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310.95287409903602</v>
      </c>
      <c r="T118" s="62">
        <f t="shared" si="88"/>
        <v>224.10083380795163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-1.9065282685915009E-13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490.96084572840579</v>
      </c>
      <c r="AO118" s="62">
        <f t="shared" si="90"/>
        <v>597.91658789908263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0.66808220069827939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1.0255392156308576E-13</v>
      </c>
      <c r="AX118" s="23">
        <f t="shared" si="60"/>
        <v>0.66808220069838198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287.69656598881124</v>
      </c>
      <c r="BJ118" s="62">
        <f t="shared" si="92"/>
        <v>221.9773436301067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2.4567241113865168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1.6477483727072674E-11</v>
      </c>
      <c r="BS118" s="24">
        <f t="shared" si="63"/>
        <v>2.4567241114029943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310.95287409903602</v>
      </c>
      <c r="T119" s="62">
        <f t="shared" si="88"/>
        <v>224.10083380795163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-1.9065282685915009E-13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490.96084572840579</v>
      </c>
      <c r="AO119" s="62">
        <f t="shared" si="90"/>
        <v>597.91658789908263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0.65498151623249223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7.2516573374531236E-14</v>
      </c>
      <c r="AX119" s="23">
        <f t="shared" si="60"/>
        <v>0.65498151623256473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287.69656598881124</v>
      </c>
      <c r="BJ119" s="62">
        <f t="shared" si="92"/>
        <v>221.9773436301067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2.4085492500159753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1.1651340480304075E-11</v>
      </c>
      <c r="BS119" s="24">
        <f t="shared" si="63"/>
        <v>2.4085492500276264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310.95287409903602</v>
      </c>
      <c r="T120" s="62">
        <f t="shared" si="88"/>
        <v>224.10083380795163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-1.9065282685915009E-13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490.96084572840579</v>
      </c>
      <c r="AO120" s="62">
        <f t="shared" si="90"/>
        <v>597.91658789908263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0.64213772819845072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5.1276960781542878E-14</v>
      </c>
      <c r="AX120" s="23">
        <f t="shared" si="60"/>
        <v>0.64213772819850201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287.69656598881124</v>
      </c>
      <c r="BJ120" s="62">
        <f t="shared" si="92"/>
        <v>221.9773436301067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2.3613190682931458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8.2387418635363369E-12</v>
      </c>
      <c r="BS120" s="24">
        <f t="shared" si="63"/>
        <v>2.3613190683013845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310.95287409903602</v>
      </c>
      <c r="T121" s="62">
        <f t="shared" si="88"/>
        <v>224.10083380795163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-1.9065282685915009E-13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490.96084572840579</v>
      </c>
      <c r="AO121" s="62">
        <f t="shared" si="90"/>
        <v>597.91658789908263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0.62954579901381957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3.6258286687265618E-14</v>
      </c>
      <c r="AX121" s="23">
        <f t="shared" si="60"/>
        <v>0.62954579901385588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287.69656598881124</v>
      </c>
      <c r="BJ121" s="62">
        <f t="shared" si="92"/>
        <v>221.9773436301067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2.3150150416263346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5.8256702401520375E-12</v>
      </c>
      <c r="BS121" s="24">
        <f t="shared" si="63"/>
        <v>2.3150150416321602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310.95287409903602</v>
      </c>
      <c r="T122" s="62">
        <f t="shared" si="88"/>
        <v>224.10083380795163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-1.9065282685915009E-13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490.96084572840579</v>
      </c>
      <c r="AO122" s="62">
        <f t="shared" si="90"/>
        <v>597.91658789908263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0.61720078988018057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2.5638480390771439E-14</v>
      </c>
      <c r="AX122" s="23">
        <f t="shared" si="60"/>
        <v>0.61720078988020621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287.69656598881124</v>
      </c>
      <c r="BJ122" s="62">
        <f t="shared" si="92"/>
        <v>221.9773436301067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2.269619008679792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4.1193709317681685E-12</v>
      </c>
      <c r="BS122" s="24">
        <f t="shared" si="63"/>
        <v>2.2696190086839114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310.95287409903602</v>
      </c>
      <c r="T123" s="62">
        <f t="shared" si="88"/>
        <v>224.10083380795163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-1.9065282685915009E-13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490.96084572840579</v>
      </c>
      <c r="AO123" s="62">
        <f t="shared" si="90"/>
        <v>597.91658789908263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0.60509785884594014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1.8129143343632809E-14</v>
      </c>
      <c r="AX123" s="23">
        <f t="shared" si="60"/>
        <v>0.60509785884595824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287.69656598881124</v>
      </c>
      <c r="BJ123" s="62">
        <f t="shared" si="92"/>
        <v>221.9773436301067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2.2251131642504851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2.9128351200760187E-12</v>
      </c>
      <c r="BS123" s="24">
        <f t="shared" si="63"/>
        <v>2.2251131642533979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310.95287409903602</v>
      </c>
      <c r="T124" s="62">
        <f t="shared" si="88"/>
        <v>224.10083380795163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-1.9065282685915009E-13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490.96084572840579</v>
      </c>
      <c r="AO124" s="62">
        <f t="shared" si="90"/>
        <v>597.91658789908263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0.5932322589072222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1.2819240195385719E-14</v>
      </c>
      <c r="AX124" s="23">
        <f t="shared" si="60"/>
        <v>0.59323225890723497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287.69656598881124</v>
      </c>
      <c r="BJ124" s="62">
        <f t="shared" si="92"/>
        <v>221.9773436301067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2.1814800522845523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2.0596854658840842E-12</v>
      </c>
      <c r="BS124" s="24">
        <f t="shared" si="63"/>
        <v>2.181480052286612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310.95287409903602</v>
      </c>
      <c r="T125" s="62">
        <f t="shared" si="88"/>
        <v>224.10083380795163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-1.9065282685915009E-13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490.96084572840579</v>
      </c>
      <c r="AO125" s="62">
        <f t="shared" si="90"/>
        <v>597.91658789908263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0.58159933614600112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9.0645716718164045E-15</v>
      </c>
      <c r="AX125" s="23">
        <f t="shared" si="60"/>
        <v>0.58159933614601023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287.69656598881124</v>
      </c>
      <c r="BJ125" s="62">
        <f t="shared" si="92"/>
        <v>221.9773436301067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2.1387025590307012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1.4564175600380094E-12</v>
      </c>
      <c r="BS125" s="24">
        <f t="shared" si="63"/>
        <v>2.1387025590321578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310.95287409903602</v>
      </c>
      <c r="T126" s="62">
        <f t="shared" si="88"/>
        <v>224.10083380795163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-1.9065282685915009E-13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490.96084572840579</v>
      </c>
      <c r="AO126" s="62">
        <f t="shared" si="90"/>
        <v>597.91658789908263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0.57019452790474534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6.4096200976928597E-15</v>
      </c>
      <c r="AX126" s="23">
        <f t="shared" si="60"/>
        <v>0.57019452790475178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287.69656598881124</v>
      </c>
      <c r="BJ126" s="62">
        <f t="shared" si="92"/>
        <v>221.9773436301067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2.0967639063278636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1.0298427329420421E-12</v>
      </c>
      <c r="BS126" s="24">
        <f t="shared" si="63"/>
        <v>2.0967639063288934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310.95287409903602</v>
      </c>
      <c r="T127" s="62">
        <f t="shared" si="88"/>
        <v>224.10083380795163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-1.9065282685915009E-13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490.96084572840579</v>
      </c>
      <c r="AO127" s="62">
        <f t="shared" si="90"/>
        <v>597.91658789908263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0.5590133609968545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4.5322858359082022E-15</v>
      </c>
      <c r="AX127" s="23">
        <f t="shared" si="60"/>
        <v>0.55901336099685905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287.69656598881124</v>
      </c>
      <c r="BJ127" s="62">
        <f t="shared" si="92"/>
        <v>221.9773436301067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2.0556476450244761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7.2820878001900468E-13</v>
      </c>
      <c r="BS127" s="24">
        <f t="shared" si="63"/>
        <v>2.0556476450252044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310.95287409903602</v>
      </c>
      <c r="T128" s="62">
        <f t="shared" si="88"/>
        <v>224.10083380795163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-1.9065282685915009E-13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490.96084572840579</v>
      </c>
      <c r="AO128" s="62">
        <f t="shared" si="90"/>
        <v>597.91658789908263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0.54805144995218891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3.2048100488464299E-15</v>
      </c>
      <c r="AX128" s="23">
        <f t="shared" si="60"/>
        <v>0.54805144995219213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287.69656598881124</v>
      </c>
      <c r="BJ128" s="62">
        <f t="shared" si="92"/>
        <v>221.9773436301067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2.0153376485268049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5.1492136647102106E-13</v>
      </c>
      <c r="BS128" s="24">
        <f t="shared" si="63"/>
        <v>2.0153376485273196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310.95287409903602</v>
      </c>
      <c r="T129" s="62">
        <f t="shared" si="88"/>
        <v>224.10083380795163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-1.9065282685915009E-13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490.96084572840579</v>
      </c>
      <c r="AO129" s="62">
        <f t="shared" si="90"/>
        <v>597.91658789908263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0.53730449529700375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2.2661429179541011E-15</v>
      </c>
      <c r="AX129" s="23">
        <f t="shared" si="60"/>
        <v>0.53730449529700597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287.69656598881124</v>
      </c>
      <c r="BJ129" s="62">
        <f t="shared" si="92"/>
        <v>221.9773436301067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1.975818106473783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3.6410439000950234E-13</v>
      </c>
      <c r="BS129" s="24">
        <f t="shared" si="63"/>
        <v>1.9758181064741471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310.95287409903602</v>
      </c>
      <c r="T130" s="62">
        <f t="shared" si="88"/>
        <v>224.10083380795163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-1.9065282685915009E-13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490.96084572840579</v>
      </c>
      <c r="AO130" s="62">
        <f t="shared" si="90"/>
        <v>597.91658789908263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0.5267682818676116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1.6024050244232149E-15</v>
      </c>
      <c r="AX130" s="23">
        <f t="shared" si="60"/>
        <v>0.52676828186761315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287.69656598881124</v>
      </c>
      <c r="BJ130" s="62">
        <f t="shared" si="92"/>
        <v>221.9773436301067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1.9370735185358803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2.5746068323551053E-13</v>
      </c>
      <c r="BS130" s="24">
        <f t="shared" si="63"/>
        <v>1.9370735185361379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310.95287409903602</v>
      </c>
      <c r="T131" s="62">
        <f t="shared" si="88"/>
        <v>224.10083380795163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-1.9065282685915009E-13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490.96084572840579</v>
      </c>
      <c r="AO131" s="62">
        <f t="shared" si="90"/>
        <v>597.91658789908263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0.51643867715711422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1.1330714589770506E-15</v>
      </c>
      <c r="AX131" s="23">
        <f t="shared" si="60"/>
        <v>0.51643867715711533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287.69656598881124</v>
      </c>
      <c r="BJ131" s="62">
        <f t="shared" si="92"/>
        <v>221.9773436301067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1.8990886883355746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1.8205219500475117E-13</v>
      </c>
      <c r="BS131" s="24">
        <f t="shared" si="63"/>
        <v>1.8990886883357567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310.95287409903602</v>
      </c>
      <c r="T132" s="62">
        <f t="shared" si="88"/>
        <v>224.10083380795163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-1.9065282685915009E-13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490.96084572840579</v>
      </c>
      <c r="AO132" s="62">
        <f t="shared" si="90"/>
        <v>597.91658789908263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0.50631162969455301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8.0120251221160747E-16</v>
      </c>
      <c r="AX132" s="23">
        <f t="shared" ref="AX132:AX153" si="114">SUM(AU132:AW132)</f>
        <v>0.50631162969455379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287.69656598881124</v>
      </c>
      <c r="BJ132" s="62">
        <f t="shared" si="92"/>
        <v>221.9773436301067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1.8618487174870384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1.2873034161775526E-13</v>
      </c>
      <c r="BS132" s="24">
        <f t="shared" ref="BS132:BS153" si="117">SUM(BP132:BR132)</f>
        <v>1.8618487174871672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310.95287409903602</v>
      </c>
      <c r="T133" s="62">
        <f t="shared" ref="T133:T196" si="142">$T$3</f>
        <v>224.10083380795163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-1.9065282685915009E-13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490.96084572840579</v>
      </c>
      <c r="AO133" s="62">
        <f t="shared" ref="AO133:AO196" si="144">$AO$3</f>
        <v>597.91658789908263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0.49638316745584354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5.6653572948852528E-16</v>
      </c>
      <c r="AX133" s="23">
        <f t="shared" si="114"/>
        <v>0.4963831674558441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287.69656598881124</v>
      </c>
      <c r="BJ133" s="62">
        <f t="shared" ref="BJ133:BJ196" si="146">$BJ$3</f>
        <v>221.9773436301067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1.8253389997527025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9.1026097502375585E-14</v>
      </c>
      <c r="BS133" s="24">
        <f t="shared" si="117"/>
        <v>1.8253389997527936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310.95287409903602</v>
      </c>
      <c r="T134" s="62">
        <f t="shared" si="142"/>
        <v>224.10083380795163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-1.9065282685915009E-13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490.96084572840579</v>
      </c>
      <c r="AO134" s="62">
        <f t="shared" si="144"/>
        <v>597.91658789908263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0.48664939630587117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4.0060125610580373E-16</v>
      </c>
      <c r="AX134" s="23">
        <f t="shared" si="114"/>
        <v>0.48664939630587156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287.69656598881124</v>
      </c>
      <c r="BJ134" s="62">
        <f t="shared" si="146"/>
        <v>221.9773436301067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1.789545215314408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6.4365170808877632E-14</v>
      </c>
      <c r="BS134" s="24">
        <f t="shared" si="117"/>
        <v>1.7895452153144724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310.95287409903602</v>
      </c>
      <c r="T135" s="62">
        <f t="shared" si="142"/>
        <v>224.10083380795163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-1.9065282685915009E-13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490.96084572840579</v>
      </c>
      <c r="AO135" s="62">
        <f t="shared" si="144"/>
        <v>597.91658789908263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0.47710649847113556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2.8326786474426264E-16</v>
      </c>
      <c r="AX135" s="23">
        <f t="shared" si="114"/>
        <v>0.47710649847113584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287.69656598881124</v>
      </c>
      <c r="BJ135" s="62">
        <f t="shared" si="146"/>
        <v>221.9773436301067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1.7544533251568957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4.5513048751187793E-14</v>
      </c>
      <c r="BS135" s="24">
        <f t="shared" si="117"/>
        <v>1.7544533251569412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310.95287409903602</v>
      </c>
      <c r="T136" s="62">
        <f t="shared" si="142"/>
        <v>224.10083380795163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-1.9065282685915009E-13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490.96084572840579</v>
      </c>
      <c r="AO136" s="62">
        <f t="shared" si="144"/>
        <v>597.91658789908263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0.46775073104234621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2.0030062805290187E-16</v>
      </c>
      <c r="AX136" s="23">
        <f t="shared" si="114"/>
        <v>0.46775073104234643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287.69656598881124</v>
      </c>
      <c r="BJ136" s="62">
        <f t="shared" si="146"/>
        <v>221.9773436301067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1.7200495655614325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3.2182585404438816E-14</v>
      </c>
      <c r="BS136" s="24">
        <f t="shared" si="117"/>
        <v>1.7200495655614647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310.95287409903602</v>
      </c>
      <c r="T137" s="62">
        <f t="shared" si="142"/>
        <v>224.10083380795163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-1.9065282685915009E-13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490.96084572840579</v>
      </c>
      <c r="AO137" s="62">
        <f t="shared" si="144"/>
        <v>597.91658789908263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0.4585784245063807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1.4163393237213132E-16</v>
      </c>
      <c r="AX137" s="23">
        <f t="shared" si="114"/>
        <v>0.45857842450638087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287.69656598881124</v>
      </c>
      <c r="BJ137" s="62">
        <f t="shared" si="146"/>
        <v>221.9773436301067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1.6863204427074152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2.2756524375593896E-14</v>
      </c>
      <c r="BS137" s="24">
        <f t="shared" si="117"/>
        <v>1.6863204427074379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310.95287409903602</v>
      </c>
      <c r="T138" s="62">
        <f t="shared" si="142"/>
        <v>224.10083380795163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-1.9065282685915009E-13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490.96084572840579</v>
      </c>
      <c r="AO138" s="62">
        <f t="shared" si="144"/>
        <v>597.91658789908263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0.44958598130703092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1.0015031402645093E-16</v>
      </c>
      <c r="AX138" s="23">
        <f t="shared" si="114"/>
        <v>0.44958598130703104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287.69656598881124</v>
      </c>
      <c r="BJ138" s="62">
        <f t="shared" si="146"/>
        <v>221.9773436301067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1.6532527273798316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1.6091292702219408E-14</v>
      </c>
      <c r="BS138" s="24">
        <f t="shared" si="117"/>
        <v>1.6532527273798476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310.95287409903602</v>
      </c>
      <c r="T139" s="62">
        <f t="shared" si="142"/>
        <v>224.10083380795163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-1.9065282685915009E-13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490.96084572840579</v>
      </c>
      <c r="AO139" s="62">
        <f t="shared" si="144"/>
        <v>597.91658789908263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0.44076987443397164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7.081696618606566E-17</v>
      </c>
      <c r="AX139" s="23">
        <f t="shared" si="114"/>
        <v>0.4407698744339717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287.69656598881124</v>
      </c>
      <c r="BJ139" s="62">
        <f t="shared" si="146"/>
        <v>221.9773436301067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1.620833449780507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1.1378262187796948E-14</v>
      </c>
      <c r="BS139" s="24">
        <f t="shared" si="117"/>
        <v>1.6208334497805184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310.95287409903602</v>
      </c>
      <c r="T140" s="62">
        <f t="shared" si="142"/>
        <v>224.10083380795163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-1.9065282685915009E-13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490.96084572840579</v>
      </c>
      <c r="AO140" s="62">
        <f t="shared" si="144"/>
        <v>597.91658789908263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0.43212664603939882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5.0075157013225467E-17</v>
      </c>
      <c r="AX140" s="23">
        <f t="shared" si="114"/>
        <v>0.43212664603939888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287.69656598881124</v>
      </c>
      <c r="BJ140" s="62">
        <f t="shared" si="146"/>
        <v>221.9773436301067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1.5890498944410985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8.045646351109704E-15</v>
      </c>
      <c r="BS140" s="24">
        <f t="shared" si="117"/>
        <v>1.5890498944411064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310.95287409903602</v>
      </c>
      <c r="T141" s="62">
        <f t="shared" si="142"/>
        <v>224.10083380795163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-1.9065282685915009E-13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490.96084572840579</v>
      </c>
      <c r="AO141" s="62">
        <f t="shared" si="144"/>
        <v>597.91658789908263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0.42365290608179479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3.540848309303283E-17</v>
      </c>
      <c r="AX141" s="23">
        <f t="shared" si="114"/>
        <v>0.42365290608179484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287.69656598881124</v>
      </c>
      <c r="BJ141" s="62">
        <f t="shared" si="146"/>
        <v>221.9773436301067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1.5578895952358411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5.6891310938984741E-15</v>
      </c>
      <c r="BS141" s="24">
        <f t="shared" si="117"/>
        <v>1.5578895952358469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310.95287409903602</v>
      </c>
      <c r="T142" s="62">
        <f t="shared" si="142"/>
        <v>224.10083380795163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-1.9065282685915009E-13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490.96084572840579</v>
      </c>
      <c r="AO142" s="62">
        <f t="shared" si="144"/>
        <v>597.91658789908263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0.41534533099628834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2.5037578506612733E-17</v>
      </c>
      <c r="AX142" s="23">
        <f t="shared" si="114"/>
        <v>0.41534533099628834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287.69656598881124</v>
      </c>
      <c r="BJ142" s="62">
        <f t="shared" si="146"/>
        <v>221.9773436301067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1.5273403304920932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4.022823175554852E-15</v>
      </c>
      <c r="BS142" s="24">
        <f t="shared" si="117"/>
        <v>1.5273403304920972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310.95287409903602</v>
      </c>
      <c r="T143" s="62">
        <f t="shared" si="142"/>
        <v>224.10083380795163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-1.9065282685915009E-13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490.96084572840579</v>
      </c>
      <c r="AO143" s="62">
        <f t="shared" si="144"/>
        <v>597.91658789908263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0.40720066239108821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1.7704241546516415E-17</v>
      </c>
      <c r="AX143" s="23">
        <f t="shared" si="114"/>
        <v>0.40720066239108821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287.69656598881124</v>
      </c>
      <c r="BJ143" s="62">
        <f t="shared" si="146"/>
        <v>221.9773436301067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1.4973901181967584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2.844565546949237E-15</v>
      </c>
      <c r="BS143" s="24">
        <f t="shared" si="117"/>
        <v>1.4973901181967613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310.95287409903602</v>
      </c>
      <c r="T144" s="62">
        <f t="shared" si="142"/>
        <v>224.10083380795163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-1.9065282685915009E-13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490.96084572840579</v>
      </c>
      <c r="AO144" s="62">
        <f t="shared" si="144"/>
        <v>597.91658789908263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0.39921570576947873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1.2518789253306367E-17</v>
      </c>
      <c r="AX144" s="23">
        <f t="shared" si="114"/>
        <v>0.39921570576947873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287.69656598881124</v>
      </c>
      <c r="BJ144" s="62">
        <f t="shared" si="146"/>
        <v>221.9773436301067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1.4680272112967094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2.011411587777426E-15</v>
      </c>
      <c r="BS144" s="24">
        <f t="shared" si="117"/>
        <v>1.4680272112967114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310.95287409903602</v>
      </c>
      <c r="T145" s="62">
        <f t="shared" si="142"/>
        <v>224.10083380795163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-1.9065282685915009E-13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490.96084572840579</v>
      </c>
      <c r="AO145" s="62">
        <f t="shared" si="144"/>
        <v>597.91658789908263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0.39138732927687642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8.8521207732582075E-18</v>
      </c>
      <c r="AX145" s="23">
        <f t="shared" si="114"/>
        <v>0.39138732927687642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287.69656598881124</v>
      </c>
      <c r="BJ145" s="62">
        <f t="shared" si="146"/>
        <v>221.9773436301067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1.4392400930913656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1.4222827734746185E-15</v>
      </c>
      <c r="BS145" s="24">
        <f t="shared" si="117"/>
        <v>1.4392400930913669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310.95287409903602</v>
      </c>
      <c r="T146" s="62">
        <f t="shared" si="142"/>
        <v>224.10083380795163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-1.9065282685915009E-13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490.96084572840579</v>
      </c>
      <c r="AO146" s="62">
        <f t="shared" si="144"/>
        <v>597.91658789908263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0.38371246247245583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6.2593946266531833E-18</v>
      </c>
      <c r="AX146" s="23">
        <f t="shared" si="114"/>
        <v>0.38371246247245583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287.69656598881124</v>
      </c>
      <c r="BJ146" s="62">
        <f t="shared" si="146"/>
        <v>221.9773436301067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1.4110174727156202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1.005705793888713E-15</v>
      </c>
      <c r="BS146" s="24">
        <f t="shared" si="117"/>
        <v>1.4110174727156213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310.95287409903602</v>
      </c>
      <c r="T147" s="62">
        <f t="shared" si="142"/>
        <v>224.10083380795163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-1.9065282685915009E-13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490.96084572840579</v>
      </c>
      <c r="AO147" s="62">
        <f t="shared" si="144"/>
        <v>597.91658789908263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0.3761880951248634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4.4260603866291038E-18</v>
      </c>
      <c r="AX147" s="23">
        <f t="shared" si="114"/>
        <v>0.3761880951248634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287.69656598881124</v>
      </c>
      <c r="BJ147" s="62">
        <f t="shared" si="146"/>
        <v>221.9773436301067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1.3833482807113444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7.1114138673730926E-16</v>
      </c>
      <c r="BS147" s="24">
        <f t="shared" si="117"/>
        <v>1.3833482807113451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310.95287409903602</v>
      </c>
      <c r="T148" s="62">
        <f t="shared" si="142"/>
        <v>224.10083380795163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-1.9065282685915009E-13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490.96084572840579</v>
      </c>
      <c r="AO148" s="62">
        <f t="shared" si="144"/>
        <v>597.91658789908263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0.36881127603154634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3.1296973133265917E-18</v>
      </c>
      <c r="AX148" s="23">
        <f t="shared" si="114"/>
        <v>0.36881127603154634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287.69656598881124</v>
      </c>
      <c r="BJ148" s="62">
        <f t="shared" si="146"/>
        <v>221.9773436301067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1.3562216646857319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5.028528969443565E-16</v>
      </c>
      <c r="BS148" s="24">
        <f t="shared" si="117"/>
        <v>1.3562216646857324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310.95287409903602</v>
      </c>
      <c r="T149" s="62">
        <f t="shared" si="142"/>
        <v>224.10083380795163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-1.9065282685915009E-13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490.96084572840579</v>
      </c>
      <c r="AO149" s="62">
        <f t="shared" si="144"/>
        <v>597.91658789908263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0.36157911186123387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2.2130301933145519E-18</v>
      </c>
      <c r="AX149" s="23">
        <f t="shared" si="114"/>
        <v>0.36157911186123387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287.69656598881124</v>
      </c>
      <c r="BJ149" s="62">
        <f t="shared" si="146"/>
        <v>221.9773436301067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1.3296269850547797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3.5557069336865463E-16</v>
      </c>
      <c r="BS149" s="24">
        <f t="shared" si="117"/>
        <v>1.3296269850547802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310.95287409903602</v>
      </c>
      <c r="T150" s="62">
        <f t="shared" si="142"/>
        <v>224.10083380795163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-1.9065282685915009E-13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490.96084572840579</v>
      </c>
      <c r="AO150" s="62">
        <f t="shared" si="144"/>
        <v>597.91658789908263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0.35448876601911666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1.5648486566632958E-18</v>
      </c>
      <c r="AX150" s="23">
        <f t="shared" si="114"/>
        <v>0.35448876601911666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287.69656598881124</v>
      </c>
      <c r="BJ150" s="62">
        <f t="shared" si="146"/>
        <v>221.9773436301067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1.3035538108702376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2.5142644847217825E-16</v>
      </c>
      <c r="BS150" s="24">
        <f t="shared" si="117"/>
        <v>1.3035538108702378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310.95287409903602</v>
      </c>
      <c r="T151" s="62">
        <f t="shared" si="142"/>
        <v>224.10083380795163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-1.9065282685915009E-13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490.96084572840579</v>
      </c>
      <c r="AO151" s="62">
        <f t="shared" si="144"/>
        <v>597.91658789908263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0.34753745753427945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1.1065150966572759E-18</v>
      </c>
      <c r="AX151" s="23">
        <f t="shared" si="114"/>
        <v>0.34753745753427945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287.69656598881124</v>
      </c>
      <c r="BJ151" s="62">
        <f t="shared" si="146"/>
        <v>221.9773436301067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1.2779919157283883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1.7778534668432732E-16</v>
      </c>
      <c r="BS151" s="24">
        <f t="shared" si="117"/>
        <v>1.2779919157283886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310.95287409903602</v>
      </c>
      <c r="T152" s="62">
        <f t="shared" si="142"/>
        <v>224.10083380795163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-1.9065282685915009E-13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490.96084572840579</v>
      </c>
      <c r="AO152" s="62">
        <f t="shared" si="144"/>
        <v>597.91658789908263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0.34072245996895034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7.8242432833164792E-19</v>
      </c>
      <c r="AX152" s="23">
        <f t="shared" si="114"/>
        <v>0.34072245996895034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287.69656598881124</v>
      </c>
      <c r="BJ152" s="62">
        <f t="shared" si="146"/>
        <v>221.9773436301067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1.2529312737590541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1.2571322423608913E-16</v>
      </c>
      <c r="BS152" s="24">
        <f t="shared" si="117"/>
        <v>1.2529312737590543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310.95287409903602</v>
      </c>
      <c r="T153" s="62">
        <f t="shared" si="142"/>
        <v>224.10083380795163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-1.9065282685915009E-13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490.96084572840579</v>
      </c>
      <c r="AO153" s="62">
        <f t="shared" si="144"/>
        <v>597.91658789908263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0.33404110034913925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5.5325754832863797E-19</v>
      </c>
      <c r="AX153" s="23">
        <f t="shared" si="114"/>
        <v>0.33404110034913925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287.69656598881124</v>
      </c>
      <c r="BJ153" s="62">
        <f t="shared" si="146"/>
        <v>221.9773436301067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1.2283620556932564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8.8892673342163658E-17</v>
      </c>
      <c r="BS153" s="24">
        <f t="shared" si="117"/>
        <v>1.2283620556932564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310.95287409903602</v>
      </c>
      <c r="T154" s="62">
        <f t="shared" si="142"/>
        <v>224.10083380795163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-1.9065282685915009E-13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490.96084572840579</v>
      </c>
      <c r="AO154" s="62">
        <f t="shared" si="144"/>
        <v>597.91658789908263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0.32749075811624573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3.9121216416582396E-19</v>
      </c>
      <c r="AX154" s="23">
        <f t="shared" ref="AX154:AX203" si="166">SUM(AU154:AW154)</f>
        <v>0.32749075811624573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287.69656598881124</v>
      </c>
      <c r="BJ154" s="62">
        <f t="shared" si="146"/>
        <v>221.9773436301067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1.2042746250079857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6.2856612118044563E-17</v>
      </c>
      <c r="BS154" s="24">
        <f t="shared" ref="BS154:BS203" si="169">SUM(BP154:BR154)</f>
        <v>1.2042746250079857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310.95287409903602</v>
      </c>
      <c r="T155" s="62">
        <f t="shared" si="142"/>
        <v>224.10083380795163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-1.9065282685915009E-13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490.96084572840579</v>
      </c>
      <c r="AO155" s="62">
        <f t="shared" si="144"/>
        <v>597.91658789908263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0.32106886409922497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2.7662877416431898E-19</v>
      </c>
      <c r="AX155" s="23">
        <f t="shared" si="166"/>
        <v>0.32106886409922497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287.69656598881124</v>
      </c>
      <c r="BJ155" s="62">
        <f t="shared" si="146"/>
        <v>221.9773436301067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1.1806595341465711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4.4446336671081829E-17</v>
      </c>
      <c r="BS155" s="24">
        <f t="shared" si="169"/>
        <v>1.1806595341465711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310.95287409903602</v>
      </c>
      <c r="T156" s="62">
        <f t="shared" si="142"/>
        <v>224.10083380795163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-1.9065282685915009E-13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490.96084572840579</v>
      </c>
      <c r="AO156" s="62">
        <f t="shared" si="144"/>
        <v>597.91658789908263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0.3147728995069094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1.9560608208291198E-19</v>
      </c>
      <c r="AX156" s="23">
        <f t="shared" si="166"/>
        <v>0.3147728995069094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287.69656598881124</v>
      </c>
      <c r="BJ156" s="62">
        <f t="shared" si="146"/>
        <v>221.9773436301067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1.1575075208131655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3.1428306059022281E-17</v>
      </c>
      <c r="BS156" s="24">
        <f t="shared" si="169"/>
        <v>1.1575075208131655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310.95287409903602</v>
      </c>
      <c r="T157" s="62">
        <f t="shared" si="142"/>
        <v>224.10083380795163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-1.9065282685915009E-13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490.96084572840579</v>
      </c>
      <c r="AO157" s="62">
        <f t="shared" si="144"/>
        <v>597.91658789908263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0.30860039494008989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1.3831438708215949E-19</v>
      </c>
      <c r="AX157" s="23">
        <f t="shared" si="166"/>
        <v>0.30860039494008989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287.69656598881124</v>
      </c>
      <c r="BJ157" s="62">
        <f t="shared" si="146"/>
        <v>221.9773436301067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1.1348095043398945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2.2223168335540914E-17</v>
      </c>
      <c r="BS157" s="24">
        <f t="shared" si="169"/>
        <v>1.1348095043398945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310.95287409903602</v>
      </c>
      <c r="T158" s="62">
        <f t="shared" si="142"/>
        <v>224.10083380795163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-1.9065282685915009E-13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490.96084572840579</v>
      </c>
      <c r="AO158" s="62">
        <f t="shared" si="144"/>
        <v>597.91658789908263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0.30254892942296968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9.7803041041455989E-20</v>
      </c>
      <c r="AX158" s="23">
        <f t="shared" si="166"/>
        <v>0.30254892942296968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287.69656598881124</v>
      </c>
      <c r="BJ158" s="62">
        <f t="shared" si="146"/>
        <v>221.9773436301067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1.1125565821252412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1.5714153029511141E-17</v>
      </c>
      <c r="BS158" s="24">
        <f t="shared" si="169"/>
        <v>1.1125565821252412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310.95287409903602</v>
      </c>
      <c r="T159" s="62">
        <f t="shared" si="142"/>
        <v>224.10083380795163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-1.9065282685915009E-13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490.96084572840579</v>
      </c>
      <c r="AO159" s="62">
        <f t="shared" si="144"/>
        <v>597.91658789908263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0.29661612945361071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6.9157193541079746E-20</v>
      </c>
      <c r="AX159" s="23">
        <f t="shared" si="166"/>
        <v>0.29661612945361071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287.69656598881124</v>
      </c>
      <c r="BJ159" s="62">
        <f t="shared" si="146"/>
        <v>221.9773436301067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1.0907400261422748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1.1111584167770457E-17</v>
      </c>
      <c r="BS159" s="24">
        <f t="shared" si="169"/>
        <v>1.0907400261422748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310.95287409903602</v>
      </c>
      <c r="T160" s="62">
        <f t="shared" si="142"/>
        <v>224.10083380795163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-1.9065282685915009E-13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490.96084572840579</v>
      </c>
      <c r="AO160" s="62">
        <f t="shared" si="144"/>
        <v>597.91658789908263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0.29079966807300023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4.8901520520727995E-20</v>
      </c>
      <c r="AX160" s="23">
        <f t="shared" si="166"/>
        <v>0.29079966807300023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287.69656598881124</v>
      </c>
      <c r="BJ160" s="62">
        <f t="shared" si="146"/>
        <v>221.9773436301067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1.0693512795153493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7.8570765147555703E-18</v>
      </c>
      <c r="BS160" s="24">
        <f t="shared" si="169"/>
        <v>1.0693512795153493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310.95287409903602</v>
      </c>
      <c r="T161" s="62">
        <f t="shared" si="142"/>
        <v>224.10083380795163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-1.9065282685915009E-13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490.96084572840579</v>
      </c>
      <c r="AO161" s="62">
        <f t="shared" si="144"/>
        <v>597.91658789908263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0.28509726395237234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3.4578596770539873E-20</v>
      </c>
      <c r="AX161" s="23">
        <f t="shared" si="166"/>
        <v>0.28509726395237234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287.69656598881124</v>
      </c>
      <c r="BJ161" s="62">
        <f t="shared" si="146"/>
        <v>221.9773436301067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1.0483819531639305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5.5557920838852286E-18</v>
      </c>
      <c r="BS161" s="24">
        <f t="shared" si="169"/>
        <v>1.0483819531639305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310.95287409903602</v>
      </c>
      <c r="T162" s="62">
        <f t="shared" si="142"/>
        <v>224.10083380795163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-1.9065282685915009E-13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490.96084572840579</v>
      </c>
      <c r="AO162" s="62">
        <f t="shared" si="144"/>
        <v>597.91658789908263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0.27950668049842692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2.4450760260363997E-20</v>
      </c>
      <c r="AX162" s="23">
        <f t="shared" si="166"/>
        <v>0.27950668049842692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287.69656598881124</v>
      </c>
      <c r="BJ162" s="62">
        <f t="shared" si="146"/>
        <v>221.9773436301067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1.0278238225122367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3.9285382573777852E-18</v>
      </c>
      <c r="BS162" s="24">
        <f t="shared" si="169"/>
        <v>1.0278238225122367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310.95287409903602</v>
      </c>
      <c r="T163" s="62">
        <f t="shared" si="142"/>
        <v>224.10083380795163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-1.9065282685915009E-13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490.96084572840579</v>
      </c>
      <c r="AO163" s="62">
        <f t="shared" si="144"/>
        <v>597.91658789908263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0.27402572497609412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1.7289298385269937E-20</v>
      </c>
      <c r="AX163" s="23">
        <f t="shared" si="166"/>
        <v>0.27402572497609412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287.69656598881124</v>
      </c>
      <c r="BJ163" s="62">
        <f t="shared" si="146"/>
        <v>221.9773436301067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1.0076688242634011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2.7778960419426143E-18</v>
      </c>
      <c r="BS163" s="24">
        <f t="shared" si="169"/>
        <v>1.0076688242634011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310.95287409903602</v>
      </c>
      <c r="T164" s="62">
        <f t="shared" si="142"/>
        <v>224.10083380795163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-1.9065282685915009E-13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490.96084572840579</v>
      </c>
      <c r="AO164" s="62">
        <f t="shared" si="144"/>
        <v>597.91658789908263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0.26865224764850154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1.2225380130181999E-20</v>
      </c>
      <c r="AX164" s="23">
        <f t="shared" si="166"/>
        <v>0.26865224764850154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287.69656598881124</v>
      </c>
      <c r="BJ164" s="62">
        <f t="shared" si="146"/>
        <v>221.9773436301067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0.98790905323689016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1.9642691286888926E-18</v>
      </c>
      <c r="BS164" s="24">
        <f t="shared" si="169"/>
        <v>0.98790905323689016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310.95287409903602</v>
      </c>
      <c r="T165" s="62">
        <f t="shared" si="142"/>
        <v>224.10083380795163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-1.9065282685915009E-13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490.96084572840579</v>
      </c>
      <c r="AO165" s="62">
        <f t="shared" si="144"/>
        <v>597.91658789908263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0.26338414093380547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8.6446491926349683E-21</v>
      </c>
      <c r="AX165" s="23">
        <f t="shared" si="166"/>
        <v>0.26338414093380547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287.69656598881124</v>
      </c>
      <c r="BJ165" s="62">
        <f t="shared" si="146"/>
        <v>221.9773436301067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0.96853675926793881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1.3889480209713072E-18</v>
      </c>
      <c r="BS165" s="24">
        <f t="shared" si="169"/>
        <v>0.96853675926793881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310.95287409903602</v>
      </c>
      <c r="T166" s="62">
        <f t="shared" si="142"/>
        <v>224.10083380795163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-1.9065282685915009E-13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490.96084572840579</v>
      </c>
      <c r="AO166" s="62">
        <f t="shared" si="144"/>
        <v>597.91658789908263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0.25821933857855678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6.1126900650909993E-21</v>
      </c>
      <c r="AX166" s="23">
        <f t="shared" si="166"/>
        <v>0.25821933857855678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287.69656598881124</v>
      </c>
      <c r="BJ166" s="62">
        <f t="shared" si="146"/>
        <v>221.9773436301067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0.9495443441677861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9.8213456434444629E-19</v>
      </c>
      <c r="BS166" s="24">
        <f t="shared" si="169"/>
        <v>0.9495443441677861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310.95287409903602</v>
      </c>
      <c r="T167" s="62">
        <f t="shared" si="142"/>
        <v>224.10083380795163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-1.9065282685915009E-13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490.96084572840579</v>
      </c>
      <c r="AO167" s="62">
        <f t="shared" si="144"/>
        <v>597.91658789908263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0.25315581484727617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4.3223245963174841E-21</v>
      </c>
      <c r="AX167" s="23">
        <f t="shared" si="166"/>
        <v>0.25315581484727617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287.69656598881124</v>
      </c>
      <c r="BJ167" s="62">
        <f t="shared" si="146"/>
        <v>221.9773436301067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0.93092435874351798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6.9447401048565358E-19</v>
      </c>
      <c r="BS167" s="24">
        <f t="shared" si="169"/>
        <v>0.93092435874351798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310.95287409903602</v>
      </c>
      <c r="T168" s="62">
        <f t="shared" si="142"/>
        <v>224.10083380795163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-1.9065282685915009E-13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490.96084572840579</v>
      </c>
      <c r="AO168" s="62">
        <f t="shared" si="144"/>
        <v>597.91658789908263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0.24819158372792144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3.0563450325454997E-21</v>
      </c>
      <c r="AX168" s="23">
        <f t="shared" si="166"/>
        <v>0.24819158372792144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287.69656598881124</v>
      </c>
      <c r="BJ168" s="62">
        <f t="shared" si="146"/>
        <v>221.9773436301067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0.91266949987635004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4.9106728217222314E-19</v>
      </c>
      <c r="BS168" s="24">
        <f t="shared" si="169"/>
        <v>0.91266949987635004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310.95287409903602</v>
      </c>
      <c r="T169" s="62">
        <f t="shared" si="142"/>
        <v>224.10083380795163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-1.9065282685915009E-13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490.96084572840579</v>
      </c>
      <c r="AO169" s="62">
        <f t="shared" si="144"/>
        <v>597.91658789908263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0.24332469815293525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2.1611622981587421E-21</v>
      </c>
      <c r="AX169" s="23">
        <f t="shared" si="166"/>
        <v>0.24332469815293525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287.69656598881124</v>
      </c>
      <c r="BJ169" s="62">
        <f t="shared" si="146"/>
        <v>221.9773436301067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0.89477260765720279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3.4723700524282679E-19</v>
      </c>
      <c r="BS169" s="24">
        <f t="shared" si="169"/>
        <v>0.89477260765720279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310.95287409903602</v>
      </c>
      <c r="T170" s="62">
        <f t="shared" si="142"/>
        <v>224.10083380795163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-1.9065282685915009E-13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490.96084572840579</v>
      </c>
      <c r="AO170" s="62">
        <f t="shared" si="144"/>
        <v>597.91658789908263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0.23855324923556745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1.5281725162727498E-21</v>
      </c>
      <c r="AX170" s="23">
        <f t="shared" si="166"/>
        <v>0.23855324923556745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287.69656598881124</v>
      </c>
      <c r="BJ170" s="62">
        <f t="shared" si="146"/>
        <v>221.9773436301067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0.87722666257844661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2.4553364108611157E-19</v>
      </c>
      <c r="BS170" s="24">
        <f t="shared" si="169"/>
        <v>0.87722666257844661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310.95287409903602</v>
      </c>
      <c r="T171" s="62">
        <f t="shared" si="142"/>
        <v>224.10083380795163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-1.9065282685915009E-13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490.96084572840579</v>
      </c>
      <c r="AO171" s="62">
        <f t="shared" si="144"/>
        <v>597.91658789908263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0.23387536552117277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1.080581149079371E-21</v>
      </c>
      <c r="AX171" s="23">
        <f t="shared" si="166"/>
        <v>0.23387536552117277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287.69656598881124</v>
      </c>
      <c r="BJ171" s="62">
        <f t="shared" si="146"/>
        <v>221.9773436301067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0.86002478278071515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1.7361850262141339E-19</v>
      </c>
      <c r="BS171" s="24">
        <f t="shared" si="169"/>
        <v>0.86002478278071515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310.95287409903602</v>
      </c>
      <c r="T172" s="62">
        <f t="shared" si="142"/>
        <v>224.10083380795163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-1.9065282685915009E-13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490.96084572840579</v>
      </c>
      <c r="AO172" s="62">
        <f t="shared" si="144"/>
        <v>597.91658789908263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0.22928921225319004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7.6408625813637492E-22</v>
      </c>
      <c r="AX172" s="23">
        <f t="shared" si="166"/>
        <v>0.22928921225319004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287.69656598881124</v>
      </c>
      <c r="BJ172" s="62">
        <f t="shared" si="146"/>
        <v>221.9773436301067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0.8431602213537065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1.2276682054305579E-19</v>
      </c>
      <c r="BS172" s="24">
        <f t="shared" si="169"/>
        <v>0.8431602213537065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310.95287409903602</v>
      </c>
      <c r="T173" s="62">
        <f t="shared" si="142"/>
        <v>224.10083380795163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-1.9065282685915009E-13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490.96084572840579</v>
      </c>
      <c r="AO173" s="62">
        <f t="shared" si="144"/>
        <v>597.91658789908263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0.22479299065351516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5.4029057453968552E-22</v>
      </c>
      <c r="AX173" s="23">
        <f t="shared" si="166"/>
        <v>0.22479299065351516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287.69656598881124</v>
      </c>
      <c r="BJ173" s="62">
        <f t="shared" si="146"/>
        <v>221.9773436301067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0.82662636368991471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8.6809251310706697E-20</v>
      </c>
      <c r="BS173" s="24">
        <f t="shared" si="169"/>
        <v>0.82662636368991471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310.95287409903602</v>
      </c>
      <c r="T174" s="62">
        <f t="shared" si="142"/>
        <v>224.10083380795163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-1.9065282685915009E-13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490.96084572840579</v>
      </c>
      <c r="AO174" s="62">
        <f t="shared" si="144"/>
        <v>597.91658789908263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0.22038493721698552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3.8204312906818746E-22</v>
      </c>
      <c r="AX174" s="23">
        <f t="shared" si="166"/>
        <v>0.22038493721698552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287.69656598881124</v>
      </c>
      <c r="BJ174" s="62">
        <f t="shared" si="146"/>
        <v>221.9773436301067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0.81041672489025252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6.1383410271527893E-20</v>
      </c>
      <c r="BS174" s="24">
        <f t="shared" si="169"/>
        <v>0.81041672489025252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310.95287409903602</v>
      </c>
      <c r="T175" s="62">
        <f t="shared" si="142"/>
        <v>224.10083380795163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-1.9065282685915009E-13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490.96084572840579</v>
      </c>
      <c r="AO175" s="62">
        <f t="shared" si="144"/>
        <v>597.91658789908263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0.21606332301969911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2.7014528726984276E-22</v>
      </c>
      <c r="AX175" s="23">
        <f t="shared" si="166"/>
        <v>0.21606332301969911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287.69656598881124</v>
      </c>
      <c r="BJ175" s="62">
        <f t="shared" si="146"/>
        <v>221.9773436301067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0.79452494722054823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4.3404625655353348E-20</v>
      </c>
      <c r="BS175" s="24">
        <f t="shared" si="169"/>
        <v>0.79452494722054823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310.95287409903602</v>
      </c>
      <c r="T176" s="62">
        <f t="shared" si="142"/>
        <v>224.10083380795163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-1.9065282685915009E-13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490.96084572840579</v>
      </c>
      <c r="AO176" s="62">
        <f t="shared" si="144"/>
        <v>597.91658789908263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0.21182645304089709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1.9102156453409373E-22</v>
      </c>
      <c r="AX176" s="23">
        <f t="shared" si="166"/>
        <v>0.21182645304089709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287.69656598881124</v>
      </c>
      <c r="BJ176" s="62">
        <f t="shared" si="146"/>
        <v>221.9773436301067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0.77894479761791957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3.0691705135763947E-20</v>
      </c>
      <c r="BS176" s="24">
        <f t="shared" si="169"/>
        <v>0.77894479761791957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310.95287409903602</v>
      </c>
      <c r="T177" s="62">
        <f t="shared" si="142"/>
        <v>224.10083380795163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-1.9065282685915009E-13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490.96084572840579</v>
      </c>
      <c r="AO177" s="62">
        <f t="shared" si="144"/>
        <v>597.91658789908263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0.20767266549814387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1.3507264363492138E-22</v>
      </c>
      <c r="AX177" s="23">
        <f t="shared" si="166"/>
        <v>0.20767266549814387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287.69656598881124</v>
      </c>
      <c r="BJ177" s="62">
        <f t="shared" si="146"/>
        <v>221.9773436301067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0.76367016524604558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2.1702312827676674E-20</v>
      </c>
      <c r="BS177" s="24">
        <f t="shared" si="169"/>
        <v>0.76367016524604558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310.95287409903602</v>
      </c>
      <c r="T178" s="62">
        <f t="shared" si="142"/>
        <v>224.10083380795163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-1.9065282685915009E-13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490.96084572840579</v>
      </c>
      <c r="AO178" s="62">
        <f t="shared" si="144"/>
        <v>597.91658789908263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0.2036003311955438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9.5510782267046865E-23</v>
      </c>
      <c r="AX178" s="23">
        <f t="shared" si="166"/>
        <v>0.2036003311955438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287.69656598881124</v>
      </c>
      <c r="BJ178" s="62">
        <f t="shared" si="146"/>
        <v>221.9773436301067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0.74869505909837819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1.5345852567881973E-20</v>
      </c>
      <c r="BS178" s="24">
        <f t="shared" si="169"/>
        <v>0.74869505909837819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310.95287409903602</v>
      </c>
      <c r="T179" s="62">
        <f t="shared" si="142"/>
        <v>224.10083380795163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-1.9065282685915009E-13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490.96084572840579</v>
      </c>
      <c r="AO179" s="62">
        <f t="shared" si="144"/>
        <v>597.91658789908263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0.19960785288473906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6.753632181746069E-23</v>
      </c>
      <c r="AX179" s="23">
        <f t="shared" si="166"/>
        <v>0.19960785288473906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287.69656598881124</v>
      </c>
      <c r="BJ179" s="62">
        <f t="shared" si="146"/>
        <v>221.9773436301067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0.73401360564835372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1.0851156413838337E-20</v>
      </c>
      <c r="BS179" s="24">
        <f t="shared" si="169"/>
        <v>0.73401360564835372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310.95287409903602</v>
      </c>
      <c r="T180" s="62">
        <f t="shared" si="142"/>
        <v>224.10083380795163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-1.9065282685915009E-13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490.96084572840579</v>
      </c>
      <c r="AO180" s="62">
        <f t="shared" si="144"/>
        <v>597.91658789908263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0.1956936646384379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4.7755391133523432E-23</v>
      </c>
      <c r="AX180" s="23">
        <f t="shared" si="166"/>
        <v>0.1956936646384379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287.69656598881124</v>
      </c>
      <c r="BJ180" s="62">
        <f t="shared" si="146"/>
        <v>221.9773436301067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0.71962004654568179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7.6729262839409866E-21</v>
      </c>
      <c r="BS180" s="24">
        <f t="shared" si="169"/>
        <v>0.71962004654568179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310.95287409903602</v>
      </c>
      <c r="T181" s="62">
        <f t="shared" si="142"/>
        <v>224.10083380795163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-1.9065282685915009E-13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490.96084572840579</v>
      </c>
      <c r="AO181" s="62">
        <f t="shared" si="144"/>
        <v>597.91658789908263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0.19185623123622761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3.3768160908730345E-23</v>
      </c>
      <c r="AX181" s="23">
        <f t="shared" si="166"/>
        <v>0.19185623123622761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287.69656598881124</v>
      </c>
      <c r="BJ181" s="62">
        <f t="shared" si="146"/>
        <v>221.9773436301067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0.70550873635780909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5.4255782069191686E-21</v>
      </c>
      <c r="BS181" s="24">
        <f t="shared" si="169"/>
        <v>0.70550873635780909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310.95287409903602</v>
      </c>
      <c r="T182" s="62">
        <f t="shared" si="142"/>
        <v>224.10083380795163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-1.9065282685915009E-13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490.96084572840579</v>
      </c>
      <c r="AO182" s="62">
        <f t="shared" si="144"/>
        <v>597.91658789908263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0.18809404756243139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2.3877695566761716E-23</v>
      </c>
      <c r="AX182" s="23">
        <f t="shared" si="166"/>
        <v>0.18809404756243139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287.69656598881124</v>
      </c>
      <c r="BJ182" s="62">
        <f t="shared" si="146"/>
        <v>221.9773436301067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0.69167414035567132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3.8364631419704933E-21</v>
      </c>
      <c r="BS182" s="24">
        <f t="shared" si="169"/>
        <v>0.69167414035567132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310.95287409903602</v>
      </c>
      <c r="T183" s="62">
        <f t="shared" si="142"/>
        <v>224.10083380795163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-1.9065282685915009E-13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490.96084572840579</v>
      </c>
      <c r="AO183" s="62">
        <f t="shared" si="144"/>
        <v>597.91658789908263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0.18440563801577287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1.6884080454365172E-23</v>
      </c>
      <c r="AX183" s="23">
        <f t="shared" si="166"/>
        <v>0.18440563801577287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287.69656598881124</v>
      </c>
      <c r="BJ183" s="62">
        <f t="shared" si="146"/>
        <v>221.9773436301067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0.67811083234286507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2.7127891034595843E-21</v>
      </c>
      <c r="BS183" s="24">
        <f t="shared" si="169"/>
        <v>0.67811083234286507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310.95287409903602</v>
      </c>
      <c r="T184" s="62">
        <f t="shared" si="142"/>
        <v>224.10083380795163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-1.9065282685915009E-13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490.96084572840579</v>
      </c>
      <c r="AO184" s="62">
        <f t="shared" si="144"/>
        <v>597.91658789908263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0.18078955593061663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1.1938847783380858E-23</v>
      </c>
      <c r="AX184" s="23">
        <f t="shared" si="166"/>
        <v>0.18078955593061663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287.69656598881124</v>
      </c>
      <c r="BJ184" s="62">
        <f t="shared" si="146"/>
        <v>221.9773436301067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0.66481349252738897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1.9182315709852467E-21</v>
      </c>
      <c r="BS184" s="24">
        <f t="shared" si="169"/>
        <v>0.66481349252738897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310.95287409903602</v>
      </c>
      <c r="T185" s="62">
        <f t="shared" si="142"/>
        <v>224.10083380795163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-1.9065282685915009E-13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490.96084572840579</v>
      </c>
      <c r="AO185" s="62">
        <f t="shared" si="144"/>
        <v>597.91658789908263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0.17724438300955803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8.4420402271825862E-24</v>
      </c>
      <c r="AX185" s="23">
        <f t="shared" si="166"/>
        <v>0.17724438300955803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287.69656598881124</v>
      </c>
      <c r="BJ185" s="62">
        <f t="shared" si="146"/>
        <v>221.9773436301067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0.6517769054351179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1.3563945517297921E-21</v>
      </c>
      <c r="BS185" s="24">
        <f t="shared" si="169"/>
        <v>0.6517769054351179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310.95287409903602</v>
      </c>
      <c r="T186" s="62">
        <f t="shared" si="142"/>
        <v>224.10083380795163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-1.9065282685915009E-13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490.96084572840579</v>
      </c>
      <c r="AO186" s="62">
        <f t="shared" si="144"/>
        <v>597.91658789908263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0.17376872876713942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5.969423891690429E-24</v>
      </c>
      <c r="AX186" s="23">
        <f t="shared" si="166"/>
        <v>0.17376872876713942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287.69656598881124</v>
      </c>
      <c r="BJ186" s="62">
        <f t="shared" si="146"/>
        <v>221.9773436301067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0.63899595786419328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9.5911578549262333E-22</v>
      </c>
      <c r="BS186" s="24">
        <f t="shared" si="169"/>
        <v>0.63899595786419328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310.95287409903602</v>
      </c>
      <c r="T187" s="62">
        <f t="shared" si="142"/>
        <v>224.10083380795163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-1.9065282685915009E-13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490.96084572840579</v>
      </c>
      <c r="AO187" s="62">
        <f t="shared" si="144"/>
        <v>597.91658789908263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0.17036122998447487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4.2210201135912931E-24</v>
      </c>
      <c r="AX187" s="23">
        <f t="shared" si="166"/>
        <v>0.17036122998447487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287.69656598881124</v>
      </c>
      <c r="BJ187" s="62">
        <f t="shared" si="146"/>
        <v>221.9773436301067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0.62646563687952617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6.7819727586489607E-22</v>
      </c>
      <c r="BS187" s="24">
        <f t="shared" si="169"/>
        <v>0.62646563687952617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310.95287409903602</v>
      </c>
      <c r="T188" s="62">
        <f t="shared" si="142"/>
        <v>224.10083380795163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-1.9065282685915009E-13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490.96084572840579</v>
      </c>
      <c r="AO188" s="62">
        <f t="shared" si="144"/>
        <v>597.91658789908263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0.16702055017456932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2.9847119458452145E-24</v>
      </c>
      <c r="AX188" s="23">
        <f t="shared" si="166"/>
        <v>0.16702055017456932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287.69656598881124</v>
      </c>
      <c r="BJ188" s="62">
        <f t="shared" si="146"/>
        <v>221.9773436301067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0.61418102784662731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4.7955789274631166E-22</v>
      </c>
      <c r="BS188" s="24">
        <f t="shared" si="169"/>
        <v>0.61418102784662731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310.95287409903602</v>
      </c>
      <c r="T189" s="62">
        <f t="shared" si="142"/>
        <v>224.10083380795163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-1.9065282685915009E-13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490.96084572840579</v>
      </c>
      <c r="AO189" s="62">
        <f t="shared" si="144"/>
        <v>597.91658789908263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0.16374537905812256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2.1105100567956465E-24</v>
      </c>
      <c r="AX189" s="23">
        <f t="shared" si="166"/>
        <v>0.16374537905812256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287.69656598881124</v>
      </c>
      <c r="BJ189" s="62">
        <f t="shared" si="146"/>
        <v>221.9773436301067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0.60213731250399194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3.3909863793244803E-22</v>
      </c>
      <c r="BS189" s="24">
        <f t="shared" si="169"/>
        <v>0.60213731250399194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310.95287409903602</v>
      </c>
      <c r="T190" s="62">
        <f t="shared" si="142"/>
        <v>224.10083380795163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-1.9065282685915009E-13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490.96084572840579</v>
      </c>
      <c r="AO190" s="62">
        <f t="shared" si="144"/>
        <v>597.91658789908263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0.16053443204961218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1.4923559729226073E-24</v>
      </c>
      <c r="AX190" s="23">
        <f t="shared" si="166"/>
        <v>0.16053443204961218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287.69656598881124</v>
      </c>
      <c r="BJ190" s="62">
        <f t="shared" si="146"/>
        <v>221.9773436301067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0.59032976707328466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2.3977894637315583E-22</v>
      </c>
      <c r="BS190" s="24">
        <f t="shared" si="169"/>
        <v>0.59032976707328466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310.95287409903602</v>
      </c>
      <c r="T191" s="62">
        <f t="shared" si="142"/>
        <v>224.10083380795163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-1.9065282685915009E-13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490.96084572840579</v>
      </c>
      <c r="AO191" s="62">
        <f t="shared" si="144"/>
        <v>597.91658789908263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0.15738644975345439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1.0552550283978233E-24</v>
      </c>
      <c r="AX191" s="23">
        <f t="shared" si="166"/>
        <v>0.15738644975345439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287.69656598881124</v>
      </c>
      <c r="BJ191" s="62">
        <f t="shared" si="146"/>
        <v>221.9773436301067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0.57875376040658189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1.6954931896622402E-22</v>
      </c>
      <c r="BS191" s="24">
        <f t="shared" si="169"/>
        <v>0.57875376040658189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310.95287409903602</v>
      </c>
      <c r="T192" s="62">
        <f t="shared" si="142"/>
        <v>224.10083380795163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-1.9065282685915009E-13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490.96084572840579</v>
      </c>
      <c r="AO192" s="62">
        <f t="shared" si="144"/>
        <v>597.91658789908263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0.15430019747004467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7.4617798646130363E-25</v>
      </c>
      <c r="AX192" s="23">
        <f t="shared" si="166"/>
        <v>0.15430019747004467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287.69656598881124</v>
      </c>
      <c r="BJ192" s="62">
        <f t="shared" si="146"/>
        <v>221.9773436301067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0.56740475216994635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1.1988947318657792E-22</v>
      </c>
      <c r="BS192" s="24">
        <f t="shared" si="169"/>
        <v>0.56740475216994635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310.95287409903602</v>
      </c>
      <c r="T193" s="62">
        <f t="shared" si="142"/>
        <v>224.10083380795163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-1.9065282685915009E-13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490.96084572840579</v>
      </c>
      <c r="AO193" s="62">
        <f t="shared" si="144"/>
        <v>597.91658789908263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0.15127446471148459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5.2762751419891164E-25</v>
      </c>
      <c r="AX193" s="23">
        <f t="shared" si="166"/>
        <v>0.15127446471148459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287.69656598881124</v>
      </c>
      <c r="BJ193" s="62">
        <f t="shared" si="146"/>
        <v>221.9773436301067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0.55627829106261972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8.4774659483112009E-23</v>
      </c>
      <c r="BS193" s="24">
        <f t="shared" si="169"/>
        <v>0.55627829106261972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310.95287409903602</v>
      </c>
      <c r="T194" s="62">
        <f t="shared" si="142"/>
        <v>224.10083380795163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-1.9065282685915009E-13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490.96084572840579</v>
      </c>
      <c r="AO194" s="62">
        <f t="shared" si="144"/>
        <v>597.91658789908263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0.14830806472680511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3.7308899323065182E-25</v>
      </c>
      <c r="AX194" s="23">
        <f t="shared" si="166"/>
        <v>0.14830806472680511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287.69656598881124</v>
      </c>
      <c r="BJ194" s="62">
        <f t="shared" si="146"/>
        <v>221.9773436301067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0.54537001307113653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5.9944736593288958E-23</v>
      </c>
      <c r="BS194" s="24">
        <f t="shared" si="169"/>
        <v>0.54537001307113653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310.95287409903602</v>
      </c>
      <c r="T195" s="62">
        <f t="shared" si="142"/>
        <v>224.10083380795163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-1.9065282685915009E-13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490.96084572840579</v>
      </c>
      <c r="AO195" s="62">
        <f t="shared" si="144"/>
        <v>597.91658789908263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0.14539983403649986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2.6381375709945582E-25</v>
      </c>
      <c r="AX195" s="23">
        <f t="shared" si="166"/>
        <v>0.14539983403649986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287.69656598881124</v>
      </c>
      <c r="BJ195" s="62">
        <f t="shared" si="146"/>
        <v>221.9773436301067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0.53467563975767374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4.2387329741556004E-23</v>
      </c>
      <c r="BS195" s="24">
        <f t="shared" si="169"/>
        <v>0.53467563975767374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310.95287409903602</v>
      </c>
      <c r="T196" s="62">
        <f t="shared" si="142"/>
        <v>224.10083380795163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-1.9065282685915009E-13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490.96084572840579</v>
      </c>
      <c r="AO196" s="62">
        <f t="shared" si="144"/>
        <v>597.91658789908263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0.14254863197618595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1.8654449661532591E-25</v>
      </c>
      <c r="AX196" s="23">
        <f t="shared" si="166"/>
        <v>0.14254863197618595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287.69656598881124</v>
      </c>
      <c r="BJ196" s="62">
        <f t="shared" si="146"/>
        <v>221.9773436301067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0.52419097658196434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2.9972368296644479E-23</v>
      </c>
      <c r="BS196" s="24">
        <f t="shared" si="169"/>
        <v>0.52419097658196434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310.95287409903602</v>
      </c>
      <c r="T197" s="62">
        <f t="shared" ref="T197:T203" si="204">$T$3</f>
        <v>224.10083380795163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-1.9065282685915009E-13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490.96084572840579</v>
      </c>
      <c r="AO197" s="62">
        <f t="shared" ref="AO197:AO203" si="205">$AO$3</f>
        <v>597.91658789908263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0.13975334024921324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1.3190687854972791E-25</v>
      </c>
      <c r="AX197" s="23">
        <f t="shared" si="166"/>
        <v>0.13975334024921324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287.69656598881124</v>
      </c>
      <c r="BJ197" s="62">
        <f t="shared" ref="BJ197:BJ203" si="206">$BJ$3</f>
        <v>221.9773436301067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0.51391191125611757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2.1193664870778002E-23</v>
      </c>
      <c r="BS197" s="24">
        <f t="shared" si="169"/>
        <v>0.51391191125611757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310.95287409903602</v>
      </c>
      <c r="T198" s="62">
        <f t="shared" si="204"/>
        <v>224.10083380795163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-1.9065282685915009E-13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490.96084572840579</v>
      </c>
      <c r="AO198" s="62">
        <f t="shared" si="205"/>
        <v>597.91658789908263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0.13701286248804687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9.3272248307662954E-26</v>
      </c>
      <c r="AX198" s="23">
        <f t="shared" si="166"/>
        <v>0.13701286248804687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287.69656598881124</v>
      </c>
      <c r="BJ198" s="62">
        <f t="shared" si="206"/>
        <v>221.9773436301067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0.50383441213169988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1.498618414832224E-23</v>
      </c>
      <c r="BS198" s="24">
        <f t="shared" si="169"/>
        <v>0.50383441213169988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310.95287409903602</v>
      </c>
      <c r="T199" s="62">
        <f t="shared" si="204"/>
        <v>224.10083380795163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-1.9065282685915009E-13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490.96084572840579</v>
      </c>
      <c r="AO199" s="62">
        <f t="shared" si="205"/>
        <v>597.91658789908263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0.13432612382425058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6.5953439274863955E-26</v>
      </c>
      <c r="AX199" s="23">
        <f t="shared" si="166"/>
        <v>0.13432612382425058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287.69656598881124</v>
      </c>
      <c r="BJ199" s="62">
        <f t="shared" si="206"/>
        <v>221.9773436301067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0.49395452661844447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1.0596832435389001E-23</v>
      </c>
      <c r="BS199" s="24">
        <f t="shared" si="169"/>
        <v>0.49395452661844447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310.95287409903602</v>
      </c>
      <c r="T200" s="62">
        <f t="shared" si="204"/>
        <v>224.10083380795163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-1.9065282685915009E-13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490.96084572840579</v>
      </c>
      <c r="AO200" s="62">
        <f t="shared" si="205"/>
        <v>597.91658789908263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0.13169207046690257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4.6636124153831477E-26</v>
      </c>
      <c r="AX200" s="23">
        <f t="shared" si="166"/>
        <v>0.13169207046690257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287.69656598881124</v>
      </c>
      <c r="BJ200" s="62">
        <f t="shared" si="206"/>
        <v>221.9773436301067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0.48426837963396885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7.4930920741611198E-24</v>
      </c>
      <c r="BS200" s="24">
        <f t="shared" si="169"/>
        <v>0.48426837963396885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310.95287409903602</v>
      </c>
      <c r="T201" s="62">
        <f t="shared" si="204"/>
        <v>224.10083380795163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-1.9065282685915009E-13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490.96084572840579</v>
      </c>
      <c r="AO201" s="62">
        <f t="shared" si="205"/>
        <v>597.91658789908263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0.12910966928927822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3.2976719637431977E-26</v>
      </c>
      <c r="AX201" s="23">
        <f t="shared" si="166"/>
        <v>0.12910966928927822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287.69656598881124</v>
      </c>
      <c r="BJ201" s="62">
        <f t="shared" si="206"/>
        <v>221.9773436301067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0.4747721720838925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5.2984162176945005E-24</v>
      </c>
      <c r="BS201" s="24">
        <f t="shared" si="169"/>
        <v>0.4747721720838925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310.95287409903602</v>
      </c>
      <c r="T202" s="62">
        <f t="shared" si="204"/>
        <v>224.10083380795163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-1.9065282685915009E-13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490.96084572840579</v>
      </c>
      <c r="AO202" s="62">
        <f t="shared" si="205"/>
        <v>597.91658789908263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0.12657790742363792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2.3318062076915738E-26</v>
      </c>
      <c r="AX202" s="23">
        <f t="shared" si="166"/>
        <v>0.12657790742363792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287.69656598881124</v>
      </c>
      <c r="BJ202" s="62">
        <f t="shared" si="206"/>
        <v>221.9773436301067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0.46546217937175843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3.7465460370805599E-24</v>
      </c>
      <c r="BS202" s="24">
        <f t="shared" si="169"/>
        <v>0.46546217937175843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310.95287409903602</v>
      </c>
      <c r="T203" s="62">
        <f t="shared" si="204"/>
        <v>224.10083380795163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-1.9065282685915009E-13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490.96084572840579</v>
      </c>
      <c r="AO203" s="62">
        <f t="shared" si="205"/>
        <v>597.91658789908263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0.12409579186396055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1.6488359818715989E-26</v>
      </c>
      <c r="AX203" s="23">
        <f t="shared" si="166"/>
        <v>0.12409579186396055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287.69656598881124</v>
      </c>
      <c r="BJ203" s="62">
        <f t="shared" si="206"/>
        <v>221.9773436301067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0.45633474993817447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2.6492081088472503E-24</v>
      </c>
      <c r="BS203" s="24">
        <f t="shared" si="169"/>
        <v>0.45633474993817447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1.4037863041747067</v>
      </c>
      <c r="BA205" s="88">
        <f>EXP(LN('Données projet'!B88)/'Données projet'!A88)</f>
        <v>1.244502252163008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0.627</v>
      </c>
      <c r="C6" s="156">
        <f ca="1">IF(OR('Données projet'!B9="",'Données projet'!C9="",'Données projet'!C9=0%),0,Calculateur!S3)</f>
        <v>310.95287409903602</v>
      </c>
      <c r="D6" s="156">
        <f>IF(OR('Données projet'!B9="",'Données projet'!C9="",'Données projet'!C9=0%),0,Calculateur!T3)</f>
        <v>224.10083380795163</v>
      </c>
      <c r="E6" s="156">
        <f ca="1">MIN(C6,D6)</f>
        <v>224.10083380795163</v>
      </c>
      <c r="F6" s="156">
        <f ca="1">E6*B6</f>
        <v>140.51122279758567</v>
      </c>
      <c r="G6" s="156">
        <f ca="1">F6*(100%-'Données projet'!$C$24)*(100%-'Données projet'!$C$25)*(100%-'Données projet'!$C$26)*(100%-'Données projet'!$C$27)</f>
        <v>107.49108544015304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107.49108544015304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0.47849999999999993</v>
      </c>
      <c r="C7" s="156">
        <f ca="1">IF(OR('Données projet'!B10="",'Données projet'!C10="",'Données projet'!C10=0%),0,Calculateur!AN3)</f>
        <v>490.96084572840579</v>
      </c>
      <c r="D7" s="156">
        <f>IF(OR('Données projet'!B10="",'Données projet'!C10="",'Données projet'!C10=0%),0,Calculateur!AO3)</f>
        <v>597.91658789908263</v>
      </c>
      <c r="E7" s="156">
        <f t="shared" ref="E7:E15" ca="1" si="0">MIN(C7,D7)</f>
        <v>490.96084572840579</v>
      </c>
      <c r="F7" s="156">
        <f t="shared" ref="F7:F15" ca="1" si="1">E7*B7</f>
        <v>234.92476468104212</v>
      </c>
      <c r="G7" s="156">
        <f ca="1">F7*(100%-'Données projet'!$C$24)*(100%-'Données projet'!$C$25)*(100%-'Données projet'!$C$26)*(100%-'Données projet'!$C$27)</f>
        <v>179.71744498099721</v>
      </c>
      <c r="H7" s="164">
        <f>IF(OR('Données projet'!B10="",'Données projet'!C10="",'Données projet'!C10=0%),0,AVERAGE(Calculateur!$AX$3:$AX$33)*B7)</f>
        <v>1.7274939404432712</v>
      </c>
      <c r="I7" s="158">
        <f>H7*(100%-'Données projet'!$C$24)*(100%-'Données projet'!$C$25)*(100%-'Données projet'!$C$26)*(100%-'Données projet'!$C$27)</f>
        <v>1.3215328644391025</v>
      </c>
      <c r="J7" s="159">
        <f>IF(OR('Données projet'!B10="",'Données projet'!C10="",'Données projet'!C10=0%),0,SUM(Calculateur!$AQ$3:$AQ$33)*VLOOKUP('Données projet'!$B$10,Paramètres!$A$1:$I$89,9,0)*B7)</f>
        <v>39.710714999999993</v>
      </c>
      <c r="K7" s="160">
        <f>J7*(100%-'Données projet'!$C$24)*(100%-'Données projet'!$C$25)*(100%-'Données projet'!$C$26)*(100%-'Données projet'!$C$27)</f>
        <v>30.378696974999993</v>
      </c>
      <c r="L7" s="161">
        <f t="shared" ref="L7:L15" ca="1" si="2">G7+I7+K7</f>
        <v>211.4176748204363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0.54449999999999998</v>
      </c>
      <c r="C8" s="156">
        <f ca="1">IF(OR('Données projet'!B11="",'Données projet'!C11="",'Données projet'!C11=0%),0,Calculateur!BI3)</f>
        <v>287.69656598881124</v>
      </c>
      <c r="D8" s="156">
        <f>IF(OR('Données projet'!B11="",'Données projet'!C11="",'Données projet'!C11=0%),0,Calculateur!BJ3)</f>
        <v>221.9773436301067</v>
      </c>
      <c r="E8" s="156">
        <f t="shared" ca="1" si="0"/>
        <v>221.9773436301067</v>
      </c>
      <c r="F8" s="156">
        <f t="shared" ca="1" si="1"/>
        <v>120.86666360659309</v>
      </c>
      <c r="G8" s="156">
        <f ca="1">F8*(100%-'Données projet'!$C$24)*(100%-'Données projet'!$C$25)*(100%-'Données projet'!$C$26)*(100%-'Données projet'!$C$27)</f>
        <v>92.462997659043708</v>
      </c>
      <c r="H8" s="164">
        <f>IF(OR('Données projet'!B11="",'Données projet'!C11="",'Données projet'!C11=0%),0,AVERAGE(Calculateur!$BS$3:$BS$33)*B8)</f>
        <v>1.5538099850235643</v>
      </c>
      <c r="I8" s="158">
        <f>H8*(100%-'Données projet'!$C$24)*(100%-'Données projet'!$C$25)*(100%-'Données projet'!$C$26)*(100%-'Données projet'!$C$27)</f>
        <v>1.1886646385430266</v>
      </c>
      <c r="J8" s="159">
        <f>IF(OR('Données projet'!B11="",'Données projet'!C11="",'Données projet'!C11=0%),0,SUM(Calculateur!$BL$3:$BL$33)*VLOOKUP('Données projet'!$B$11,Paramètres!$A$1:$I$89,9,0)*B8)</f>
        <v>15.687044999999999</v>
      </c>
      <c r="K8" s="160">
        <f>J8*(100%-'Données projet'!$C$24)*(100%-'Données projet'!$C$25)*(100%-'Données projet'!$C$26)*(100%-'Données projet'!$C$27)</f>
        <v>12.000589424999999</v>
      </c>
      <c r="L8" s="161">
        <f t="shared" ca="1" si="2"/>
        <v>105.65225172258674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496.30265108522087</v>
      </c>
      <c r="G16" s="175">
        <f t="shared" ca="1" si="3"/>
        <v>379.67152808019398</v>
      </c>
      <c r="H16" s="176">
        <f t="shared" si="3"/>
        <v>3.2813039254668355</v>
      </c>
      <c r="I16" s="176">
        <f t="shared" si="3"/>
        <v>2.5101975029821291</v>
      </c>
      <c r="J16" s="177">
        <f t="shared" si="3"/>
        <v>55.397759999999991</v>
      </c>
      <c r="K16" s="177">
        <f t="shared" si="3"/>
        <v>42.379286399999991</v>
      </c>
      <c r="L16" s="178">
        <f t="shared" ca="1" si="3"/>
        <v>424.56101198317612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1685.2755715400876</v>
      </c>
      <c r="U10" s="190">
        <f>'Données projet'!D9</f>
        <v>0.627</v>
      </c>
      <c r="V10" s="189">
        <f>U10*T10</f>
        <v>1056.667783355635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6229.8450779596269</v>
      </c>
      <c r="U11" s="190">
        <f>'Données projet'!D10</f>
        <v>0.47849999999999993</v>
      </c>
      <c r="V11" s="189">
        <f t="shared" ref="V11" si="0">U11*T11</f>
        <v>2980.9808698036809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1997.5625420038677</v>
      </c>
      <c r="U12" s="190">
        <f>'Données projet'!D11</f>
        <v>0.54449999999999998</v>
      </c>
      <c r="V12" s="189">
        <f t="shared" ref="V12:V19" si="1">U12*T12</f>
        <v>1087.6728041211059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1837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1837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1837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1837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-6237.9769489277451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212.08094225674103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-6450.0578911844859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32</v>
      </c>
      <c r="D27" s="194">
        <f t="shared" si="2"/>
        <v>3264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45</v>
      </c>
      <c r="D28" s="194">
        <f t="shared" si="2"/>
        <v>5085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58</v>
      </c>
      <c r="D29" s="194">
        <f t="shared" si="2"/>
        <v>7192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62</v>
      </c>
      <c r="D30" s="194">
        <f t="shared" si="2"/>
        <v>8370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43</v>
      </c>
      <c r="C55" s="204">
        <v>12</v>
      </c>
      <c r="D55" s="191">
        <f t="shared" ref="D55:D73" si="4">B55*C55</f>
        <v>516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60</v>
      </c>
      <c r="C56" s="204">
        <v>12</v>
      </c>
      <c r="D56" s="191">
        <f t="shared" si="4"/>
        <v>720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90</v>
      </c>
      <c r="C57" s="204">
        <v>18</v>
      </c>
      <c r="D57" s="191">
        <f t="shared" si="4"/>
        <v>1620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72</v>
      </c>
      <c r="C58" s="204">
        <v>24</v>
      </c>
      <c r="D58" s="191">
        <f t="shared" si="4"/>
        <v>1728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77</v>
      </c>
      <c r="C59" s="204">
        <v>35</v>
      </c>
      <c r="D59" s="191">
        <f t="shared" si="4"/>
        <v>2695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64</v>
      </c>
      <c r="C60" s="204">
        <v>46</v>
      </c>
      <c r="D60" s="191">
        <f t="shared" si="4"/>
        <v>2944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62</v>
      </c>
      <c r="C61" s="204">
        <v>54</v>
      </c>
      <c r="D61" s="191">
        <f t="shared" si="4"/>
        <v>3348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46</v>
      </c>
      <c r="C62" s="204">
        <v>62</v>
      </c>
      <c r="D62" s="191">
        <f t="shared" si="4"/>
        <v>2852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35</v>
      </c>
      <c r="C63" s="204">
        <v>70</v>
      </c>
      <c r="D63" s="191">
        <f t="shared" si="4"/>
        <v>2450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769</v>
      </c>
      <c r="C64" s="204">
        <v>80</v>
      </c>
      <c r="D64" s="191">
        <f t="shared" si="4"/>
        <v>61520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04">
        <v>12</v>
      </c>
      <c r="D85" s="191">
        <f>B85*C85</f>
        <v>192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04">
        <v>12</v>
      </c>
      <c r="D86" s="191">
        <f t="shared" ref="D86:D104" si="6">B86*C86</f>
        <v>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04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04">
        <v>17</v>
      </c>
      <c r="D88" s="191">
        <f t="shared" si="6"/>
        <v>697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04">
        <v>17</v>
      </c>
      <c r="D89" s="191">
        <f t="shared" si="6"/>
        <v>697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04">
        <v>17</v>
      </c>
      <c r="D90" s="191">
        <f t="shared" si="6"/>
        <v>901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04">
        <v>20</v>
      </c>
      <c r="D91" s="191">
        <f t="shared" si="6"/>
        <v>1060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04">
        <v>25</v>
      </c>
      <c r="D92" s="191">
        <f t="shared" si="6"/>
        <v>1950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04">
        <v>30</v>
      </c>
      <c r="D93" s="191">
        <f t="shared" si="6"/>
        <v>1950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04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555</v>
      </c>
      <c r="C95" s="204">
        <v>60</v>
      </c>
      <c r="D95" s="191">
        <f t="shared" si="6"/>
        <v>33300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2024-05-28T13:51:31Z</dcterms:modified>
</cp:coreProperties>
</file>