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9_Reims\Secheval\"/>
    </mc:Choice>
  </mc:AlternateContent>
  <xr:revisionPtr revIDLastSave="0" documentId="13_ncr:1_{B58713BC-77A4-4F94-99CA-3523926E101D}" xr6:coauthVersionLast="47" xr6:coauthVersionMax="47" xr10:uidLastSave="{00000000-0000-0000-0000-000000000000}"/>
  <bookViews>
    <workbookView xWindow="-28920" yWindow="-120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6" l="1"/>
  <c r="B254" i="1"/>
  <c r="D254" i="1" s="1"/>
  <c r="D198" i="1"/>
  <c r="B172" i="1"/>
  <c r="D172" i="1" s="1"/>
  <c r="D147" i="1"/>
  <c r="B147" i="1"/>
  <c r="D146" i="1"/>
  <c r="D145" i="1"/>
  <c r="D144" i="1"/>
  <c r="D143" i="1"/>
  <c r="D142" i="1"/>
  <c r="D141" i="1"/>
  <c r="B124" i="1"/>
  <c r="D124" i="1" s="1"/>
  <c r="D123" i="1"/>
  <c r="B123" i="1"/>
  <c r="D122" i="1"/>
  <c r="B122" i="1"/>
  <c r="D121" i="1"/>
  <c r="B121" i="1"/>
  <c r="D120" i="1"/>
  <c r="B120" i="1"/>
  <c r="D119" i="1"/>
  <c r="B119" i="1"/>
  <c r="D118" i="1"/>
  <c r="B118" i="1"/>
  <c r="D117" i="1"/>
  <c r="B117" i="1"/>
  <c r="D116" i="1"/>
  <c r="B116" i="1"/>
  <c r="D115" i="1"/>
  <c r="B115" i="1"/>
  <c r="D68" i="1"/>
  <c r="B68" i="1"/>
  <c r="D67" i="1"/>
  <c r="D66" i="1"/>
  <c r="D65" i="1"/>
  <c r="D64" i="1"/>
  <c r="D63" i="1"/>
  <c r="D62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FR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EA22" i="2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X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A38" i="2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H146" i="2"/>
  <c r="EA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EX154" i="2"/>
  <c r="AA154" i="2"/>
  <c r="EV154" i="2"/>
  <c r="EC154" i="2"/>
  <c r="EA154" i="2"/>
  <c r="FS154" i="2"/>
  <c r="HI154" i="2"/>
  <c r="HJ154" i="2" s="1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AC154" i="2"/>
  <c r="EW155" i="2"/>
  <c r="ED154" i="2"/>
  <c r="DI154" i="2"/>
  <c r="EA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FS156" i="2" l="1"/>
  <c r="ED155" i="2"/>
  <c r="EB156" i="2"/>
  <c r="EX156" i="2"/>
  <c r="DH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C157" i="2"/>
  <c r="EX157" i="2"/>
  <c r="EA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V158" i="2" l="1"/>
  <c r="ED157" i="2"/>
  <c r="EC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EC159" i="2"/>
  <c r="HI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ED159" i="2"/>
  <c r="HI160" i="2"/>
  <c r="FS160" i="2"/>
  <c r="EY159" i="2"/>
  <c r="D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HH161" i="2"/>
  <c r="EA161" i="2"/>
  <c r="AB161" i="2"/>
  <c r="EB161" i="2"/>
  <c r="EX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D161" i="2"/>
  <c r="EW162" i="2"/>
  <c r="EY161" i="2"/>
  <c r="EC162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HH163" i="2"/>
  <c r="ED162" i="2"/>
  <c r="HG163" i="2"/>
  <c r="EA163" i="2"/>
  <c r="EB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HG164" i="2"/>
  <c r="ED163" i="2"/>
  <c r="FS164" i="2"/>
  <c r="DH164" i="2"/>
  <c r="DI163" i="2"/>
  <c r="EA164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X165" i="2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ED165" i="2"/>
  <c r="EC166" i="2"/>
  <c r="FS166" i="2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FR167" i="2"/>
  <c r="EX167" i="2"/>
  <c r="EY166" i="2"/>
  <c r="EA167" i="2"/>
  <c r="EC167" i="2"/>
  <c r="DG167" i="2"/>
  <c r="EB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DI167" i="2"/>
  <c r="HI168" i="2"/>
  <c r="EC168" i="2"/>
  <c r="EB168" i="2"/>
  <c r="DG168" i="2"/>
  <c r="EV168" i="2"/>
  <c r="EY168" i="2" s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X169" i="2"/>
  <c r="EA169" i="2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HI172" i="2"/>
  <c r="EV172" i="2"/>
  <c r="EW172" i="2"/>
  <c r="EA172" i="2"/>
  <c r="EB172" i="2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D172" i="2"/>
  <c r="HH173" i="2"/>
  <c r="EX173" i="2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HI175" i="2"/>
  <c r="EA175" i="2"/>
  <c r="EB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Q177" i="2"/>
  <c r="FS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W178" i="2"/>
  <c r="ED177" i="2"/>
  <c r="EA178" i="2"/>
  <c r="EB178" i="2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ED178" i="2"/>
  <c r="EB179" i="2"/>
  <c r="DF179" i="2"/>
  <c r="EV179" i="2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G180" i="2" l="1"/>
  <c r="ED179" i="2"/>
  <c r="EY179" i="2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C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D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EA185" i="2"/>
  <c r="EB185" i="2"/>
  <c r="EV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G186" i="2"/>
  <c r="EB186" i="2"/>
  <c r="HH186" i="2"/>
  <c r="FR186" i="2"/>
  <c r="ED185" i="2"/>
  <c r="EA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H188" i="2"/>
  <c r="HG188" i="2"/>
  <c r="HI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V189" i="2" l="1"/>
  <c r="EB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EY189" i="2" s="1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I191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V192" i="2"/>
  <c r="EC192" i="2"/>
  <c r="EB192" i="2"/>
  <c r="EA192" i="2"/>
  <c r="HH192" i="2"/>
  <c r="AW192" i="2"/>
  <c r="EX192" i="2"/>
  <c r="EY192" i="2" s="1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FQ193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CN193" i="2"/>
  <c r="ED193" i="2"/>
  <c r="EB194" i="2"/>
  <c r="HG194" i="2"/>
  <c r="EA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Y194" i="2"/>
  <c r="FQ195" i="2"/>
  <c r="HG195" i="2"/>
  <c r="EB195" i="2"/>
  <c r="ED194" i="2"/>
  <c r="EX195" i="2"/>
  <c r="DH195" i="2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Y195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FS197" i="2" l="1"/>
  <c r="EW197" i="2"/>
  <c r="EY196" i="2"/>
  <c r="EA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ED197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Y198" i="2"/>
  <c r="FS199" i="2"/>
  <c r="EA199" i="2"/>
  <c r="EB199" i="2"/>
  <c r="EW199" i="2"/>
  <c r="HH199" i="2"/>
  <c r="HG199" i="2"/>
  <c r="HJ199" i="2" s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D200" i="2"/>
  <c r="HH201" i="2"/>
  <c r="HG201" i="2"/>
  <c r="EA201" i="2"/>
  <c r="FS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X202" i="2" l="1"/>
  <c r="FS202" i="2"/>
  <c r="FR202" i="2"/>
  <c r="ED201" i="2"/>
  <c r="EY201" i="2"/>
  <c r="EW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57" i="2" a="1"/>
  <c r="FY57" i="2" s="1"/>
  <c r="FY146" i="2" a="1"/>
  <c r="FY146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50" i="2" a="1"/>
  <c r="EI150" i="2" s="1"/>
  <c r="CS66" i="2" a="1"/>
  <c r="CS66" i="2" s="1"/>
  <c r="DN124" i="2" a="1"/>
  <c r="DN124" i="2" s="1"/>
  <c r="CS52" i="2" a="1"/>
  <c r="CS52" i="2" s="1"/>
  <c r="CS129" i="2" a="1"/>
  <c r="CS129" i="2" s="1"/>
  <c r="DN29" i="2" a="1"/>
  <c r="DN29" i="2" s="1"/>
  <c r="DN152" i="2" a="1"/>
  <c r="DN152" i="2" s="1"/>
  <c r="DN184" i="2" a="1"/>
  <c r="DN184" i="2" s="1"/>
  <c r="DN153" i="2" a="1"/>
  <c r="DN153" i="2" s="1"/>
  <c r="DN115" i="2" a="1"/>
  <c r="DN115" i="2" s="1"/>
  <c r="DN177" i="2" a="1"/>
  <c r="DN177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34" i="2" a="1"/>
  <c r="EI34" i="2" s="1"/>
  <c r="EI20" i="2" a="1"/>
  <c r="EI20" i="2" s="1"/>
  <c r="EI35" i="2" a="1"/>
  <c r="EI35" i="2" s="1"/>
  <c r="EI37" i="2" a="1"/>
  <c r="EI37" i="2" s="1"/>
  <c r="CS185" i="2" a="1"/>
  <c r="CS185" i="2" s="1"/>
  <c r="CS56" i="2" a="1"/>
  <c r="CS56" i="2" s="1"/>
  <c r="CS114" i="2" a="1"/>
  <c r="CS114" i="2" s="1"/>
  <c r="DN38" i="2" a="1"/>
  <c r="DN38" i="2" s="1"/>
  <c r="DN167" i="2" a="1"/>
  <c r="DN167" i="2" s="1"/>
  <c r="DN31" i="2" a="1"/>
  <c r="DN31" i="2" s="1"/>
  <c r="DN110" i="2" a="1"/>
  <c r="DN110" i="2" s="1"/>
  <c r="DN176" i="2" a="1"/>
  <c r="DN176" i="2" s="1"/>
  <c r="DN6" i="2" a="1"/>
  <c r="DN6" i="2" s="1"/>
  <c r="DO6" i="2" s="1"/>
  <c r="DN46" i="2" a="1"/>
  <c r="DN46" i="2" s="1"/>
  <c r="DN132" i="2" a="1"/>
  <c r="DN132" i="2" s="1"/>
  <c r="CS24" i="2" a="1"/>
  <c r="CS24" i="2" s="1"/>
  <c r="CS134" i="2" a="1"/>
  <c r="CS134" i="2" s="1"/>
  <c r="CS72" i="2" a="1"/>
  <c r="CS72" i="2" s="1"/>
  <c r="BX107" i="2" a="1"/>
  <c r="BX107" i="2" s="1"/>
  <c r="FD82" i="2" a="1"/>
  <c r="FD82" i="2" s="1"/>
  <c r="HJ202" i="2"/>
  <c r="AX200" i="2"/>
  <c r="EY202" i="2" l="1"/>
  <c r="FY165" i="2" a="1"/>
  <c r="FY165" i="2" s="1"/>
  <c r="FY32" i="2" a="1"/>
  <c r="FY32" i="2" s="1"/>
  <c r="FY22" i="2" a="1"/>
  <c r="FY22" i="2" s="1"/>
  <c r="FY50" i="2" a="1"/>
  <c r="FY50" i="2" s="1"/>
  <c r="FY79" i="2" a="1"/>
  <c r="FY79" i="2" s="1"/>
  <c r="EI29" i="2" a="1"/>
  <c r="EI29" i="2" s="1"/>
  <c r="EI165" i="2" a="1"/>
  <c r="EI165" i="2" s="1"/>
  <c r="EI106" i="2" a="1"/>
  <c r="EI106" i="2" s="1"/>
  <c r="EI67" i="2" a="1"/>
  <c r="EI67" i="2" s="1"/>
  <c r="EI71" i="2" a="1"/>
  <c r="EI71" i="2" s="1"/>
  <c r="EI153" i="2" a="1"/>
  <c r="EI153" i="2" s="1"/>
  <c r="EI57" i="2" a="1"/>
  <c r="EI57" i="2" s="1"/>
  <c r="EI142" i="2" a="1"/>
  <c r="EI142" i="2" s="1"/>
  <c r="EI166" i="2" a="1"/>
  <c r="EI166" i="2" s="1"/>
  <c r="EI170" i="2" a="1"/>
  <c r="EI170" i="2" s="1"/>
  <c r="EI36" i="2" a="1"/>
  <c r="EI36" i="2" s="1"/>
  <c r="EI178" i="2" a="1"/>
  <c r="EI178" i="2" s="1"/>
  <c r="EI198" i="2" a="1"/>
  <c r="EI198" i="2" s="1"/>
  <c r="EI16" i="2" a="1"/>
  <c r="EI16" i="2" s="1"/>
  <c r="EI113" i="2" a="1"/>
  <c r="EI113" i="2" s="1"/>
  <c r="EI87" i="2" a="1"/>
  <c r="EI87" i="2" s="1"/>
  <c r="EI145" i="2" a="1"/>
  <c r="EI145" i="2" s="1"/>
  <c r="EI139" i="2" a="1"/>
  <c r="EI139" i="2" s="1"/>
  <c r="EI128" i="2" a="1"/>
  <c r="EI128" i="2" s="1"/>
  <c r="EI109" i="2" a="1"/>
  <c r="EI109" i="2" s="1"/>
  <c r="EI162" i="2" a="1"/>
  <c r="EI162" i="2" s="1"/>
  <c r="DN45" i="2" a="1"/>
  <c r="DN45" i="2" s="1"/>
  <c r="DN16" i="2" a="1"/>
  <c r="DN16" i="2" s="1"/>
  <c r="DN80" i="2" a="1"/>
  <c r="DN80" i="2" s="1"/>
  <c r="DN150" i="2" a="1"/>
  <c r="DN150" i="2" s="1"/>
  <c r="DN170" i="2" a="1"/>
  <c r="DN170" i="2" s="1"/>
  <c r="DN41" i="2" a="1"/>
  <c r="DN41" i="2" s="1"/>
  <c r="DN155" i="2" a="1"/>
  <c r="DN155" i="2" s="1"/>
  <c r="DN56" i="2" a="1"/>
  <c r="DN56" i="2" s="1"/>
  <c r="DN190" i="2" a="1"/>
  <c r="DN190" i="2" s="1"/>
  <c r="DN133" i="2" a="1"/>
  <c r="DN133" i="2" s="1"/>
  <c r="DN162" i="2" a="1"/>
  <c r="DN162" i="2" s="1"/>
  <c r="DN114" i="2" a="1"/>
  <c r="DN114" i="2" s="1"/>
  <c r="DN192" i="2" a="1"/>
  <c r="DN192" i="2" s="1"/>
  <c r="DN129" i="2" a="1"/>
  <c r="DN129" i="2" s="1"/>
  <c r="DN43" i="2" a="1"/>
  <c r="DN43" i="2" s="1"/>
  <c r="DN65" i="2" a="1"/>
  <c r="DN65" i="2" s="1"/>
  <c r="DN49" i="2" a="1"/>
  <c r="DN49" i="2" s="1"/>
  <c r="DN168" i="2" a="1"/>
  <c r="DN168" i="2" s="1"/>
  <c r="DN103" i="2" a="1"/>
  <c r="DN103" i="2" s="1"/>
  <c r="DN66" i="2" a="1"/>
  <c r="DN66" i="2" s="1"/>
  <c r="DN50" i="2" a="1"/>
  <c r="DN50" i="2" s="1"/>
  <c r="DN186" i="2" a="1"/>
  <c r="DN186" i="2" s="1"/>
  <c r="DN164" i="2" a="1"/>
  <c r="DN164" i="2" s="1"/>
  <c r="DN188" i="2" a="1"/>
  <c r="DN188" i="2" s="1"/>
  <c r="DN113" i="2" a="1"/>
  <c r="DN113" i="2" s="1"/>
  <c r="DN137" i="2" a="1"/>
  <c r="DN137" i="2" s="1"/>
  <c r="DN70" i="2" a="1"/>
  <c r="DN70" i="2" s="1"/>
  <c r="DN63" i="2" a="1"/>
  <c r="DN63" i="2" s="1"/>
  <c r="DN187" i="2" a="1"/>
  <c r="DN187" i="2" s="1"/>
  <c r="DN30" i="2" a="1"/>
  <c r="DN30" i="2" s="1"/>
  <c r="DN55" i="2" a="1"/>
  <c r="DN55" i="2" s="1"/>
  <c r="DN135" i="2" a="1"/>
  <c r="DN135" i="2" s="1"/>
  <c r="DN86" i="2" a="1"/>
  <c r="DN86" i="2" s="1"/>
  <c r="DN25" i="2" a="1"/>
  <c r="DN25" i="2" s="1"/>
  <c r="FS203" i="2"/>
  <c r="FY54" i="2" a="1"/>
  <c r="FY54" i="2" s="1"/>
  <c r="FY109" i="2" a="1"/>
  <c r="FY109" i="2" s="1"/>
  <c r="FY90" i="2" a="1"/>
  <c r="FY90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CN203" i="2"/>
  <c r="FT203" i="2"/>
  <c r="DI203" i="2"/>
  <c r="EY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FJ29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67" i="2" l="1"/>
  <c r="FJ92" i="2"/>
  <c r="FJ64" i="2"/>
  <c r="FJ136" i="2"/>
  <c r="FJ156" i="2"/>
  <c r="FJ141" i="2"/>
  <c r="FJ111" i="2"/>
  <c r="FJ63" i="2"/>
  <c r="FJ201" i="2"/>
  <c r="FJ176" i="2"/>
  <c r="FJ28" i="2"/>
  <c r="FJ185" i="2"/>
  <c r="FJ56" i="2"/>
  <c r="FJ97" i="2"/>
  <c r="FJ112" i="2"/>
  <c r="FJ40" i="2"/>
  <c r="FJ193" i="2"/>
  <c r="FJ128" i="2"/>
  <c r="FJ78" i="2"/>
  <c r="FJ181" i="2"/>
  <c r="FJ195" i="2"/>
  <c r="FJ171" i="2"/>
  <c r="FJ149" i="2"/>
  <c r="FJ187" i="2"/>
  <c r="FJ83" i="2"/>
  <c r="FJ71" i="2"/>
  <c r="FJ20" i="2"/>
  <c r="FJ108" i="2"/>
  <c r="FJ81" i="2"/>
  <c r="FJ52" i="2"/>
  <c r="FJ70" i="2"/>
  <c r="FJ114" i="2"/>
  <c r="FJ93" i="2"/>
  <c r="FJ196" i="2"/>
  <c r="FJ135" i="2"/>
  <c r="FJ130" i="2"/>
  <c r="FJ37" i="2"/>
  <c r="FJ186" i="2"/>
  <c r="FJ190" i="2"/>
  <c r="FJ165" i="2"/>
  <c r="FJ200" i="2"/>
  <c r="FJ36" i="2"/>
  <c r="FJ182" i="2"/>
  <c r="FJ129" i="2"/>
  <c r="FJ173" i="2"/>
  <c r="FJ115" i="2"/>
  <c r="FJ120" i="2"/>
  <c r="FJ153" i="2"/>
  <c r="FJ15" i="2"/>
  <c r="FJ121" i="2"/>
  <c r="FJ42" i="2"/>
  <c r="FJ54" i="2"/>
  <c r="FJ202" i="2"/>
  <c r="FJ183" i="2"/>
  <c r="FJ87" i="2"/>
  <c r="FJ55" i="2"/>
  <c r="FJ166" i="2"/>
  <c r="FJ137" i="2"/>
  <c r="FJ119" i="2"/>
  <c r="FJ142" i="2"/>
  <c r="FJ14" i="2"/>
  <c r="FJ12" i="2"/>
  <c r="FJ133" i="2"/>
  <c r="FJ189" i="2"/>
  <c r="FJ9" i="2"/>
  <c r="FJ86" i="2"/>
  <c r="FJ35" i="2"/>
  <c r="FJ123" i="2"/>
  <c r="FJ131" i="2"/>
  <c r="FJ61" i="2"/>
  <c r="FJ34" i="2"/>
  <c r="FJ194" i="2"/>
  <c r="FJ122" i="2"/>
  <c r="FJ162" i="2"/>
  <c r="FJ47" i="2"/>
  <c r="FJ75" i="2"/>
  <c r="FJ25" i="2"/>
  <c r="FJ79" i="2"/>
  <c r="FJ139" i="2"/>
  <c r="FJ167" i="2"/>
  <c r="FJ76" i="2"/>
  <c r="FJ50" i="2"/>
  <c r="FJ72" i="2"/>
  <c r="FJ170" i="2"/>
  <c r="FJ39" i="2"/>
  <c r="FJ110" i="2"/>
  <c r="FJ155" i="2"/>
  <c r="FJ161" i="2"/>
  <c r="FJ24" i="2"/>
  <c r="FJ118" i="2"/>
  <c r="FJ17" i="2"/>
  <c r="FJ151" i="2"/>
  <c r="FJ146" i="2"/>
  <c r="FJ198" i="2"/>
  <c r="FJ38" i="2"/>
  <c r="FJ82" i="2"/>
  <c r="FJ144" i="2"/>
  <c r="FJ58" i="2"/>
  <c r="FJ32" i="2"/>
  <c r="FJ138" i="2"/>
  <c r="FJ91" i="2"/>
  <c r="FJ101" i="2"/>
  <c r="FJ157" i="2"/>
  <c r="FJ140" i="2"/>
  <c r="FJ3" i="2"/>
  <c r="C13" i="4" s="1"/>
  <c r="E13" i="4" s="1"/>
  <c r="F13" i="4" s="1"/>
  <c r="G13" i="4" s="1"/>
  <c r="L13" i="4" s="1"/>
  <c r="FJ184" i="2"/>
  <c r="FJ46" i="2"/>
  <c r="FJ169" i="2"/>
  <c r="FJ178" i="2"/>
  <c r="FJ99" i="2"/>
  <c r="FJ4" i="2"/>
  <c r="FJ48" i="2"/>
  <c r="FJ22" i="2"/>
  <c r="FJ164" i="2"/>
  <c r="FJ113" i="2"/>
  <c r="FJ94" i="2"/>
  <c r="FJ90" i="2"/>
  <c r="FJ158" i="2"/>
  <c r="FJ124" i="2"/>
  <c r="FJ143" i="2"/>
  <c r="FJ10" i="2"/>
  <c r="FJ150" i="2"/>
  <c r="FJ96" i="2"/>
  <c r="FJ104" i="2"/>
  <c r="FJ103" i="2"/>
  <c r="FJ43" i="2"/>
  <c r="FJ116" i="2"/>
  <c r="FJ168" i="2"/>
  <c r="FJ84" i="2"/>
  <c r="FJ203" i="2"/>
  <c r="FJ57" i="2"/>
  <c r="FJ180" i="2"/>
  <c r="FJ154" i="2"/>
  <c r="FJ147" i="2"/>
  <c r="FJ125" i="2"/>
  <c r="FJ105" i="2"/>
  <c r="FJ126" i="2"/>
  <c r="FJ66" i="2"/>
  <c r="FJ74" i="2"/>
  <c r="FJ31" i="2"/>
  <c r="FJ60" i="2"/>
  <c r="FJ11" i="2"/>
  <c r="FJ102" i="2"/>
  <c r="FJ8" i="2"/>
  <c r="FJ44" i="2"/>
  <c r="FJ69" i="2"/>
  <c r="FJ27" i="2"/>
  <c r="FJ107" i="2"/>
  <c r="FJ175" i="2"/>
  <c r="FJ53" i="2"/>
  <c r="FJ179" i="2"/>
  <c r="FJ172" i="2"/>
  <c r="FJ159" i="2"/>
  <c r="FJ85" i="2"/>
  <c r="FJ13" i="2"/>
  <c r="FJ51" i="2"/>
  <c r="FJ21" i="2"/>
  <c r="FJ65" i="2"/>
  <c r="FJ98" i="2"/>
  <c r="FJ148" i="2"/>
  <c r="FJ73" i="2"/>
  <c r="FJ16" i="2"/>
  <c r="FJ197" i="2"/>
  <c r="FJ192" i="2"/>
  <c r="FJ127" i="2"/>
  <c r="FJ49" i="2"/>
  <c r="FJ88" i="2"/>
  <c r="FJ160" i="2"/>
  <c r="FJ95" i="2"/>
  <c r="FJ132" i="2"/>
  <c r="FJ77" i="2"/>
  <c r="FJ19" i="2"/>
  <c r="FJ59" i="2"/>
  <c r="FJ45" i="2"/>
  <c r="FJ80" i="2"/>
  <c r="FJ134" i="2"/>
  <c r="FJ152" i="2"/>
  <c r="FJ62" i="2"/>
  <c r="FJ23" i="2"/>
  <c r="FJ41" i="2"/>
  <c r="FJ188" i="2"/>
  <c r="FJ199" i="2"/>
  <c r="FJ33" i="2"/>
  <c r="FJ191" i="2"/>
  <c r="FJ68" i="2"/>
  <c r="FJ117" i="2"/>
  <c r="FJ30" i="2"/>
  <c r="FJ5" i="2"/>
  <c r="FJ174" i="2"/>
  <c r="FJ177" i="2"/>
  <c r="FJ109" i="2"/>
  <c r="FJ89" i="2"/>
  <c r="FJ26" i="2"/>
  <c r="FJ6" i="2"/>
  <c r="FJ7" i="2"/>
  <c r="FJ18" i="2"/>
  <c r="FJ145" i="2"/>
  <c r="FJ163" i="2"/>
  <c r="FJ106" i="2"/>
  <c r="FJ100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D148" i="2" l="1"/>
  <c r="CD60" i="2"/>
  <c r="CD143" i="2"/>
  <c r="CD150" i="2"/>
  <c r="CD99" i="2"/>
  <c r="CD188" i="2"/>
  <c r="CD14" i="2"/>
  <c r="CD171" i="2"/>
  <c r="CD156" i="2"/>
  <c r="CD95" i="2"/>
  <c r="CD176" i="2"/>
  <c r="CD141" i="2"/>
  <c r="CD132" i="2"/>
  <c r="CD73" i="2"/>
  <c r="CD13" i="2"/>
  <c r="CD164" i="2"/>
  <c r="CD41" i="2"/>
  <c r="CD162" i="2"/>
  <c r="CD138" i="2"/>
  <c r="CD58" i="2"/>
  <c r="CD201" i="2"/>
  <c r="CD21" i="2"/>
  <c r="CD137" i="2"/>
  <c r="CD16" i="2"/>
  <c r="CD102" i="2"/>
  <c r="CD8" i="2"/>
  <c r="CD193" i="2"/>
  <c r="CD136" i="2"/>
  <c r="CD89" i="2"/>
  <c r="CD125" i="2"/>
  <c r="CD19" i="2"/>
  <c r="CD44" i="2"/>
  <c r="CD189" i="2"/>
  <c r="CD145" i="2"/>
  <c r="CD84" i="2"/>
  <c r="CD195" i="2"/>
  <c r="CD75" i="2"/>
  <c r="CD130" i="2"/>
  <c r="CD170" i="2"/>
  <c r="CD203" i="2"/>
  <c r="CD196" i="2"/>
  <c r="CD45" i="2"/>
  <c r="CD191" i="2"/>
  <c r="CD173" i="2"/>
  <c r="CD180" i="2"/>
  <c r="CD91" i="2"/>
  <c r="CD63" i="2"/>
  <c r="CD46" i="2"/>
  <c r="CD51" i="2"/>
  <c r="CD72" i="2"/>
  <c r="CD83" i="2"/>
  <c r="CD61" i="2"/>
  <c r="CD23" i="2"/>
  <c r="CD31" i="2"/>
  <c r="CD108" i="2"/>
  <c r="CD6" i="2"/>
  <c r="CD53" i="2"/>
  <c r="CD159" i="2"/>
  <c r="CD57" i="2"/>
  <c r="CD66" i="2"/>
  <c r="CD126" i="2"/>
  <c r="CD169" i="2"/>
  <c r="CD3" i="2"/>
  <c r="C9" i="4" s="1"/>
  <c r="E9" i="4" s="1"/>
  <c r="F9" i="4" s="1"/>
  <c r="G9" i="4" s="1"/>
  <c r="L9" i="4" s="1"/>
  <c r="CD49" i="2"/>
  <c r="CD178" i="2"/>
  <c r="CD62" i="2"/>
  <c r="CD18" i="2"/>
  <c r="CD68" i="2"/>
  <c r="CD17" i="2"/>
  <c r="CD197" i="2"/>
  <c r="CD115" i="2"/>
  <c r="CD113" i="2"/>
  <c r="CD160" i="2"/>
  <c r="CD110" i="2"/>
  <c r="CD103" i="2"/>
  <c r="CD179" i="2"/>
  <c r="CD36" i="2"/>
  <c r="CD163" i="2"/>
  <c r="CD128" i="2"/>
  <c r="CD59" i="2"/>
  <c r="CD129" i="2"/>
  <c r="CD50" i="2"/>
  <c r="CD71" i="2"/>
  <c r="CD33" i="2"/>
  <c r="CD135" i="2"/>
  <c r="CD88" i="2"/>
  <c r="CD166" i="2"/>
  <c r="CD182" i="2"/>
  <c r="CD185" i="2"/>
  <c r="CD94" i="2"/>
  <c r="CD172" i="2"/>
  <c r="CD161" i="2"/>
  <c r="CD175" i="2"/>
  <c r="CD27" i="2"/>
  <c r="CD9" i="2"/>
  <c r="CD199" i="2"/>
  <c r="CD4" i="2"/>
  <c r="CD117" i="2"/>
  <c r="CD167" i="2"/>
  <c r="CD22" i="2"/>
  <c r="CD92" i="2"/>
  <c r="CD35" i="2"/>
  <c r="CD140" i="2"/>
  <c r="CD122" i="2"/>
  <c r="CD154" i="2"/>
  <c r="CD25" i="2"/>
  <c r="CD190" i="2"/>
  <c r="CD12" i="2"/>
  <c r="CD48" i="2"/>
  <c r="CD7" i="2"/>
  <c r="CD101" i="2"/>
  <c r="CD24" i="2"/>
  <c r="CD152" i="2"/>
  <c r="CD79" i="2"/>
  <c r="CD28" i="2"/>
  <c r="CD151" i="2"/>
  <c r="CD124" i="2"/>
  <c r="CD69" i="2"/>
  <c r="CD186" i="2"/>
  <c r="CD118" i="2"/>
  <c r="CD104" i="2"/>
  <c r="CD134" i="2"/>
  <c r="CD80" i="2"/>
  <c r="CD147" i="2"/>
  <c r="CD77" i="2"/>
  <c r="CD97" i="2"/>
  <c r="CD109" i="2"/>
  <c r="CD93" i="2"/>
  <c r="CD30" i="2"/>
  <c r="CD149" i="2"/>
  <c r="CD20" i="2"/>
  <c r="CD106" i="2"/>
  <c r="CD192" i="2"/>
  <c r="CD114" i="2"/>
  <c r="CD76" i="2"/>
  <c r="CD37" i="2"/>
  <c r="CD78" i="2"/>
  <c r="CD42" i="2"/>
  <c r="CD52" i="2"/>
  <c r="CD43" i="2"/>
  <c r="CD121" i="2"/>
  <c r="CD157" i="2"/>
  <c r="CD165" i="2"/>
  <c r="CD127" i="2"/>
  <c r="CD54" i="2"/>
  <c r="CD38" i="2"/>
  <c r="CD139" i="2"/>
  <c r="CD34" i="2"/>
  <c r="CD85" i="2"/>
  <c r="CD29" i="2"/>
  <c r="CD198" i="2"/>
  <c r="CD153" i="2"/>
  <c r="CD5" i="2"/>
  <c r="CD47" i="2"/>
  <c r="CD187" i="2"/>
  <c r="CD39" i="2"/>
  <c r="CD56" i="2"/>
  <c r="CD107" i="2"/>
  <c r="CD111" i="2"/>
  <c r="CD158" i="2"/>
  <c r="CD11" i="2"/>
  <c r="CD131" i="2"/>
  <c r="CD74" i="2"/>
  <c r="CD112" i="2"/>
  <c r="CD87" i="2"/>
  <c r="CD65" i="2"/>
  <c r="CD55" i="2"/>
  <c r="CD105" i="2"/>
  <c r="CD40" i="2"/>
  <c r="CD183" i="2"/>
  <c r="CD142" i="2"/>
  <c r="CD194" i="2"/>
  <c r="CD184" i="2"/>
  <c r="CD177" i="2"/>
  <c r="CD123" i="2"/>
  <c r="CD100" i="2"/>
  <c r="CD119" i="2"/>
  <c r="CD15" i="2"/>
  <c r="CD26" i="2"/>
  <c r="CD120" i="2"/>
  <c r="CD202" i="2"/>
  <c r="CD82" i="2"/>
  <c r="CD70" i="2"/>
  <c r="CD67" i="2"/>
  <c r="CD64" i="2"/>
  <c r="CD86" i="2"/>
  <c r="CD168" i="2"/>
  <c r="CD200" i="2"/>
  <c r="CD90" i="2"/>
  <c r="CD98" i="2"/>
  <c r="CD181" i="2"/>
  <c r="CD81" i="2"/>
  <c r="CD155" i="2"/>
  <c r="CD133" i="2"/>
  <c r="CD144" i="2"/>
  <c r="CD174" i="2"/>
  <c r="CD146" i="2"/>
  <c r="CD32" i="2"/>
  <c r="CD10" i="2"/>
  <c r="CD96" i="2"/>
  <c r="CD116" i="2"/>
  <c r="GE202" i="2"/>
  <c r="GE44" i="2"/>
  <c r="GE126" i="2"/>
  <c r="GE161" i="2"/>
  <c r="GE62" i="2"/>
  <c r="GE30" i="2"/>
  <c r="GE171" i="2"/>
  <c r="GE95" i="2"/>
  <c r="GE98" i="2"/>
  <c r="GE139" i="2"/>
  <c r="GE195" i="2"/>
  <c r="GE50" i="2"/>
  <c r="GE136" i="2"/>
  <c r="GE17" i="2"/>
  <c r="GE43" i="2"/>
  <c r="GE197" i="2"/>
  <c r="GE113" i="2"/>
  <c r="GE128" i="2"/>
  <c r="GE22" i="2"/>
  <c r="GE74" i="2"/>
  <c r="GE8" i="2"/>
  <c r="GE149" i="2"/>
  <c r="GE12" i="2"/>
  <c r="GE58" i="2"/>
  <c r="GE83" i="2"/>
  <c r="GE115" i="2"/>
  <c r="GE181" i="2"/>
  <c r="GE188" i="2"/>
  <c r="GE100" i="2"/>
  <c r="GE53" i="2"/>
  <c r="GE134" i="2"/>
  <c r="GE109" i="2"/>
  <c r="GE55" i="2"/>
  <c r="GE150" i="2"/>
  <c r="GE163" i="2"/>
  <c r="GE179" i="2"/>
  <c r="GE152" i="2"/>
  <c r="GE41" i="2"/>
  <c r="GE143" i="2"/>
  <c r="GE125" i="2"/>
  <c r="GE154" i="2"/>
  <c r="GE20" i="2"/>
  <c r="GE187" i="2"/>
  <c r="GE51" i="2"/>
  <c r="GE32" i="2"/>
  <c r="GE155" i="2"/>
  <c r="GE77" i="2"/>
  <c r="GE70" i="2"/>
  <c r="GE102" i="2"/>
  <c r="GE92" i="2"/>
  <c r="GE73" i="2"/>
  <c r="GE196" i="2"/>
  <c r="GE141" i="2"/>
  <c r="GE33" i="2"/>
  <c r="GE169" i="2"/>
  <c r="GE132" i="2"/>
  <c r="GE38" i="2"/>
  <c r="GE120" i="2"/>
  <c r="GE110" i="2"/>
  <c r="GE85" i="2"/>
  <c r="GE69" i="2"/>
  <c r="GE78" i="2"/>
  <c r="GE7" i="2"/>
  <c r="GE61" i="2"/>
  <c r="GE135" i="2"/>
  <c r="GE9" i="2"/>
  <c r="GE6" i="2"/>
  <c r="GE130" i="2"/>
  <c r="GE138" i="2"/>
  <c r="GE105" i="2"/>
  <c r="GE190" i="2"/>
  <c r="GE11" i="2"/>
  <c r="GE192" i="2"/>
  <c r="GE124" i="2"/>
  <c r="GE26" i="2"/>
  <c r="GE176" i="2"/>
  <c r="GE29" i="2"/>
  <c r="GE99" i="2"/>
  <c r="GE82" i="2"/>
  <c r="GE35" i="2"/>
  <c r="GE172" i="2"/>
  <c r="GE28" i="2"/>
  <c r="GE59" i="2"/>
  <c r="GE104" i="2"/>
  <c r="GE49" i="2"/>
  <c r="GE112" i="2"/>
  <c r="GE14" i="2"/>
  <c r="GE194" i="2"/>
  <c r="GE67" i="2"/>
  <c r="GE203" i="2"/>
  <c r="GE145" i="2"/>
  <c r="GE123" i="2"/>
  <c r="GE116" i="2"/>
  <c r="GE5" i="2"/>
  <c r="GE122" i="2"/>
  <c r="GE34" i="2"/>
  <c r="GE175" i="2"/>
  <c r="GE159" i="2"/>
  <c r="GE25" i="2"/>
  <c r="GE131" i="2"/>
  <c r="GE185" i="2"/>
  <c r="GE66" i="2"/>
  <c r="GE173" i="2"/>
  <c r="GE47" i="2"/>
  <c r="GE88" i="2"/>
  <c r="GE140" i="2"/>
  <c r="GE191" i="2"/>
  <c r="GE158" i="2"/>
  <c r="GE45" i="2"/>
  <c r="GE23" i="2"/>
  <c r="GE183" i="2"/>
  <c r="GE101" i="2"/>
  <c r="GE18" i="2"/>
  <c r="GE97" i="2"/>
  <c r="GE31" i="2"/>
  <c r="GE39" i="2"/>
  <c r="GE48" i="2"/>
  <c r="GE121" i="2"/>
  <c r="GE40" i="2"/>
  <c r="GE60" i="2"/>
  <c r="GE108" i="2"/>
  <c r="GE117" i="2"/>
  <c r="GE178" i="2"/>
  <c r="GE21" i="2"/>
  <c r="GE3" i="2"/>
  <c r="C14" i="4" s="1"/>
  <c r="E14" i="4" s="1"/>
  <c r="F14" i="4" s="1"/>
  <c r="G14" i="4" s="1"/>
  <c r="L14" i="4" s="1"/>
  <c r="GE52" i="2"/>
  <c r="GE10" i="2"/>
  <c r="GE201" i="2"/>
  <c r="GE57" i="2"/>
  <c r="GE46" i="2"/>
  <c r="GE76" i="2"/>
  <c r="GE56" i="2"/>
  <c r="GE168" i="2"/>
  <c r="GE36" i="2"/>
  <c r="GE142" i="2"/>
  <c r="GE144" i="2"/>
  <c r="GE63" i="2"/>
  <c r="GE114" i="2"/>
  <c r="GE27" i="2"/>
  <c r="GE164" i="2"/>
  <c r="GE15" i="2"/>
  <c r="GE64" i="2"/>
  <c r="GE68" i="2"/>
  <c r="GE89" i="2"/>
  <c r="GE199" i="2"/>
  <c r="GE180" i="2"/>
  <c r="GE200" i="2"/>
  <c r="GE153" i="2"/>
  <c r="GE42" i="2"/>
  <c r="GE54" i="2"/>
  <c r="GE186" i="2"/>
  <c r="GE79" i="2"/>
  <c r="GE182" i="2"/>
  <c r="GE157" i="2"/>
  <c r="GE72" i="2"/>
  <c r="GE166" i="2"/>
  <c r="GE162" i="2"/>
  <c r="GE84" i="2"/>
  <c r="GE16" i="2"/>
  <c r="GE19" i="2"/>
  <c r="GE184" i="2"/>
  <c r="GE165" i="2"/>
  <c r="GE146" i="2"/>
  <c r="GE90" i="2"/>
  <c r="GE87" i="2"/>
  <c r="GE148" i="2"/>
  <c r="GE147" i="2"/>
  <c r="GE65" i="2"/>
  <c r="GE75" i="2"/>
  <c r="GE156" i="2"/>
  <c r="GE80" i="2"/>
  <c r="GE174" i="2"/>
  <c r="GE193" i="2"/>
  <c r="GE94" i="2"/>
  <c r="GE111" i="2"/>
  <c r="GE13" i="2"/>
  <c r="GE198" i="2"/>
  <c r="GE177" i="2"/>
  <c r="GE107" i="2"/>
  <c r="GE119" i="2"/>
  <c r="GE4" i="2"/>
  <c r="GE106" i="2"/>
  <c r="GE86" i="2"/>
  <c r="GE93" i="2"/>
  <c r="GE96" i="2"/>
  <c r="GE189" i="2"/>
  <c r="GE24" i="2"/>
  <c r="GE118" i="2"/>
  <c r="GE160" i="2"/>
  <c r="GE127" i="2"/>
  <c r="GE81" i="2"/>
  <c r="GE71" i="2"/>
  <c r="GE129" i="2"/>
  <c r="GE91" i="2"/>
  <c r="GE137" i="2"/>
  <c r="GE103" i="2"/>
  <c r="GE151" i="2"/>
  <c r="GE170" i="2"/>
  <c r="GE37" i="2"/>
  <c r="GE133" i="2"/>
  <c r="GE167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<sst xmlns="http://schemas.openxmlformats.org/spreadsheetml/2006/main" count="1178" uniqueCount="325">
  <si>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</si>
  <si>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</si>
  <si>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</si>
  <si>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</si>
  <si>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</si>
  <si>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</si>
  <si>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</si>
  <si>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</si>
  <si>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</si>
  <si>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</si>
  <si>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</si>
  <si>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</si>
  <si>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</si>
  <si>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</si>
  <si>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</si>
  <si>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</si>
  <si>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</si>
  <si>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</si>
  <si>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</si>
  <si>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</si>
  <si>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</si>
  <si>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</si>
  <si>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</si>
  <si>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</si>
  <si>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</si>
  <si>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</si>
  <si>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</si>
  <si>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</si>
  <si>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</si>
  <si>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</si>
  <si>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</si>
  <si>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</si>
  <si>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</si>
  <si>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</si>
  <si>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</si>
  <si>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</si>
  <si>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</si>
  <si>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</si>
  <si>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</si>
  <si>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</si>
  <si>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</si>
  <si>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</si>
  <si>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</si>
  <si>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</si>
  <si>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</si>
  <si>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</si>
  <si>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</si>
  <si>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</si>
  <si>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</si>
  <si>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</si>
  <si>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</si>
  <si>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</si>
  <si>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</si>
  <si>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</si>
  <si>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</si>
  <si>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</si>
  <si>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</si>
  <si>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</si>
  <si>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</si>
  <si>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</si>
  <si>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</si>
  <si>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</si>
  <si>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</si>
  <si>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</si>
  <si>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</si>
  <si>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</si>
  <si>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</si>
  <si>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</si>
  <si>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</si>
  <si>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</si>
  <si>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</si>
  <si>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</si>
  <si>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</si>
  <si>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</si>
  <si>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</si>
  <si>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</si>
  <si>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</si>
  <si>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</si>
  <si>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</si>
  <si>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</si>
  <si>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</si>
  <si>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</si>
  <si>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</si>
  <si>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</si>
  <si>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</si>
  <si>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</si>
  <si>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</si>
  <si>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</si>
  <si>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</si>
  <si>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</si>
  <si>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</si>
  <si>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</si>
  <si>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</si>
  <si>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</si>
  <si>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</si>
  <si>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</si>
  <si>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</si>
  <si>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</si>
  <si>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</si>
  <si>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</si>
  <si>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</si>
  <si>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</si>
  <si>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</si>
  <si>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</si>
  <si>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</si>
  <si>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</si>
  <si>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</si>
  <si>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</si>
  <si>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</si>
  <si>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</si>
  <si>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</si>
  <si>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</si>
  <si>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</si>
  <si>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</si>
  <si>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</si>
  <si>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</si>
  <si>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</si>
  <si>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</si>
  <si>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</si>
  <si>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</si>
  <si>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</si>
  <si>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</si>
  <si>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</si>
  <si>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</si>
  <si>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</si>
  <si>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</si>
  <si>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</si>
  <si>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</si>
  <si>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</si>
  <si>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</si>
  <si>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</si>
  <si>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</si>
  <si>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</si>
  <si>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</si>
  <si>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</si>
  <si>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</si>
  <si>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</si>
  <si>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</si>
  <si>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</si>
  <si>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</si>
  <si>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</si>
  <si>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</si>
  <si>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</si>
  <si>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</si>
  <si>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</si>
  <si>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</si>
  <si>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</si>
  <si>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</si>
  <si>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</si>
  <si>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</si>
  <si>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</si>
  <si>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</si>
  <si>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</si>
  <si>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</si>
  <si>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</si>
  <si>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</si>
  <si>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</si>
  <si>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</si>
  <si>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</si>
  <si>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</si>
  <si>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</si>
  <si>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</si>
  <si>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</si>
  <si>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</si>
  <si>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</si>
  <si>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</si>
  <si>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</si>
  <si>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</si>
  <si>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</si>
  <si>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</si>
  <si>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</si>
  <si>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</si>
  <si>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</si>
  <si>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</si>
  <si>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</si>
  <si>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</si>
  <si>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</si>
  <si>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</si>
  <si>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</si>
  <si>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</si>
  <si>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</si>
  <si>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</si>
  <si>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</si>
  <si>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</si>
  <si>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</si>
  <si>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</si>
  <si>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</si>
  <si>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</si>
  <si>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</si>
  <si>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</si>
  <si>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</si>
  <si>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</si>
  <si>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</si>
  <si>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</si>
  <si>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</si>
  <si>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</si>
  <si>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</si>
  <si>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</si>
  <si>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</si>
  <si>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</si>
  <si>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</si>
  <si>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</si>
  <si>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</si>
  <si>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</si>
  <si>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</si>
  <si>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</si>
  <si>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</si>
  <si>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</si>
  <si>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</si>
  <si>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</si>
  <si>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</si>
  <si>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</si>
  <si>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</si>
  <si>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</si>
  <si>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</si>
  <si>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</si>
  <si>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</si>
  <si>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</si>
  <si>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</si>
  <si>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</si>
  <si>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</si>
  <si>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</si>
  <si>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</si>
  <si>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</si>
  <si>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</si>
  <si>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</si>
  <si>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</si>
  <si>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</si>
  <si>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</si>
  <si>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</si>
  <si>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</si>
  <si>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</si>
  <si>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</si>
  <si>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</si>
  <si>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</si>
  <si>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</si>
  <si>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</si>
  <si>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</si>
  <si>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</si>
  <si>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</si>
  <si>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</si>
  <si>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</si>
  <si>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</si>
  <si>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</si>
  <si>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</si>
  <si>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</si>
  <si>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</si>
  <si>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</si>
  <si>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</si>
  <si>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</si>
  <si>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</si>
  <si>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</si>
  <si>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</si>
  <si>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</si>
  <si>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</si>
  <si>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</si>
  <si>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</si>
  <si>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</si>
  <si>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</si>
  <si>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</si>
  <si>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</si>
  <si>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</si>
  <si>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</si>
  <si>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</si>
  <si>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</si>
  <si>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</si>
  <si>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</si>
  <si>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</si>
  <si>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</si>
  <si>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</si>
  <si>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</si>
  <si>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</si>
  <si>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</si>
  <si>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</si>
  <si>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</si>
  <si>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</si>
  <si>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</si>
  <si>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</si>
  <si>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</si>
  <si>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</si>
  <si>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</si>
  <si>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</si>
  <si>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</si>
  <si>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</si>
  <si>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</si>
  <si>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</si>
  <si>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</si>
  <si>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</si>
  <si>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</si>
  <si>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</si>
  <si>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</si>
  <si>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</si>
  <si>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</si>
  <si>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</si>
  <si>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</si>
  <si>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</si>
  <si>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</si>
  <si>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</si>
  <si>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</si>
  <si>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</si>
  <si>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</si>
  <si>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</si>
  <si>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</si>
  <si>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</si>
  <si>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</si>
  <si>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</si>
  <si>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</si>
  <si>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</si>
  <si>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</si>
  <si>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</si>
  <si>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</si>
  <si>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</si>
  <si>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</si>
  <si>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</si>
  <si>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</si>
  <si>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</si>
  <si>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</si>
  <si>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</si>
  <si>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</si>
  <si>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</si>
  <si>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</si>
  <si>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</si>
  <si>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</si>
  <si>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</si>
  <si>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Pin Maritime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</si>
</sst>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161.3963988836461</c:v>
                </c:pt>
                <c:pt idx="22">
                  <c:v>170.74399063136909</c:v>
                </c:pt>
                <c:pt idx="23">
                  <c:v>180.07953633511511</c:v>
                </c:pt>
                <c:pt idx="24">
                  <c:v>189.40374922883845</c:v>
                </c:pt>
                <c:pt idx="25">
                  <c:v>198.71726649156165</c:v>
                </c:pt>
                <c:pt idx="26">
                  <c:v>208.02066062067857</c:v>
                </c:pt>
                <c:pt idx="27">
                  <c:v>217.3144486608976</c:v>
                </c:pt>
                <c:pt idx="28">
                  <c:v>226.59909976948094</c:v>
                </c:pt>
                <c:pt idx="29">
                  <c:v>235.87504147501636</c:v>
                </c:pt>
                <c:pt idx="30">
                  <c:v>245.14266489892427</c:v>
                </c:pt>
                <c:pt idx="31">
                  <c:v>208.93025151398959</c:v>
                </c:pt>
                <c:pt idx="32">
                  <c:v>219.0307656524819</c:v>
                </c:pt>
                <c:pt idx="33">
                  <c:v>229.12058085809744</c:v>
                </c:pt>
                <c:pt idx="34">
                  <c:v>239.20023509293381</c:v>
                </c:pt>
                <c:pt idx="35">
                  <c:v>249.27021723566543</c:v>
                </c:pt>
                <c:pt idx="36">
                  <c:v>259.33097340507067</c:v>
                </c:pt>
                <c:pt idx="37">
                  <c:v>269.38291224993577</c:v>
                </c:pt>
                <c:pt idx="38">
                  <c:v>279.4264094073539</c:v>
                </c:pt>
                <c:pt idx="39">
                  <c:v>289.46181128597163</c:v>
                </c:pt>
                <c:pt idx="40">
                  <c:v>299.48943829674107</c:v>
                </c:pt>
                <c:pt idx="41">
                  <c:v>227.20431355624598</c:v>
                </c:pt>
                <c:pt idx="42">
                  <c:v>238.79723773455569</c:v>
                </c:pt>
                <c:pt idx="43">
                  <c:v>250.37734432120666</c:v>
                </c:pt>
                <c:pt idx="44">
                  <c:v>261.945310006184</c:v>
                </c:pt>
                <c:pt idx="45">
                  <c:v>273.50174679153514</c:v>
                </c:pt>
                <c:pt idx="46">
                  <c:v>285.04721070608576</c:v>
                </c:pt>
                <c:pt idx="47">
                  <c:v>296.58220903324576</c:v>
                </c:pt>
                <c:pt idx="48">
                  <c:v>308.10720635475906</c:v>
                </c:pt>
                <c:pt idx="49">
                  <c:v>319.62262964231485</c:v>
                </c:pt>
                <c:pt idx="50">
                  <c:v>331.12887257662896</c:v>
                </c:pt>
                <c:pt idx="51">
                  <c:v>261.04041434217822</c:v>
                </c:pt>
                <c:pt idx="52">
                  <c:v>274.60656174697795</c:v>
                </c:pt>
                <c:pt idx="53">
                  <c:v>288.15765529324972</c:v>
                </c:pt>
                <c:pt idx="54">
                  <c:v>301.69450278359409</c:v>
                </c:pt>
                <c:pt idx="55">
                  <c:v>315.21783358823507</c:v>
                </c:pt>
                <c:pt idx="56">
                  <c:v>328.72830936987799</c:v>
                </c:pt>
                <c:pt idx="57">
                  <c:v>342.2265329523762</c:v>
                </c:pt>
                <c:pt idx="58">
                  <c:v>355.71305571649367</c:v>
                </c:pt>
                <c:pt idx="59">
                  <c:v>369.18838381508658</c:v>
                </c:pt>
                <c:pt idx="60">
                  <c:v>382.65298343324525</c:v>
                </c:pt>
                <c:pt idx="61">
                  <c:v>314.81733022074968</c:v>
                </c:pt>
                <c:pt idx="62">
                  <c:v>330.32872765301551</c:v>
                </c:pt>
                <c:pt idx="63">
                  <c:v>345.82406144357361</c:v>
                </c:pt>
                <c:pt idx="64">
                  <c:v>361.30415262392557</c:v>
                </c:pt>
                <c:pt idx="65">
                  <c:v>376.76974613287081</c:v>
                </c:pt>
                <c:pt idx="66">
                  <c:v>392.22152076799466</c:v>
                </c:pt>
                <c:pt idx="67">
                  <c:v>407.66009748688685</c:v>
                </c:pt>
                <c:pt idx="68">
                  <c:v>423.08604638514606</c:v>
                </c:pt>
                <c:pt idx="69">
                  <c:v>438.49989260360843</c:v>
                </c:pt>
                <c:pt idx="70">
                  <c:v>453.90212136173136</c:v>
                </c:pt>
                <c:pt idx="71">
                  <c:v>387.83657804664409</c:v>
                </c:pt>
                <c:pt idx="72">
                  <c:v>404.77256638639187</c:v>
                </c:pt>
                <c:pt idx="73">
                  <c:v>421.69323961894656</c:v>
                </c:pt>
                <c:pt idx="74">
                  <c:v>438.59929855364607</c:v>
                </c:pt>
                <c:pt idx="75">
                  <c:v>455.49138558575515</c:v>
                </c:pt>
                <c:pt idx="76">
                  <c:v>472.37009159588234</c:v>
                </c:pt>
                <c:pt idx="77">
                  <c:v>489.23596181208933</c:v>
                </c:pt>
                <c:pt idx="78">
                  <c:v>506.08950082174573</c:v>
                </c:pt>
                <c:pt idx="79">
                  <c:v>522.93117688121504</c:v>
                </c:pt>
                <c:pt idx="80">
                  <c:v>539.76142564164627</c:v>
                </c:pt>
                <c:pt idx="81">
                  <c:v>474.45420688971325</c:v>
                </c:pt>
                <c:pt idx="82">
                  <c:v>491.8143485962089</c:v>
                </c:pt>
                <c:pt idx="83">
                  <c:v>509.16150115519235</c:v>
                </c:pt>
                <c:pt idx="84">
                  <c:v>526.49616916569187</c:v>
                </c:pt>
                <c:pt idx="85">
                  <c:v>543.81882130875795</c:v>
                </c:pt>
                <c:pt idx="86">
                  <c:v>561.12989399028811</c:v>
                </c:pt>
                <c:pt idx="87">
                  <c:v>578.42979451115264</c:v>
                </c:pt>
                <c:pt idx="88">
                  <c:v>595.7189038385352</c:v>
                </c:pt>
                <c:pt idx="89">
                  <c:v>612.99757903900297</c:v>
                </c:pt>
                <c:pt idx="90">
                  <c:v>630.26615542315449</c:v>
                </c:pt>
                <c:pt idx="91">
                  <c:v>566.1727153890298</c:v>
                </c:pt>
                <c:pt idx="92">
                  <c:v>584.45749051831808</c:v>
                </c:pt>
                <c:pt idx="93">
                  <c:v>602.73034768336277</c:v>
                </c:pt>
                <c:pt idx="94">
                  <c:v>620.99169878755254</c:v>
                </c:pt>
                <c:pt idx="95">
                  <c:v>639.24192955322633</c:v>
                </c:pt>
                <c:pt idx="96">
                  <c:v>657.48140190092874</c:v>
                </c:pt>
                <c:pt idx="97">
                  <c:v>675.71045605112249</c:v>
                </c:pt>
                <c:pt idx="98">
                  <c:v>693.92941238749461</c:v>
                </c:pt>
                <c:pt idx="99">
                  <c:v>712.13857311456889</c:v>
                </c:pt>
                <c:pt idx="100">
                  <c:v>730.33822373711973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2.349628490596567</c:v>
                </c:pt>
                <c:pt idx="2">
                  <c:v>2.9259256206466504</c:v>
                </c:pt>
                <c:pt idx="3">
                  <c:v>3.6441213224988154</c:v>
                </c:pt>
                <c:pt idx="4">
                  <c:v>4.5392821358126039</c:v>
                </c:pt>
                <c:pt idx="5">
                  <c:v>5.655169916466896</c:v>
                </c:pt>
                <c:pt idx="6">
                  <c:v>7.0464047911606214</c:v>
                </c:pt>
                <c:pt idx="7">
                  <c:v>8.7811677106875958</c:v>
                </c:pt>
                <c:pt idx="8">
                  <c:v>10.944577575687909</c:v>
                </c:pt>
                <c:pt idx="9">
                  <c:v>13.642911752567786</c:v>
                </c:pt>
                <c:pt idx="10">
                  <c:v>17.008881145982745</c:v>
                </c:pt>
                <c:pt idx="11">
                  <c:v>21.208223989256144</c:v>
                </c:pt>
                <c:pt idx="12">
                  <c:v>26.447948836985294</c:v>
                </c:pt>
                <c:pt idx="13">
                  <c:v>32.986640253138752</c:v>
                </c:pt>
                <c:pt idx="14">
                  <c:v>41.147344589078159</c:v>
                </c:pt>
                <c:pt idx="15">
                  <c:v>51.333683306965732</c:v>
                </c:pt>
                <c:pt idx="16">
                  <c:v>64.050004123192423</c:v>
                </c:pt>
                <c:pt idx="17">
                  <c:v>79.926584088955266</c:v>
                </c:pt>
                <c:pt idx="18">
                  <c:v>99.75115394475516</c:v>
                </c:pt>
                <c:pt idx="19">
                  <c:v>124.50833265340184</c:v>
                </c:pt>
                <c:pt idx="20">
                  <c:v>155.42896118281021</c:v>
                </c:pt>
                <c:pt idx="21">
                  <c:v>106.11321895292241</c:v>
                </c:pt>
                <c:pt idx="22">
                  <c:v>125.70235128325668</c:v>
                </c:pt>
                <c:pt idx="23">
                  <c:v>145.21730655264767</c:v>
                </c:pt>
                <c:pt idx="24">
                  <c:v>164.6694744129513</c:v>
                </c:pt>
                <c:pt idx="25">
                  <c:v>184.06732332114089</c:v>
                </c:pt>
                <c:pt idx="26">
                  <c:v>203.41738632243278</c:v>
                </c:pt>
                <c:pt idx="27">
                  <c:v>222.72484977014358</c:v>
                </c:pt>
                <c:pt idx="28">
                  <c:v>241.99392627286227</c:v>
                </c:pt>
                <c:pt idx="29">
                  <c:v>261.22810222114185</c:v>
                </c:pt>
                <c:pt idx="30">
                  <c:v>280.43030840202363</c:v>
                </c:pt>
                <c:pt idx="31">
                  <c:v>208.16889650289264</c:v>
                </c:pt>
                <c:pt idx="32">
                  <c:v>224.30567506188856</c:v>
                </c:pt>
                <c:pt idx="33">
                  <c:v>240.41585018926619</c:v>
                </c:pt>
                <c:pt idx="34">
                  <c:v>256.50145569815317</c:v>
                </c:pt>
                <c:pt idx="35">
                  <c:v>272.56424935870956</c:v>
                </c:pt>
                <c:pt idx="36">
                  <c:v>288.60576477216404</c:v>
                </c:pt>
                <c:pt idx="37">
                  <c:v>304.62735109477933</c:v>
                </c:pt>
                <c:pt idx="38">
                  <c:v>320.63020395999393</c:v>
                </c:pt>
                <c:pt idx="39">
                  <c:v>336.61538989990396</c:v>
                </c:pt>
                <c:pt idx="40">
                  <c:v>352.58386588275079</c:v>
                </c:pt>
                <c:pt idx="41">
                  <c:v>276.8125452574306</c:v>
                </c:pt>
                <c:pt idx="42">
                  <c:v>288.92010093948954</c:v>
                </c:pt>
                <c:pt idx="43">
                  <c:v>301.01631675201418</c:v>
                </c:pt>
                <c:pt idx="44">
                  <c:v>313.10171275693489</c:v>
                </c:pt>
                <c:pt idx="45">
                  <c:v>325.17676557494673</c:v>
                </c:pt>
                <c:pt idx="46">
                  <c:v>337.24191352703059</c:v>
                </c:pt>
                <c:pt idx="47">
                  <c:v>349.29756100142686</c:v>
                </c:pt>
                <c:pt idx="48">
                  <c:v>361.3440821859968</c:v>
                </c:pt>
                <c:pt idx="49">
                  <c:v>373.38182427670745</c:v>
                </c:pt>
                <c:pt idx="50">
                  <c:v>385.41111025063793</c:v>
                </c:pt>
                <c:pt idx="51">
                  <c:v>333.16904934303881</c:v>
                </c:pt>
                <c:pt idx="52">
                  <c:v>341.94002746741876</c:v>
                </c:pt>
                <c:pt idx="53">
                  <c:v>350.70606005556914</c:v>
                </c:pt>
                <c:pt idx="54">
                  <c:v>359.46728823872041</c:v>
                </c:pt>
                <c:pt idx="55">
                  <c:v>368.22384570264654</c:v>
                </c:pt>
                <c:pt idx="56">
                  <c:v>376.97585925203225</c:v>
                </c:pt>
                <c:pt idx="57">
                  <c:v>385.72344931967217</c:v>
                </c:pt>
                <c:pt idx="58">
                  <c:v>394.46673042704816</c:v>
                </c:pt>
                <c:pt idx="59">
                  <c:v>403.20581160192432</c:v>
                </c:pt>
                <c:pt idx="60">
                  <c:v>411.94079675783877</c:v>
                </c:pt>
                <c:pt idx="61">
                  <c:v>379.31939262997997</c:v>
                </c:pt>
                <c:pt idx="62">
                  <c:v>385.72344931967223</c:v>
                </c:pt>
                <c:pt idx="63">
                  <c:v>392.12519637753098</c:v>
                </c:pt>
                <c:pt idx="64">
                  <c:v>398.5246768628835</c:v>
                </c:pt>
                <c:pt idx="65">
                  <c:v>404.92193233814868</c:v>
                </c:pt>
                <c:pt idx="66">
                  <c:v>411.3170029442274</c:v>
                </c:pt>
                <c:pt idx="67">
                  <c:v>417.70992747095789</c:v>
                </c:pt>
                <c:pt idx="68">
                  <c:v>424.10074342303113</c:v>
                </c:pt>
                <c:pt idx="69">
                  <c:v>430.48948708172276</c:v>
                </c:pt>
                <c:pt idx="70">
                  <c:v>436.87619356276872</c:v>
                </c:pt>
                <c:pt idx="71">
                  <c:v>408.9775939369726</c:v>
                </c:pt>
                <c:pt idx="72">
                  <c:v>413.81205599750388</c:v>
                </c:pt>
                <c:pt idx="73">
                  <c:v>418.6452996581101</c:v>
                </c:pt>
                <c:pt idx="74">
                  <c:v>423.47734098430948</c:v>
                </c:pt>
                <c:pt idx="75">
                  <c:v>428.30819564471432</c:v>
                </c:pt>
                <c:pt idx="76">
                  <c:v>433.13787892530354</c:v>
                </c:pt>
                <c:pt idx="77">
                  <c:v>437.96640574302529</c:v>
                </c:pt>
                <c:pt idx="78">
                  <c:v>442.7937906587685</c:v>
                </c:pt>
                <c:pt idx="79">
                  <c:v>447.62004788973678</c:v>
                </c:pt>
                <c:pt idx="80">
                  <c:v>452.44519132126362</c:v>
                </c:pt>
                <c:pt idx="81">
                  <c:v>1.2800215959791691E-12</c:v>
                </c:pt>
                <c:pt idx="82">
                  <c:v>1.2800215959791691E-12</c:v>
                </c:pt>
                <c:pt idx="83">
                  <c:v>1.2800215959791691E-12</c:v>
                </c:pt>
                <c:pt idx="84">
                  <c:v>1.2800215959791691E-12</c:v>
                </c:pt>
                <c:pt idx="85">
                  <c:v>1.2800215959791691E-12</c:v>
                </c:pt>
                <c:pt idx="86">
                  <c:v>1.2800215959791691E-12</c:v>
                </c:pt>
                <c:pt idx="87">
                  <c:v>1.2800215959791691E-12</c:v>
                </c:pt>
                <c:pt idx="88">
                  <c:v>1.2800215959791691E-12</c:v>
                </c:pt>
                <c:pt idx="89">
                  <c:v>1.2800215959791691E-12</c:v>
                </c:pt>
                <c:pt idx="90">
                  <c:v>1.2800215959791691E-12</c:v>
                </c:pt>
                <c:pt idx="91">
                  <c:v>1.2800215959791691E-12</c:v>
                </c:pt>
                <c:pt idx="92">
                  <c:v>1.2800215959791691E-12</c:v>
                </c:pt>
                <c:pt idx="93">
                  <c:v>1.2800215959791691E-12</c:v>
                </c:pt>
                <c:pt idx="94">
                  <c:v>1.2800215959791691E-12</c:v>
                </c:pt>
                <c:pt idx="95">
                  <c:v>1.2800215959791691E-12</c:v>
                </c:pt>
                <c:pt idx="96">
                  <c:v>1.2800215959791691E-12</c:v>
                </c:pt>
                <c:pt idx="97">
                  <c:v>1.2800215959791691E-12</c:v>
                </c:pt>
                <c:pt idx="98">
                  <c:v>1.2800215959791691E-12</c:v>
                </c:pt>
                <c:pt idx="99">
                  <c:v>1.2800215959791691E-12</c:v>
                </c:pt>
                <c:pt idx="100">
                  <c:v>1.2800215959791691E-12</c:v>
                </c:pt>
                <c:pt idx="101">
                  <c:v>1.2800215959791691E-12</c:v>
                </c:pt>
                <c:pt idx="102">
                  <c:v>1.2800215959791691E-12</c:v>
                </c:pt>
                <c:pt idx="103">
                  <c:v>1.2800215959791691E-12</c:v>
                </c:pt>
                <c:pt idx="104">
                  <c:v>1.2800215959791691E-12</c:v>
                </c:pt>
                <c:pt idx="105">
                  <c:v>1.2800215959791691E-12</c:v>
                </c:pt>
                <c:pt idx="106">
                  <c:v>1.2800215959791691E-12</c:v>
                </c:pt>
                <c:pt idx="107">
                  <c:v>1.2800215959791691E-12</c:v>
                </c:pt>
                <c:pt idx="108">
                  <c:v>1.2800215959791691E-12</c:v>
                </c:pt>
                <c:pt idx="109">
                  <c:v>1.2800215959791691E-12</c:v>
                </c:pt>
                <c:pt idx="110">
                  <c:v>1.2800215959791691E-12</c:v>
                </c:pt>
                <c:pt idx="111">
                  <c:v>1.2800215959791691E-12</c:v>
                </c:pt>
                <c:pt idx="112">
                  <c:v>1.2800215959791691E-12</c:v>
                </c:pt>
                <c:pt idx="113">
                  <c:v>1.2800215959791691E-12</c:v>
                </c:pt>
                <c:pt idx="114">
                  <c:v>1.2800215959791691E-12</c:v>
                </c:pt>
                <c:pt idx="115">
                  <c:v>1.2800215959791691E-12</c:v>
                </c:pt>
                <c:pt idx="116">
                  <c:v>1.2800215959791691E-12</c:v>
                </c:pt>
                <c:pt idx="117">
                  <c:v>1.2800215959791691E-12</c:v>
                </c:pt>
                <c:pt idx="118">
                  <c:v>1.2800215959791691E-12</c:v>
                </c:pt>
                <c:pt idx="119">
                  <c:v>1.2800215959791691E-12</c:v>
                </c:pt>
                <c:pt idx="120">
                  <c:v>1.2800215959791691E-12</c:v>
                </c:pt>
                <c:pt idx="121">
                  <c:v>1.2800215959791691E-12</c:v>
                </c:pt>
                <c:pt idx="122">
                  <c:v>1.2800215959791691E-12</c:v>
                </c:pt>
                <c:pt idx="123">
                  <c:v>1.2800215959791691E-12</c:v>
                </c:pt>
                <c:pt idx="124">
                  <c:v>1.2800215959791691E-12</c:v>
                </c:pt>
                <c:pt idx="125">
                  <c:v>1.2800215959791691E-12</c:v>
                </c:pt>
                <c:pt idx="126">
                  <c:v>1.2800215959791691E-12</c:v>
                </c:pt>
                <c:pt idx="127">
                  <c:v>1.2800215959791691E-12</c:v>
                </c:pt>
                <c:pt idx="128">
                  <c:v>1.2800215959791691E-12</c:v>
                </c:pt>
                <c:pt idx="129">
                  <c:v>1.2800215959791691E-12</c:v>
                </c:pt>
                <c:pt idx="130">
                  <c:v>1.2800215959791691E-12</c:v>
                </c:pt>
                <c:pt idx="131">
                  <c:v>1.2800215959791691E-12</c:v>
                </c:pt>
                <c:pt idx="132">
                  <c:v>1.2800215959791691E-12</c:v>
                </c:pt>
                <c:pt idx="133">
                  <c:v>1.2800215959791691E-12</c:v>
                </c:pt>
                <c:pt idx="134">
                  <c:v>1.2800215959791691E-12</c:v>
                </c:pt>
                <c:pt idx="135">
                  <c:v>1.2800215959791691E-12</c:v>
                </c:pt>
                <c:pt idx="136">
                  <c:v>1.2800215959791691E-12</c:v>
                </c:pt>
                <c:pt idx="137">
                  <c:v>1.2800215959791691E-12</c:v>
                </c:pt>
                <c:pt idx="138">
                  <c:v>1.2800215959791691E-12</c:v>
                </c:pt>
                <c:pt idx="139">
                  <c:v>1.2800215959791691E-12</c:v>
                </c:pt>
                <c:pt idx="140">
                  <c:v>1.2800215959791691E-12</c:v>
                </c:pt>
                <c:pt idx="141">
                  <c:v>1.2800215959791691E-12</c:v>
                </c:pt>
                <c:pt idx="142">
                  <c:v>1.2800215959791691E-12</c:v>
                </c:pt>
                <c:pt idx="143">
                  <c:v>1.2800215959791691E-12</c:v>
                </c:pt>
                <c:pt idx="144">
                  <c:v>1.2800215959791691E-12</c:v>
                </c:pt>
                <c:pt idx="145">
                  <c:v>1.2800215959791691E-12</c:v>
                </c:pt>
                <c:pt idx="146">
                  <c:v>1.2800215959791691E-12</c:v>
                </c:pt>
                <c:pt idx="147">
                  <c:v>1.2800215959791691E-12</c:v>
                </c:pt>
                <c:pt idx="148">
                  <c:v>1.2800215959791691E-12</c:v>
                </c:pt>
                <c:pt idx="149">
                  <c:v>1.2800215959791691E-12</c:v>
                </c:pt>
                <c:pt idx="150">
                  <c:v>1.2800215959791691E-12</c:v>
                </c:pt>
                <c:pt idx="151">
                  <c:v>1.2800215959791691E-12</c:v>
                </c:pt>
                <c:pt idx="152">
                  <c:v>1.2800215959791691E-12</c:v>
                </c:pt>
                <c:pt idx="153">
                  <c:v>1.2800215959791691E-12</c:v>
                </c:pt>
                <c:pt idx="154">
                  <c:v>1.2800215959791691E-12</c:v>
                </c:pt>
                <c:pt idx="155">
                  <c:v>1.2800215959791691E-12</c:v>
                </c:pt>
                <c:pt idx="156">
                  <c:v>1.2800215959791691E-12</c:v>
                </c:pt>
                <c:pt idx="157">
                  <c:v>1.2800215959791691E-12</c:v>
                </c:pt>
                <c:pt idx="158">
                  <c:v>1.2800215959791691E-12</c:v>
                </c:pt>
                <c:pt idx="159">
                  <c:v>1.2800215959791691E-12</c:v>
                </c:pt>
                <c:pt idx="160">
                  <c:v>1.2800215959791691E-12</c:v>
                </c:pt>
                <c:pt idx="161">
                  <c:v>1.2800215959791691E-12</c:v>
                </c:pt>
                <c:pt idx="162">
                  <c:v>1.2800215959791691E-12</c:v>
                </c:pt>
                <c:pt idx="163">
                  <c:v>1.2800215959791691E-12</c:v>
                </c:pt>
                <c:pt idx="164">
                  <c:v>1.2800215959791691E-12</c:v>
                </c:pt>
                <c:pt idx="165">
                  <c:v>1.2800215959791691E-12</c:v>
                </c:pt>
                <c:pt idx="166">
                  <c:v>1.2800215959791691E-12</c:v>
                </c:pt>
                <c:pt idx="167">
                  <c:v>1.2800215959791691E-12</c:v>
                </c:pt>
                <c:pt idx="168">
                  <c:v>1.2800215959791691E-12</c:v>
                </c:pt>
                <c:pt idx="169">
                  <c:v>1.2800215959791691E-12</c:v>
                </c:pt>
                <c:pt idx="170">
                  <c:v>1.2800215959791691E-12</c:v>
                </c:pt>
                <c:pt idx="171">
                  <c:v>1.2800215959791691E-12</c:v>
                </c:pt>
                <c:pt idx="172">
                  <c:v>1.2800215959791691E-12</c:v>
                </c:pt>
                <c:pt idx="173">
                  <c:v>1.2800215959791691E-12</c:v>
                </c:pt>
                <c:pt idx="174">
                  <c:v>1.2800215959791691E-12</c:v>
                </c:pt>
                <c:pt idx="175">
                  <c:v>1.2800215959791691E-12</c:v>
                </c:pt>
                <c:pt idx="176">
                  <c:v>1.2800215959791691E-12</c:v>
                </c:pt>
                <c:pt idx="177">
                  <c:v>1.2800215959791691E-12</c:v>
                </c:pt>
                <c:pt idx="178">
                  <c:v>1.2800215959791691E-12</c:v>
                </c:pt>
                <c:pt idx="179">
                  <c:v>1.2800215959791691E-12</c:v>
                </c:pt>
                <c:pt idx="180">
                  <c:v>1.2800215959791691E-12</c:v>
                </c:pt>
                <c:pt idx="181">
                  <c:v>1.2800215959791691E-12</c:v>
                </c:pt>
                <c:pt idx="182">
                  <c:v>1.2800215959791691E-12</c:v>
                </c:pt>
                <c:pt idx="183">
                  <c:v>1.2800215959791691E-12</c:v>
                </c:pt>
                <c:pt idx="184">
                  <c:v>1.2800215959791691E-12</c:v>
                </c:pt>
                <c:pt idx="185">
                  <c:v>1.2800215959791691E-12</c:v>
                </c:pt>
                <c:pt idx="186">
                  <c:v>1.2800215959791691E-12</c:v>
                </c:pt>
                <c:pt idx="187">
                  <c:v>1.2800215959791691E-12</c:v>
                </c:pt>
                <c:pt idx="188">
                  <c:v>1.2800215959791691E-12</c:v>
                </c:pt>
                <c:pt idx="189">
                  <c:v>1.2800215959791691E-12</c:v>
                </c:pt>
                <c:pt idx="190">
                  <c:v>1.2800215959791691E-12</c:v>
                </c:pt>
                <c:pt idx="191">
                  <c:v>1.2800215959791691E-12</c:v>
                </c:pt>
                <c:pt idx="192">
                  <c:v>1.2800215959791691E-12</c:v>
                </c:pt>
                <c:pt idx="193">
                  <c:v>1.2800215959791691E-12</c:v>
                </c:pt>
                <c:pt idx="194">
                  <c:v>1.2800215959791691E-12</c:v>
                </c:pt>
                <c:pt idx="195">
                  <c:v>1.2800215959791691E-12</c:v>
                </c:pt>
                <c:pt idx="196">
                  <c:v>1.2800215959791691E-12</c:v>
                </c:pt>
                <c:pt idx="197">
                  <c:v>1.2800215959791691E-12</c:v>
                </c:pt>
                <c:pt idx="198">
                  <c:v>1.2800215959791691E-12</c:v>
                </c:pt>
                <c:pt idx="199">
                  <c:v>1.2800215959791691E-12</c:v>
                </c:pt>
                <c:pt idx="200">
                  <c:v>1.2800215959791691E-12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2.7667457724882265</c:v>
                </c:pt>
                <c:pt idx="2">
                  <c:v>3.4273103829294222</c:v>
                </c:pt>
                <c:pt idx="3">
                  <c:v>4.2461904757975057</c:v>
                </c:pt>
                <c:pt idx="4">
                  <c:v>5.2614656590703985</c:v>
                </c:pt>
                <c:pt idx="5">
                  <c:v>6.5204055753568015</c:v>
                </c:pt>
                <c:pt idx="6">
                  <c:v>8.0816946973177455</c:v>
                </c:pt>
                <c:pt idx="7">
                  <c:v>10.01819726031853</c:v>
                </c:pt>
                <c:pt idx="8">
                  <c:v>12.420393810612943</c:v>
                </c:pt>
                <c:pt idx="9">
                  <c:v>15.400652927654653</c:v>
                </c:pt>
                <c:pt idx="10">
                  <c:v>19.098541603824817</c:v>
                </c:pt>
                <c:pt idx="11">
                  <c:v>23.687427455842222</c:v>
                </c:pt>
                <c:pt idx="12">
                  <c:v>29.382687792952961</c:v>
                </c:pt>
                <c:pt idx="13">
                  <c:v>36.451917558883956</c:v>
                </c:pt>
                <c:pt idx="14">
                  <c:v>45.227624010817003</c:v>
                </c:pt>
                <c:pt idx="15">
                  <c:v>56.123015324812968</c:v>
                </c:pt>
                <c:pt idx="16">
                  <c:v>69.65163888530607</c:v>
                </c:pt>
                <c:pt idx="17">
                  <c:v>86.451810004903066</c:v>
                </c:pt>
                <c:pt idx="18">
                  <c:v>107.31700217306884</c:v>
                </c:pt>
                <c:pt idx="19">
                  <c:v>133.2336567910811</c:v>
                </c:pt>
                <c:pt idx="20">
                  <c:v>165.4282275996666</c:v>
                </c:pt>
                <c:pt idx="21">
                  <c:v>118.78325444868756</c:v>
                </c:pt>
                <c:pt idx="22">
                  <c:v>133.10251486626555</c:v>
                </c:pt>
                <c:pt idx="23">
                  <c:v>147.38460262580921</c:v>
                </c:pt>
                <c:pt idx="24">
                  <c:v>161.63363069725611</c:v>
                </c:pt>
                <c:pt idx="25">
                  <c:v>175.8529261289714</c:v>
                </c:pt>
                <c:pt idx="26">
                  <c:v>190.04523308883151</c:v>
                </c:pt>
                <c:pt idx="27">
                  <c:v>204.21285186367888</c:v>
                </c:pt>
                <c:pt idx="28">
                  <c:v>218.35773715529604</c:v>
                </c:pt>
                <c:pt idx="29">
                  <c:v>232.48156951334605</c:v>
                </c:pt>
                <c:pt idx="30">
                  <c:v>246.5858084671363</c:v>
                </c:pt>
                <c:pt idx="31">
                  <c:v>170.1685890387551</c:v>
                </c:pt>
                <c:pt idx="32">
                  <c:v>182.47921226336265</c:v>
                </c:pt>
                <c:pt idx="33">
                  <c:v>194.77041295233741</c:v>
                </c:pt>
                <c:pt idx="34">
                  <c:v>207.04359025710687</c:v>
                </c:pt>
                <c:pt idx="35">
                  <c:v>219.29996373360495</c:v>
                </c:pt>
                <c:pt idx="36">
                  <c:v>231.54060536306486</c:v>
                </c:pt>
                <c:pt idx="37">
                  <c:v>243.76646443655656</c:v>
                </c:pt>
                <c:pt idx="38">
                  <c:v>255.97838717928335</c:v>
                </c:pt>
                <c:pt idx="39">
                  <c:v>268.17713242968824</c:v>
                </c:pt>
                <c:pt idx="40">
                  <c:v>280.36338431358689</c:v>
                </c:pt>
                <c:pt idx="41">
                  <c:v>207.42095417122448</c:v>
                </c:pt>
                <c:pt idx="42">
                  <c:v>217.22694181678969</c:v>
                </c:pt>
                <c:pt idx="43">
                  <c:v>227.0227533017385</c:v>
                </c:pt>
                <c:pt idx="44">
                  <c:v>236.80889001154426</c:v>
                </c:pt>
                <c:pt idx="45">
                  <c:v>246.5858084671363</c:v>
                </c:pt>
                <c:pt idx="46">
                  <c:v>256.35392599796734</c:v>
                </c:pt>
                <c:pt idx="47">
                  <c:v>266.11362550427407</c:v>
                </c:pt>
                <c:pt idx="48">
                  <c:v>275.86525948349646</c:v>
                </c:pt>
                <c:pt idx="49">
                  <c:v>285.60915345709321</c:v>
                </c:pt>
                <c:pt idx="50">
                  <c:v>295.34560890488154</c:v>
                </c:pt>
                <c:pt idx="51">
                  <c:v>231.72880517375211</c:v>
                </c:pt>
                <c:pt idx="52">
                  <c:v>239.44202608060959</c:v>
                </c:pt>
                <c:pt idx="53">
                  <c:v>247.14958911426493</c:v>
                </c:pt>
                <c:pt idx="54">
                  <c:v>254.85169582008771</c:v>
                </c:pt>
                <c:pt idx="55">
                  <c:v>262.5485345519366</c:v>
                </c:pt>
                <c:pt idx="56">
                  <c:v>270.24028170556272</c:v>
                </c:pt>
                <c:pt idx="57">
                  <c:v>277.92710280410398</c:v>
                </c:pt>
                <c:pt idx="58">
                  <c:v>285.6091534570931</c:v>
                </c:pt>
                <c:pt idx="59">
                  <c:v>293.28658021079622</c:v>
                </c:pt>
                <c:pt idx="60">
                  <c:v>300.95952130477957</c:v>
                </c:pt>
                <c:pt idx="61">
                  <c:v>250.53166229692593</c:v>
                </c:pt>
                <c:pt idx="62">
                  <c:v>256.35392599796717</c:v>
                </c:pt>
                <c:pt idx="63">
                  <c:v>262.17319851710943</c:v>
                </c:pt>
                <c:pt idx="64">
                  <c:v>267.98955571724832</c:v>
                </c:pt>
                <c:pt idx="65">
                  <c:v>273.80306989453686</c:v>
                </c:pt>
                <c:pt idx="66">
                  <c:v>279.61381001996511</c:v>
                </c:pt>
                <c:pt idx="67">
                  <c:v>285.42184195978405</c:v>
                </c:pt>
                <c:pt idx="68">
                  <c:v>291.22722867703129</c:v>
                </c:pt>
                <c:pt idx="69">
                  <c:v>297.03003041612789</c:v>
                </c:pt>
                <c:pt idx="70">
                  <c:v>302.83030487228251</c:v>
                </c:pt>
                <c:pt idx="71">
                  <c:v>262.36086804994255</c:v>
                </c:pt>
                <c:pt idx="72">
                  <c:v>266.86403323913885</c:v>
                </c:pt>
                <c:pt idx="73">
                  <c:v>271.36548622996116</c:v>
                </c:pt>
                <c:pt idx="74">
                  <c:v>275.86525948349623</c:v>
                </c:pt>
                <c:pt idx="75">
                  <c:v>280.36338431358672</c:v>
                </c:pt>
                <c:pt idx="76">
                  <c:v>284.85989094555748</c:v>
                </c:pt>
                <c:pt idx="77">
                  <c:v>289.35480857103511</c:v>
                </c:pt>
                <c:pt idx="78">
                  <c:v>293.84816539917762</c:v>
                </c:pt>
                <c:pt idx="79">
                  <c:v>298.33998870460414</c:v>
                </c:pt>
                <c:pt idx="80">
                  <c:v>302.83030487228262</c:v>
                </c:pt>
                <c:pt idx="81">
                  <c:v>272.67809219613218</c:v>
                </c:pt>
                <c:pt idx="82">
                  <c:v>276.24016575603599</c:v>
                </c:pt>
                <c:pt idx="83">
                  <c:v>279.80120781473676</c:v>
                </c:pt>
                <c:pt idx="84">
                  <c:v>283.36123337871345</c:v>
                </c:pt>
                <c:pt idx="85">
                  <c:v>286.92025704588679</c:v>
                </c:pt>
                <c:pt idx="86">
                  <c:v>290.47829302179059</c:v>
                </c:pt>
                <c:pt idx="87">
                  <c:v>294.03535513490738</c:v>
                </c:pt>
                <c:pt idx="88">
                  <c:v>297.59145685122377</c:v>
                </c:pt>
                <c:pt idx="89">
                  <c:v>301.14661128805142</c:v>
                </c:pt>
                <c:pt idx="90">
                  <c:v>304.70083122716062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98.711655844836244</c:v>
                </c:pt>
                <c:pt idx="22">
                  <c:v>111.22512582797835</c:v>
                </c:pt>
                <c:pt idx="23">
                  <c:v>123.70402111473783</c:v>
                </c:pt>
                <c:pt idx="24">
                  <c:v>136.15232577620694</c:v>
                </c:pt>
                <c:pt idx="25">
                  <c:v>148.57323391466869</c:v>
                </c:pt>
                <c:pt idx="26">
                  <c:v>160.96936079546251</c:v>
                </c:pt>
                <c:pt idx="27">
                  <c:v>173.342885263987</c:v>
                </c:pt>
                <c:pt idx="28">
                  <c:v>185.69564922944687</c:v>
                </c:pt>
                <c:pt idx="29">
                  <c:v>198.02922921541202</c:v>
                </c:pt>
                <c:pt idx="30">
                  <c:v>210.34498910896289</c:v>
                </c:pt>
                <c:pt idx="31">
                  <c:v>169.61345228889294</c:v>
                </c:pt>
                <c:pt idx="32">
                  <c:v>185.69564922944687</c:v>
                </c:pt>
                <c:pt idx="33">
                  <c:v>201.74532528316695</c:v>
                </c:pt>
                <c:pt idx="34">
                  <c:v>217.76543262779288</c:v>
                </c:pt>
                <c:pt idx="35">
                  <c:v>233.75845318467347</c:v>
                </c:pt>
                <c:pt idx="36">
                  <c:v>249.72650127853672</c:v>
                </c:pt>
                <c:pt idx="37">
                  <c:v>265.67139861401193</c:v>
                </c:pt>
                <c:pt idx="38">
                  <c:v>281.5947302821483</c:v>
                </c:pt>
                <c:pt idx="39">
                  <c:v>297.49788742006405</c:v>
                </c:pt>
                <c:pt idx="40">
                  <c:v>313.38210026249618</c:v>
                </c:pt>
                <c:pt idx="41">
                  <c:v>247.97507238738748</c:v>
                </c:pt>
                <c:pt idx="42">
                  <c:v>264.11677214797504</c:v>
                </c:pt>
                <c:pt idx="43">
                  <c:v>280.23622755830667</c:v>
                </c:pt>
                <c:pt idx="44">
                  <c:v>296.33489822464168</c:v>
                </c:pt>
                <c:pt idx="45">
                  <c:v>312.41407218540223</c:v>
                </c:pt>
                <c:pt idx="46">
                  <c:v>328.47489405645246</c:v>
                </c:pt>
                <c:pt idx="47">
                  <c:v>344.51838738035781</c:v>
                </c:pt>
                <c:pt idx="48">
                  <c:v>360.54547259299108</c:v>
                </c:pt>
                <c:pt idx="49">
                  <c:v>376.55698162745358</c:v>
                </c:pt>
                <c:pt idx="50">
                  <c:v>392.55366990377729</c:v>
                </c:pt>
                <c:pt idx="51">
                  <c:v>326.54079262774445</c:v>
                </c:pt>
                <c:pt idx="52">
                  <c:v>341.62020115511154</c:v>
                </c:pt>
                <c:pt idx="53">
                  <c:v>356.68497890922026</c:v>
                </c:pt>
                <c:pt idx="54">
                  <c:v>371.73583079258918</c:v>
                </c:pt>
                <c:pt idx="55">
                  <c:v>386.77339997206718</c:v>
                </c:pt>
                <c:pt idx="56">
                  <c:v>401.79827552592519</c:v>
                </c:pt>
                <c:pt idx="57">
                  <c:v>416.81099888731995</c:v>
                </c:pt>
                <c:pt idx="58">
                  <c:v>431.81206931097466</c:v>
                </c:pt>
                <c:pt idx="59">
                  <c:v>446.80194854062023</c:v>
                </c:pt>
                <c:pt idx="60">
                  <c:v>461.78106481747767</c:v>
                </c:pt>
                <c:pt idx="61">
                  <c:v>394.48001486506865</c:v>
                </c:pt>
                <c:pt idx="62">
                  <c:v>407.95878231757462</c:v>
                </c:pt>
                <c:pt idx="63">
                  <c:v>421.42793186976132</c:v>
                </c:pt>
                <c:pt idx="64">
                  <c:v>434.88781420496679</c:v>
                </c:pt>
                <c:pt idx="65">
                  <c:v>448.33875652973529</c:v>
                </c:pt>
                <c:pt idx="66">
                  <c:v>461.78106481747767</c:v>
                </c:pt>
                <c:pt idx="67">
                  <c:v>475.2150257772908</c:v>
                </c:pt>
                <c:pt idx="68">
                  <c:v>488.64090858857736</c:v>
                </c:pt>
                <c:pt idx="69">
                  <c:v>502.0589664351258</c:v>
                </c:pt>
                <c:pt idx="70">
                  <c:v>515.46943786668055</c:v>
                </c:pt>
                <c:pt idx="71">
                  <c:v>446.6098395921727</c:v>
                </c:pt>
                <c:pt idx="72">
                  <c:v>458.32527966923953</c:v>
                </c:pt>
                <c:pt idx="73">
                  <c:v>470.03432649602973</c:v>
                </c:pt>
                <c:pt idx="74">
                  <c:v>481.7371617829092</c:v>
                </c:pt>
                <c:pt idx="75">
                  <c:v>493.43395769164982</c:v>
                </c:pt>
                <c:pt idx="76">
                  <c:v>505.12487755644264</c:v>
                </c:pt>
                <c:pt idx="77">
                  <c:v>516.81007653469237</c:v>
                </c:pt>
                <c:pt idx="78">
                  <c:v>528.48970219589739</c:v>
                </c:pt>
                <c:pt idx="79">
                  <c:v>540.16389505577172</c:v>
                </c:pt>
                <c:pt idx="80">
                  <c:v>551.83278906179783</c:v>
                </c:pt>
                <c:pt idx="81">
                  <c:v>482.12075813367898</c:v>
                </c:pt>
                <c:pt idx="82">
                  <c:v>492.85884412246696</c:v>
                </c:pt>
                <c:pt idx="83">
                  <c:v>503.59197136026728</c:v>
                </c:pt>
                <c:pt idx="84">
                  <c:v>514.32026043494284</c:v>
                </c:pt>
                <c:pt idx="85">
                  <c:v>525.04382649327442</c:v>
                </c:pt>
                <c:pt idx="86">
                  <c:v>535.76277959494962</c:v>
                </c:pt>
                <c:pt idx="87">
                  <c:v>546.47722503675448</c:v>
                </c:pt>
                <c:pt idx="88">
                  <c:v>557.18726365001623</c:v>
                </c:pt>
                <c:pt idx="89">
                  <c:v>567.89299207399495</c:v>
                </c:pt>
                <c:pt idx="90">
                  <c:v>578.59450300758874</c:v>
                </c:pt>
                <c:pt idx="91">
                  <c:v>507.61564043595746</c:v>
                </c:pt>
                <c:pt idx="92">
                  <c:v>517.00159034875685</c:v>
                </c:pt>
                <c:pt idx="93">
                  <c:v>526.38394569812317</c:v>
                </c:pt>
                <c:pt idx="94">
                  <c:v>535.76277959494962</c:v>
                </c:pt>
                <c:pt idx="95">
                  <c:v>545.13816238142374</c:v>
                </c:pt>
                <c:pt idx="96">
                  <c:v>554.51016178271334</c:v>
                </c:pt>
                <c:pt idx="97">
                  <c:v>563.87884304786633</c:v>
                </c:pt>
                <c:pt idx="98">
                  <c:v>573.24426908085661</c:v>
                </c:pt>
                <c:pt idx="99">
                  <c:v>582.60650056262477</c:v>
                </c:pt>
                <c:pt idx="100">
                  <c:v>591.96559606486528</c:v>
                </c:pt>
                <c:pt idx="101">
                  <c:v>520.06560820994321</c:v>
                </c:pt>
                <c:pt idx="102">
                  <c:v>528.48970219589739</c:v>
                </c:pt>
                <c:pt idx="103">
                  <c:v>536.91096968482714</c:v>
                </c:pt>
                <c:pt idx="104">
                  <c:v>545.32946126917022</c:v>
                </c:pt>
                <c:pt idx="105">
                  <c:v>553.74522585166358</c:v>
                </c:pt>
                <c:pt idx="106">
                  <c:v>562.15831072715355</c:v>
                </c:pt>
                <c:pt idx="107">
                  <c:v>570.56876165925394</c:v>
                </c:pt>
                <c:pt idx="108">
                  <c:v>578.97662295224825</c:v>
                </c:pt>
                <c:pt idx="109">
                  <c:v>587.38193751859933</c:v>
                </c:pt>
                <c:pt idx="110">
                  <c:v>595.7847469423931</c:v>
                </c:pt>
                <c:pt idx="111">
                  <c:v>528.29827709857148</c:v>
                </c:pt>
                <c:pt idx="112">
                  <c:v>535.38003807305324</c:v>
                </c:pt>
                <c:pt idx="113">
                  <c:v>542.45982974284027</c:v>
                </c:pt>
                <c:pt idx="114">
                  <c:v>549.53768144295748</c:v>
                </c:pt>
                <c:pt idx="115">
                  <c:v>556.61362169091831</c:v>
                </c:pt>
                <c:pt idx="116">
                  <c:v>563.68767821983886</c:v>
                </c:pt>
                <c:pt idx="117">
                  <c:v>570.75987800979954</c:v>
                </c:pt>
                <c:pt idx="118">
                  <c:v>577.83024731757359</c:v>
                </c:pt>
                <c:pt idx="119">
                  <c:v>584.89881170482352</c:v>
                </c:pt>
                <c:pt idx="120">
                  <c:v>591.96559606486471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1.8462109889683529</c:v>
                </c:pt>
                <c:pt idx="2">
                  <c:v>2.3451489488503281</c:v>
                </c:pt>
                <c:pt idx="3">
                  <c:v>2.9794649120615269</c:v>
                </c:pt>
                <c:pt idx="4">
                  <c:v>3.786029750845104</c:v>
                </c:pt>
                <c:pt idx="5">
                  <c:v>4.8117916429562113</c:v>
                </c:pt>
                <c:pt idx="6">
                  <c:v>6.1165393222775526</c:v>
                </c:pt>
                <c:pt idx="7">
                  <c:v>7.776425305000866</c:v>
                </c:pt>
                <c:pt idx="8">
                  <c:v>9.8884586824205432</c:v>
                </c:pt>
                <c:pt idx="9">
                  <c:v>12.576235018664383</c:v>
                </c:pt>
                <c:pt idx="10">
                  <c:v>15.997244896491198</c:v>
                </c:pt>
                <c:pt idx="11">
                  <c:v>35.11946593524749</c:v>
                </c:pt>
                <c:pt idx="12">
                  <c:v>53.941533317200332</c:v>
                </c:pt>
                <c:pt idx="13">
                  <c:v>72.587839462606041</c:v>
                </c:pt>
                <c:pt idx="14">
                  <c:v>91.110686124684605</c:v>
                </c:pt>
                <c:pt idx="15">
                  <c:v>109.53891756394221</c:v>
                </c:pt>
                <c:pt idx="16">
                  <c:v>127.89076379214985</c:v>
                </c:pt>
                <c:pt idx="17">
                  <c:v>146.17875680898462</c:v>
                </c:pt>
                <c:pt idx="18">
                  <c:v>164.41202153837858</c:v>
                </c:pt>
                <c:pt idx="19">
                  <c:v>182.59748696177417</c:v>
                </c:pt>
                <c:pt idx="20">
                  <c:v>200.74058596732007</c:v>
                </c:pt>
                <c:pt idx="21">
                  <c:v>151.28925619778201</c:v>
                </c:pt>
                <c:pt idx="22">
                  <c:v>178.23702366279221</c:v>
                </c:pt>
                <c:pt idx="23">
                  <c:v>205.08912920241869</c:v>
                </c:pt>
                <c:pt idx="24">
                  <c:v>231.85987083514172</c:v>
                </c:pt>
                <c:pt idx="25">
                  <c:v>258.55996582862002</c:v>
                </c:pt>
                <c:pt idx="26">
                  <c:v>285.19773351607643</c:v>
                </c:pt>
                <c:pt idx="27">
                  <c:v>311.77981081702814</c:v>
                </c:pt>
                <c:pt idx="28">
                  <c:v>338.31161007994922</c:v>
                </c:pt>
                <c:pt idx="29">
                  <c:v>364.79762541449355</c:v>
                </c:pt>
                <c:pt idx="30">
                  <c:v>391.24164524422287</c:v>
                </c:pt>
                <c:pt idx="31">
                  <c:v>283.75933157442824</c:v>
                </c:pt>
                <c:pt idx="32">
                  <c:v>310.10500044645295</c:v>
                </c:pt>
                <c:pt idx="33">
                  <c:v>336.40098850741833</c:v>
                </c:pt>
                <c:pt idx="34">
                  <c:v>362.6517220826974</c:v>
                </c:pt>
                <c:pt idx="35">
                  <c:v>388.86093454636375</c:v>
                </c:pt>
                <c:pt idx="36">
                  <c:v>415.03181517088063</c:v>
                </c:pt>
                <c:pt idx="37">
                  <c:v>441.16711844087371</c:v>
                </c:pt>
                <c:pt idx="38">
                  <c:v>467.26924609904478</c:v>
                </c:pt>
                <c:pt idx="39">
                  <c:v>493.34030989948968</c:v>
                </c:pt>
                <c:pt idx="40">
                  <c:v>519.3821804047584</c:v>
                </c:pt>
                <c:pt idx="41">
                  <c:v>409.3249286811602</c:v>
                </c:pt>
                <c:pt idx="42">
                  <c:v>432.14242504303388</c:v>
                </c:pt>
                <c:pt idx="43">
                  <c:v>454.93405296728002</c:v>
                </c:pt>
                <c:pt idx="44">
                  <c:v>477.701289583191</c:v>
                </c:pt>
                <c:pt idx="45">
                  <c:v>500.44545984540667</c:v>
                </c:pt>
                <c:pt idx="46">
                  <c:v>523.16775855438141</c:v>
                </c:pt>
                <c:pt idx="47">
                  <c:v>545.86926835341148</c:v>
                </c:pt>
                <c:pt idx="48">
                  <c:v>568.55097457736008</c:v>
                </c:pt>
                <c:pt idx="49">
                  <c:v>591.21377760988844</c:v>
                </c:pt>
                <c:pt idx="50">
                  <c:v>613.85850324857017</c:v>
                </c:pt>
                <c:pt idx="51">
                  <c:v>505.41779238953194</c:v>
                </c:pt>
                <c:pt idx="52">
                  <c:v>524.58720128194273</c:v>
                </c:pt>
                <c:pt idx="53">
                  <c:v>543.74185767351298</c:v>
                </c:pt>
                <c:pt idx="54">
                  <c:v>562.88235401865029</c:v>
                </c:pt>
                <c:pt idx="55">
                  <c:v>582.00923922497111</c:v>
                </c:pt>
                <c:pt idx="56">
                  <c:v>601.12302320907963</c:v>
                </c:pt>
                <c:pt idx="57">
                  <c:v>620.22418084313767</c:v>
                </c:pt>
                <c:pt idx="58">
                  <c:v>639.31315539031277</c:v>
                </c:pt>
                <c:pt idx="59">
                  <c:v>658.39036150888137</c:v>
                </c:pt>
                <c:pt idx="60">
                  <c:v>677.45618789031789</c:v>
                </c:pt>
                <c:pt idx="61">
                  <c:v>595.46101689050818</c:v>
                </c:pt>
                <c:pt idx="62">
                  <c:v>611.26468734168623</c:v>
                </c:pt>
                <c:pt idx="63">
                  <c:v>627.05988300825231</c:v>
                </c:pt>
                <c:pt idx="64">
                  <c:v>642.84684729505659</c:v>
                </c:pt>
                <c:pt idx="65">
                  <c:v>658.62581068526822</c:v>
                </c:pt>
                <c:pt idx="66">
                  <c:v>674.39699172585108</c:v>
                </c:pt>
                <c:pt idx="67">
                  <c:v>690.16059791612599</c:v>
                </c:pt>
                <c:pt idx="68">
                  <c:v>705.91682651099427</c:v>
                </c:pt>
                <c:pt idx="69">
                  <c:v>721.66586524877459</c:v>
                </c:pt>
                <c:pt idx="70">
                  <c:v>737.40789301225266</c:v>
                </c:pt>
                <c:pt idx="71">
                  <c:v>670.86679558240803</c:v>
                </c:pt>
                <c:pt idx="72">
                  <c:v>683.10319046019015</c:v>
                </c:pt>
                <c:pt idx="73">
                  <c:v>695.33508908742158</c:v>
                </c:pt>
                <c:pt idx="74">
                  <c:v>707.56258166653413</c:v>
                </c:pt>
                <c:pt idx="75">
                  <c:v>719.78575502980368</c:v>
                </c:pt>
                <c:pt idx="76">
                  <c:v>732.00469282155143</c:v>
                </c:pt>
                <c:pt idx="77">
                  <c:v>744.21947566755978</c:v>
                </c:pt>
                <c:pt idx="78">
                  <c:v>756.4301813327919</c:v>
                </c:pt>
                <c:pt idx="79">
                  <c:v>768.63688486840704</c:v>
                </c:pt>
                <c:pt idx="80">
                  <c:v>780.83965874895682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2.0328177627816819</c:v>
                </c:pt>
                <c:pt idx="2">
                  <c:v>2.5577257227440273</c:v>
                </c:pt>
                <c:pt idx="3">
                  <c:v>3.2187094631022588</c:v>
                </c:pt>
                <c:pt idx="4">
                  <c:v>4.0511760336466702</c:v>
                </c:pt>
                <c:pt idx="5">
                  <c:v>5.0997774008014733</c:v>
                </c:pt>
                <c:pt idx="6">
                  <c:v>6.4208320962061336</c:v>
                </c:pt>
                <c:pt idx="7">
                  <c:v>8.0853830808869755</c:v>
                </c:pt>
                <c:pt idx="8">
                  <c:v>10.183059425174006</c:v>
                </c:pt>
                <c:pt idx="9">
                  <c:v>12.826953665044144</c:v>
                </c:pt>
                <c:pt idx="10">
                  <c:v>16.159782670778661</c:v>
                </c:pt>
                <c:pt idx="11">
                  <c:v>20.361670660565185</c:v>
                </c:pt>
                <c:pt idx="12">
                  <c:v>25.659982542276879</c:v>
                </c:pt>
                <c:pt idx="13">
                  <c:v>32.341749048589733</c:v>
                </c:pt>
                <c:pt idx="14">
                  <c:v>40.76936844468792</c:v>
                </c:pt>
                <c:pt idx="15">
                  <c:v>51.400450910649454</c:v>
                </c:pt>
                <c:pt idx="16">
                  <c:v>64.812901130910859</c:v>
                </c:pt>
                <c:pt idx="17">
                  <c:v>81.736624947223348</c:v>
                </c:pt>
                <c:pt idx="18">
                  <c:v>103.09361333926567</c:v>
                </c:pt>
                <c:pt idx="19">
                  <c:v>130.04862198979387</c:v>
                </c:pt>
                <c:pt idx="20">
                  <c:v>164.07325323089393</c:v>
                </c:pt>
                <c:pt idx="21">
                  <c:v>132.69393085556803</c:v>
                </c:pt>
                <c:pt idx="22">
                  <c:v>151.59473555620181</c:v>
                </c:pt>
                <c:pt idx="23">
                  <c:v>170.4393719593314</c:v>
                </c:pt>
                <c:pt idx="24">
                  <c:v>189.2349292745572</c:v>
                </c:pt>
                <c:pt idx="25">
                  <c:v>207.9869703071802</c:v>
                </c:pt>
                <c:pt idx="26">
                  <c:v>226.69997130248001</c:v>
                </c:pt>
                <c:pt idx="27">
                  <c:v>245.37760837408052</c:v>
                </c:pt>
                <c:pt idx="28">
                  <c:v>264.0229518894086</c:v>
                </c:pt>
                <c:pt idx="29">
                  <c:v>282.63860294103654</c:v>
                </c:pt>
                <c:pt idx="30">
                  <c:v>301.22679191692964</c:v>
                </c:pt>
                <c:pt idx="31">
                  <c:v>225.22041883707629</c:v>
                </c:pt>
                <c:pt idx="32">
                  <c:v>243.09508307999488</c:v>
                </c:pt>
                <c:pt idx="33">
                  <c:v>260.9398660103613</c:v>
                </c:pt>
                <c:pt idx="34">
                  <c:v>278.7570984695862</c:v>
                </c:pt>
                <c:pt idx="35">
                  <c:v>296.54878892259609</c:v>
                </c:pt>
                <c:pt idx="36">
                  <c:v>314.31668512200895</c:v>
                </c:pt>
                <c:pt idx="37">
                  <c:v>332.06232108561727</c:v>
                </c:pt>
                <c:pt idx="38">
                  <c:v>349.78705349902822</c:v>
                </c:pt>
                <c:pt idx="39">
                  <c:v>367.49209034996051</c:v>
                </c:pt>
                <c:pt idx="40">
                  <c:v>385.1785137538775</c:v>
                </c:pt>
                <c:pt idx="41">
                  <c:v>306.57110217476543</c:v>
                </c:pt>
                <c:pt idx="42">
                  <c:v>321.25740024962471</c:v>
                </c:pt>
                <c:pt idx="43">
                  <c:v>335.92885047360363</c:v>
                </c:pt>
                <c:pt idx="44">
                  <c:v>350.58619263421946</c:v>
                </c:pt>
                <c:pt idx="45">
                  <c:v>365.23009960908388</c:v>
                </c:pt>
                <c:pt idx="46">
                  <c:v>379.86118591400549</c:v>
                </c:pt>
                <c:pt idx="47">
                  <c:v>394.48001486506854</c:v>
                </c:pt>
                <c:pt idx="48">
                  <c:v>409.08710462349342</c:v>
                </c:pt>
                <c:pt idx="49">
                  <c:v>423.68293333202706</c:v>
                </c:pt>
                <c:pt idx="50">
                  <c:v>438.26794350661703</c:v>
                </c:pt>
                <c:pt idx="51">
                  <c:v>370.28589478268333</c:v>
                </c:pt>
                <c:pt idx="52">
                  <c:v>381.98831004710291</c:v>
                </c:pt>
                <c:pt idx="53">
                  <c:v>393.68293140308919</c:v>
                </c:pt>
                <c:pt idx="54">
                  <c:v>405.37002304691276</c:v>
                </c:pt>
                <c:pt idx="55">
                  <c:v>417.04983269531681</c:v>
                </c:pt>
                <c:pt idx="56">
                  <c:v>428.72259305599874</c:v>
                </c:pt>
                <c:pt idx="57">
                  <c:v>440.38852312957806</c:v>
                </c:pt>
                <c:pt idx="58">
                  <c:v>452.04782936640748</c:v>
                </c:pt>
                <c:pt idx="59">
                  <c:v>463.70070669781438</c:v>
                </c:pt>
                <c:pt idx="60">
                  <c:v>475.34733945827901</c:v>
                </c:pt>
                <c:pt idx="61">
                  <c:v>422.09119450330462</c:v>
                </c:pt>
                <c:pt idx="62">
                  <c:v>431.10935477142363</c:v>
                </c:pt>
                <c:pt idx="63">
                  <c:v>440.12346267465938</c:v>
                </c:pt>
                <c:pt idx="64">
                  <c:v>449.13361294375437</c:v>
                </c:pt>
                <c:pt idx="65">
                  <c:v>458.13989619719604</c:v>
                </c:pt>
                <c:pt idx="66">
                  <c:v>467.14239919881032</c:v>
                </c:pt>
                <c:pt idx="67">
                  <c:v>476.14120509446002</c:v>
                </c:pt>
                <c:pt idx="68">
                  <c:v>485.13639362991461</c:v>
                </c:pt>
                <c:pt idx="69">
                  <c:v>494.12804135171729</c:v>
                </c:pt>
                <c:pt idx="70">
                  <c:v>503.11622179266897</c:v>
                </c:pt>
                <c:pt idx="71">
                  <c:v>462.24444221453541</c:v>
                </c:pt>
                <c:pt idx="72">
                  <c:v>468.99539408994292</c:v>
                </c:pt>
                <c:pt idx="73">
                  <c:v>475.74427579982193</c:v>
                </c:pt>
                <c:pt idx="74">
                  <c:v>482.49112087009553</c:v>
                </c:pt>
                <c:pt idx="75">
                  <c:v>489.23596181209018</c:v>
                </c:pt>
                <c:pt idx="76">
                  <c:v>495.97883016711211</c:v>
                </c:pt>
                <c:pt idx="77">
                  <c:v>502.71975654847284</c:v>
                </c:pt>
                <c:pt idx="78">
                  <c:v>509.45877068114413</c:v>
                </c:pt>
                <c:pt idx="79">
                  <c:v>516.19590143920186</c:v>
                </c:pt>
                <c:pt idx="80">
                  <c:v>522.93117688121595</c:v>
                </c:pt>
                <c:pt idx="81">
                  <c:v>9.3922404915174053E-12</c:v>
                </c:pt>
                <c:pt idx="82">
                  <c:v>9.3922404915174053E-12</c:v>
                </c:pt>
                <c:pt idx="83">
                  <c:v>9.3922404915174053E-12</c:v>
                </c:pt>
                <c:pt idx="84">
                  <c:v>9.3922404915174053E-12</c:v>
                </c:pt>
                <c:pt idx="85">
                  <c:v>9.3922404915174053E-12</c:v>
                </c:pt>
                <c:pt idx="86">
                  <c:v>9.3922404915174053E-12</c:v>
                </c:pt>
                <c:pt idx="87">
                  <c:v>9.3922404915174053E-12</c:v>
                </c:pt>
                <c:pt idx="88">
                  <c:v>9.3922404915174053E-12</c:v>
                </c:pt>
                <c:pt idx="89">
                  <c:v>9.3922404915174053E-12</c:v>
                </c:pt>
                <c:pt idx="90">
                  <c:v>9.3922404915174053E-12</c:v>
                </c:pt>
                <c:pt idx="91">
                  <c:v>9.3922404915174053E-12</c:v>
                </c:pt>
                <c:pt idx="92">
                  <c:v>9.3922404915174053E-12</c:v>
                </c:pt>
                <c:pt idx="93">
                  <c:v>9.3922404915174053E-12</c:v>
                </c:pt>
                <c:pt idx="94">
                  <c:v>9.3922404915174053E-12</c:v>
                </c:pt>
                <c:pt idx="95">
                  <c:v>9.3922404915174053E-12</c:v>
                </c:pt>
                <c:pt idx="96">
                  <c:v>9.3922404915174053E-12</c:v>
                </c:pt>
                <c:pt idx="97">
                  <c:v>9.3922404915174053E-12</c:v>
                </c:pt>
                <c:pt idx="98">
                  <c:v>9.3922404915174053E-12</c:v>
                </c:pt>
                <c:pt idx="99">
                  <c:v>9.3922404915174053E-12</c:v>
                </c:pt>
                <c:pt idx="100">
                  <c:v>9.3922404915174053E-12</c:v>
                </c:pt>
                <c:pt idx="101">
                  <c:v>9.3922404915174053E-12</c:v>
                </c:pt>
                <c:pt idx="102">
                  <c:v>9.3922404915174053E-12</c:v>
                </c:pt>
                <c:pt idx="103">
                  <c:v>9.3922404915174053E-12</c:v>
                </c:pt>
                <c:pt idx="104">
                  <c:v>9.3922404915174053E-12</c:v>
                </c:pt>
                <c:pt idx="105">
                  <c:v>9.3922404915174053E-12</c:v>
                </c:pt>
                <c:pt idx="106">
                  <c:v>9.3922404915174053E-12</c:v>
                </c:pt>
                <c:pt idx="107">
                  <c:v>9.3922404915174053E-12</c:v>
                </c:pt>
                <c:pt idx="108">
                  <c:v>9.3922404915174053E-12</c:v>
                </c:pt>
                <c:pt idx="109">
                  <c:v>9.3922404915174053E-12</c:v>
                </c:pt>
                <c:pt idx="110">
                  <c:v>9.3922404915174053E-12</c:v>
                </c:pt>
                <c:pt idx="111">
                  <c:v>9.3922404915174053E-12</c:v>
                </c:pt>
                <c:pt idx="112">
                  <c:v>9.3922404915174053E-12</c:v>
                </c:pt>
                <c:pt idx="113">
                  <c:v>9.3922404915174053E-12</c:v>
                </c:pt>
                <c:pt idx="114">
                  <c:v>9.3922404915174053E-12</c:v>
                </c:pt>
                <c:pt idx="115">
                  <c:v>9.3922404915174053E-12</c:v>
                </c:pt>
                <c:pt idx="116">
                  <c:v>9.3922404915174053E-12</c:v>
                </c:pt>
                <c:pt idx="117">
                  <c:v>9.3922404915174053E-12</c:v>
                </c:pt>
                <c:pt idx="118">
                  <c:v>9.3922404915174053E-12</c:v>
                </c:pt>
                <c:pt idx="119">
                  <c:v>9.3922404915174053E-12</c:v>
                </c:pt>
                <c:pt idx="120">
                  <c:v>9.3922404915174053E-12</c:v>
                </c:pt>
                <c:pt idx="121">
                  <c:v>9.3922404915174053E-12</c:v>
                </c:pt>
                <c:pt idx="122">
                  <c:v>9.3922404915174053E-12</c:v>
                </c:pt>
                <c:pt idx="123">
                  <c:v>9.3922404915174053E-12</c:v>
                </c:pt>
                <c:pt idx="124">
                  <c:v>9.3922404915174053E-12</c:v>
                </c:pt>
                <c:pt idx="125">
                  <c:v>9.3922404915174053E-12</c:v>
                </c:pt>
                <c:pt idx="126">
                  <c:v>9.3922404915174053E-12</c:v>
                </c:pt>
                <c:pt idx="127">
                  <c:v>9.3922404915174053E-12</c:v>
                </c:pt>
                <c:pt idx="128">
                  <c:v>9.3922404915174053E-12</c:v>
                </c:pt>
                <c:pt idx="129">
                  <c:v>9.3922404915174053E-12</c:v>
                </c:pt>
                <c:pt idx="130">
                  <c:v>9.3922404915174053E-12</c:v>
                </c:pt>
                <c:pt idx="131">
                  <c:v>9.3922404915174053E-12</c:v>
                </c:pt>
                <c:pt idx="132">
                  <c:v>9.3922404915174053E-12</c:v>
                </c:pt>
                <c:pt idx="133">
                  <c:v>9.3922404915174053E-12</c:v>
                </c:pt>
                <c:pt idx="134">
                  <c:v>9.3922404915174053E-12</c:v>
                </c:pt>
                <c:pt idx="135">
                  <c:v>9.3922404915174053E-12</c:v>
                </c:pt>
                <c:pt idx="136">
                  <c:v>9.3922404915174053E-12</c:v>
                </c:pt>
                <c:pt idx="137">
                  <c:v>9.3922404915174053E-12</c:v>
                </c:pt>
                <c:pt idx="138">
                  <c:v>9.3922404915174053E-12</c:v>
                </c:pt>
                <c:pt idx="139">
                  <c:v>9.3922404915174053E-12</c:v>
                </c:pt>
                <c:pt idx="140">
                  <c:v>9.3922404915174053E-12</c:v>
                </c:pt>
                <c:pt idx="141">
                  <c:v>9.3922404915174053E-12</c:v>
                </c:pt>
                <c:pt idx="142">
                  <c:v>9.3922404915174053E-12</c:v>
                </c:pt>
                <c:pt idx="143">
                  <c:v>9.3922404915174053E-12</c:v>
                </c:pt>
                <c:pt idx="144">
                  <c:v>9.3922404915174053E-12</c:v>
                </c:pt>
                <c:pt idx="145">
                  <c:v>9.3922404915174053E-12</c:v>
                </c:pt>
                <c:pt idx="146">
                  <c:v>9.3922404915174053E-12</c:v>
                </c:pt>
                <c:pt idx="147">
                  <c:v>9.3922404915174053E-12</c:v>
                </c:pt>
                <c:pt idx="148">
                  <c:v>9.3922404915174053E-12</c:v>
                </c:pt>
                <c:pt idx="149">
                  <c:v>9.3922404915174053E-12</c:v>
                </c:pt>
                <c:pt idx="150">
                  <c:v>9.3922404915174053E-12</c:v>
                </c:pt>
                <c:pt idx="151">
                  <c:v>9.3922404915174053E-12</c:v>
                </c:pt>
                <c:pt idx="152">
                  <c:v>9.3922404915174053E-12</c:v>
                </c:pt>
                <c:pt idx="153">
                  <c:v>9.3922404915174053E-12</c:v>
                </c:pt>
                <c:pt idx="154">
                  <c:v>9.3922404915174053E-12</c:v>
                </c:pt>
                <c:pt idx="155">
                  <c:v>9.3922404915174053E-12</c:v>
                </c:pt>
                <c:pt idx="156">
                  <c:v>9.3922404915174053E-12</c:v>
                </c:pt>
                <c:pt idx="157">
                  <c:v>9.3922404915174053E-12</c:v>
                </c:pt>
                <c:pt idx="158">
                  <c:v>9.3922404915174053E-12</c:v>
                </c:pt>
                <c:pt idx="159">
                  <c:v>9.3922404915174053E-12</c:v>
                </c:pt>
                <c:pt idx="160">
                  <c:v>9.3922404915174053E-12</c:v>
                </c:pt>
                <c:pt idx="161">
                  <c:v>9.3922404915174053E-12</c:v>
                </c:pt>
                <c:pt idx="162">
                  <c:v>9.3922404915174053E-12</c:v>
                </c:pt>
                <c:pt idx="163">
                  <c:v>9.3922404915174053E-12</c:v>
                </c:pt>
                <c:pt idx="164">
                  <c:v>9.3922404915174053E-12</c:v>
                </c:pt>
                <c:pt idx="165">
                  <c:v>9.3922404915174053E-12</c:v>
                </c:pt>
                <c:pt idx="166">
                  <c:v>9.3922404915174053E-12</c:v>
                </c:pt>
                <c:pt idx="167">
                  <c:v>9.3922404915174053E-12</c:v>
                </c:pt>
                <c:pt idx="168">
                  <c:v>9.3922404915174053E-12</c:v>
                </c:pt>
                <c:pt idx="169">
                  <c:v>9.3922404915174053E-12</c:v>
                </c:pt>
                <c:pt idx="170">
                  <c:v>9.3922404915174053E-12</c:v>
                </c:pt>
                <c:pt idx="171">
                  <c:v>9.3922404915174053E-12</c:v>
                </c:pt>
                <c:pt idx="172">
                  <c:v>9.3922404915174053E-12</c:v>
                </c:pt>
                <c:pt idx="173">
                  <c:v>9.3922404915174053E-12</c:v>
                </c:pt>
                <c:pt idx="174">
                  <c:v>9.3922404915174053E-12</c:v>
                </c:pt>
                <c:pt idx="175">
                  <c:v>9.3922404915174053E-12</c:v>
                </c:pt>
                <c:pt idx="176">
                  <c:v>9.3922404915174053E-12</c:v>
                </c:pt>
                <c:pt idx="177">
                  <c:v>9.3922404915174053E-12</c:v>
                </c:pt>
                <c:pt idx="178">
                  <c:v>9.3922404915174053E-12</c:v>
                </c:pt>
                <c:pt idx="179">
                  <c:v>9.3922404915174053E-12</c:v>
                </c:pt>
                <c:pt idx="180">
                  <c:v>9.3922404915174053E-12</c:v>
                </c:pt>
                <c:pt idx="181">
                  <c:v>9.3922404915174053E-12</c:v>
                </c:pt>
                <c:pt idx="182">
                  <c:v>9.3922404915174053E-12</c:v>
                </c:pt>
                <c:pt idx="183">
                  <c:v>9.3922404915174053E-12</c:v>
                </c:pt>
                <c:pt idx="184">
                  <c:v>9.3922404915174053E-12</c:v>
                </c:pt>
                <c:pt idx="185">
                  <c:v>9.3922404915174053E-12</c:v>
                </c:pt>
                <c:pt idx="186">
                  <c:v>9.3922404915174053E-12</c:v>
                </c:pt>
                <c:pt idx="187">
                  <c:v>9.3922404915174053E-12</c:v>
                </c:pt>
                <c:pt idx="188">
                  <c:v>9.3922404915174053E-12</c:v>
                </c:pt>
                <c:pt idx="189">
                  <c:v>9.3922404915174053E-12</c:v>
                </c:pt>
                <c:pt idx="190">
                  <c:v>9.3922404915174053E-12</c:v>
                </c:pt>
                <c:pt idx="191">
                  <c:v>9.3922404915174053E-12</c:v>
                </c:pt>
                <c:pt idx="192">
                  <c:v>9.3922404915174053E-12</c:v>
                </c:pt>
                <c:pt idx="193">
                  <c:v>9.3922404915174053E-12</c:v>
                </c:pt>
                <c:pt idx="194">
                  <c:v>9.3922404915174053E-12</c:v>
                </c:pt>
                <c:pt idx="195">
                  <c:v>9.3922404915174053E-12</c:v>
                </c:pt>
                <c:pt idx="196">
                  <c:v>9.3922404915174053E-12</c:v>
                </c:pt>
                <c:pt idx="197">
                  <c:v>9.3922404915174053E-12</c:v>
                </c:pt>
                <c:pt idx="198">
                  <c:v>9.3922404915174053E-12</c:v>
                </c:pt>
                <c:pt idx="199">
                  <c:v>9.3922404915174053E-12</c:v>
                </c:pt>
                <c:pt idx="200">
                  <c:v>9.3922404915174053E-12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1.9269808993010022</c:v>
                </c:pt>
                <c:pt idx="2">
                  <c:v>2.3943193448539568</c:v>
                </c:pt>
                <c:pt idx="3">
                  <c:v>2.9754424279740825</c:v>
                </c:pt>
                <c:pt idx="4">
                  <c:v>3.6981558707830531</c:v>
                </c:pt>
                <c:pt idx="5">
                  <c:v>4.59708373101288</c:v>
                </c:pt>
                <c:pt idx="6">
                  <c:v>5.7153456942709857</c:v>
                </c:pt>
                <c:pt idx="7">
                  <c:v>7.1066481919139983</c:v>
                </c:pt>
                <c:pt idx="8">
                  <c:v>8.8378917204428529</c:v>
                </c:pt>
                <c:pt idx="9">
                  <c:v>10.992422127393413</c:v>
                </c:pt>
                <c:pt idx="10">
                  <c:v>13.674085328275192</c:v>
                </c:pt>
                <c:pt idx="11">
                  <c:v>17.012284500866695</c:v>
                </c:pt>
                <c:pt idx="12">
                  <c:v>21.168288230909493</c:v>
                </c:pt>
                <c:pt idx="13">
                  <c:v>26.343099810894525</c:v>
                </c:pt>
                <c:pt idx="14">
                  <c:v>32.787274987810981</c:v>
                </c:pt>
                <c:pt idx="15">
                  <c:v>40.81317174890625</c:v>
                </c:pt>
                <c:pt idx="16">
                  <c:v>50.810236016593741</c:v>
                </c:pt>
                <c:pt idx="17">
                  <c:v>63.264077381527663</c:v>
                </c:pt>
                <c:pt idx="18">
                  <c:v>78.780276719955808</c:v>
                </c:pt>
                <c:pt idx="19">
                  <c:v>98.114102072330027</c:v>
                </c:pt>
                <c:pt idx="20">
                  <c:v>122.20760219903367</c:v>
                </c:pt>
                <c:pt idx="21">
                  <c:v>135.26977619819337</c:v>
                </c:pt>
                <c:pt idx="22">
                  <c:v>152.20565029747607</c:v>
                </c:pt>
                <c:pt idx="23">
                  <c:v>169.09664015835338</c:v>
                </c:pt>
                <c:pt idx="24">
                  <c:v>185.9478634358592</c:v>
                </c:pt>
                <c:pt idx="25">
                  <c:v>202.76343275622813</c:v>
                </c:pt>
                <c:pt idx="26">
                  <c:v>219.54672196983498</c:v>
                </c:pt>
                <c:pt idx="27">
                  <c:v>236.30054645178791</c:v>
                </c:pt>
                <c:pt idx="28">
                  <c:v>253.02728945651543</c:v>
                </c:pt>
                <c:pt idx="29">
                  <c:v>269.72899324208106</c:v>
                </c:pt>
                <c:pt idx="30">
                  <c:v>286.40742640610694</c:v>
                </c:pt>
                <c:pt idx="31">
                  <c:v>213.99871582167268</c:v>
                </c:pt>
                <c:pt idx="32">
                  <c:v>231.66383182460808</c:v>
                </c:pt>
                <c:pt idx="33">
                  <c:v>249.29817636143676</c:v>
                </c:pt>
                <c:pt idx="34">
                  <c:v>266.90423231001677</c:v>
                </c:pt>
                <c:pt idx="35">
                  <c:v>284.48412810707845</c:v>
                </c:pt>
                <c:pt idx="36">
                  <c:v>302.03970758948918</c:v>
                </c:pt>
                <c:pt idx="37">
                  <c:v>319.57258272913612</c:v>
                </c:pt>
                <c:pt idx="38">
                  <c:v>337.08417417914399</c:v>
                </c:pt>
                <c:pt idx="39">
                  <c:v>354.57574294829556</c:v>
                </c:pt>
                <c:pt idx="40">
                  <c:v>372.04841549557983</c:v>
                </c:pt>
                <c:pt idx="41">
                  <c:v>298.96596087242057</c:v>
                </c:pt>
                <c:pt idx="42">
                  <c:v>315.35133220295853</c:v>
                </c:pt>
                <c:pt idx="43">
                  <c:v>331.71784088337864</c:v>
                </c:pt>
                <c:pt idx="44">
                  <c:v>348.06654843397018</c:v>
                </c:pt>
                <c:pt idx="45">
                  <c:v>364.39840852244924</c:v>
                </c:pt>
                <c:pt idx="46">
                  <c:v>380.71428236559865</c:v>
                </c:pt>
                <c:pt idx="47">
                  <c:v>397.01495135221603</c:v>
                </c:pt>
                <c:pt idx="48">
                  <c:v>413.30112748447704</c:v>
                </c:pt>
                <c:pt idx="49">
                  <c:v>429.57346208757502</c:v>
                </c:pt>
                <c:pt idx="50">
                  <c:v>445.83255313087483</c:v>
                </c:pt>
                <c:pt idx="51">
                  <c:v>371.2835704357048</c:v>
                </c:pt>
                <c:pt idx="52">
                  <c:v>385.80984000660828</c:v>
                </c:pt>
                <c:pt idx="53">
                  <c:v>400.32423184951267</c:v>
                </c:pt>
                <c:pt idx="54">
                  <c:v>414.82723721388476</c:v>
                </c:pt>
                <c:pt idx="55">
                  <c:v>429.31931020102019</c:v>
                </c:pt>
                <c:pt idx="56">
                  <c:v>443.80087175854425</c:v>
                </c:pt>
                <c:pt idx="57">
                  <c:v>458.27231312639037</c:v>
                </c:pt>
                <c:pt idx="58">
                  <c:v>472.73399882486751</c:v>
                </c:pt>
                <c:pt idx="59">
                  <c:v>487.1862692580944</c:v>
                </c:pt>
                <c:pt idx="60">
                  <c:v>501.62944299248062</c:v>
                </c:pt>
                <c:pt idx="61">
                  <c:v>441.00698422491922</c:v>
                </c:pt>
                <c:pt idx="62">
                  <c:v>452.68801995257218</c:v>
                </c:pt>
                <c:pt idx="63">
                  <c:v>464.36261282739719</c:v>
                </c:pt>
                <c:pt idx="64">
                  <c:v>476.03094766353843</c:v>
                </c:pt>
                <c:pt idx="65">
                  <c:v>487.69319947584319</c:v>
                </c:pt>
                <c:pt idx="66">
                  <c:v>499.34953422631708</c:v>
                </c:pt>
                <c:pt idx="67">
                  <c:v>511.0001094972597</c:v>
                </c:pt>
                <c:pt idx="68">
                  <c:v>522.64507509982207</c:v>
                </c:pt>
                <c:pt idx="69">
                  <c:v>534.28457362551364</c:v>
                </c:pt>
                <c:pt idx="70">
                  <c:v>545.9187409471557</c:v>
                </c:pt>
                <c:pt idx="71">
                  <c:v>499.34953422631702</c:v>
                </c:pt>
                <c:pt idx="72">
                  <c:v>508.46785799243179</c:v>
                </c:pt>
                <c:pt idx="73">
                  <c:v>517.58272655457984</c:v>
                </c:pt>
                <c:pt idx="74">
                  <c:v>526.69420935002211</c:v>
                </c:pt>
                <c:pt idx="75">
                  <c:v>535.80237321728055</c:v>
                </c:pt>
                <c:pt idx="76">
                  <c:v>544.90728253687291</c:v>
                </c:pt>
                <c:pt idx="77">
                  <c:v>554.00899936214978</c:v>
                </c:pt>
                <c:pt idx="78">
                  <c:v>563.107583541086</c:v>
                </c:pt>
                <c:pt idx="79">
                  <c:v>572.2030928297944</c:v>
                </c:pt>
                <c:pt idx="80">
                  <c:v>581.29558299844382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2.0674175365629677</c:v>
                </c:pt>
                <c:pt idx="2">
                  <c:v>2.7563386153172069</c:v>
                </c:pt>
                <c:pt idx="3">
                  <c:v>3.6757828754088084</c:v>
                </c:pt>
                <c:pt idx="4">
                  <c:v>4.9031880948975504</c:v>
                </c:pt>
                <c:pt idx="5">
                  <c:v>6.5420997187463925</c:v>
                </c:pt>
                <c:pt idx="6">
                  <c:v>8.7310024967746021</c:v>
                </c:pt>
                <c:pt idx="7">
                  <c:v>11.65514889235574</c:v>
                </c:pt>
                <c:pt idx="8">
                  <c:v>15.562403998555673</c:v>
                </c:pt>
                <c:pt idx="9">
                  <c:v>20.784474580403991</c:v>
                </c:pt>
                <c:pt idx="10">
                  <c:v>27.76535669760619</c:v>
                </c:pt>
                <c:pt idx="11">
                  <c:v>37.09946291026079</c:v>
                </c:pt>
                <c:pt idx="12">
                  <c:v>49.582731081946882</c:v>
                </c:pt>
                <c:pt idx="13">
                  <c:v>64.583001936057926</c:v>
                </c:pt>
                <c:pt idx="14">
                  <c:v>79.492623892016056</c:v>
                </c:pt>
                <c:pt idx="15">
                  <c:v>94.331112571633255</c:v>
                </c:pt>
                <c:pt idx="16">
                  <c:v>109.11127889310849</c:v>
                </c:pt>
                <c:pt idx="17">
                  <c:v>106.81557526911295</c:v>
                </c:pt>
                <c:pt idx="18">
                  <c:v>124.16900365793684</c:v>
                </c:pt>
                <c:pt idx="19">
                  <c:v>141.46346401618726</c:v>
                </c:pt>
                <c:pt idx="20">
                  <c:v>158.70719102606964</c:v>
                </c:pt>
                <c:pt idx="21">
                  <c:v>149.60319730872013</c:v>
                </c:pt>
                <c:pt idx="22">
                  <c:v>169.09664015835338</c:v>
                </c:pt>
                <c:pt idx="23">
                  <c:v>188.53710283199996</c:v>
                </c:pt>
                <c:pt idx="24">
                  <c:v>207.9308195045044</c:v>
                </c:pt>
                <c:pt idx="25">
                  <c:v>188.53710283199996</c:v>
                </c:pt>
                <c:pt idx="26">
                  <c:v>209.22219955438308</c:v>
                </c:pt>
                <c:pt idx="27">
                  <c:v>229.86009453547467</c:v>
                </c:pt>
                <c:pt idx="28">
                  <c:v>250.45562182479364</c:v>
                </c:pt>
                <c:pt idx="29">
                  <c:v>224.48990116103005</c:v>
                </c:pt>
                <c:pt idx="30">
                  <c:v>243.5948932063433</c:v>
                </c:pt>
                <c:pt idx="31">
                  <c:v>262.66582457768635</c:v>
                </c:pt>
                <c:pt idx="32">
                  <c:v>281.70551574875822</c:v>
                </c:pt>
                <c:pt idx="33">
                  <c:v>300.7163746975063</c:v>
                </c:pt>
                <c:pt idx="34">
                  <c:v>319.7004800513119</c:v>
                </c:pt>
                <c:pt idx="35">
                  <c:v>277.21568679177352</c:v>
                </c:pt>
                <c:pt idx="36">
                  <c:v>293.67062981705698</c:v>
                </c:pt>
                <c:pt idx="37">
                  <c:v>310.10500044645323</c:v>
                </c:pt>
                <c:pt idx="38">
                  <c:v>326.52004227766406</c:v>
                </c:pt>
                <c:pt idx="39">
                  <c:v>342.9168636601741</c:v>
                </c:pt>
                <c:pt idx="40">
                  <c:v>359.29645830338887</c:v>
                </c:pt>
                <c:pt idx="41">
                  <c:v>319.4873172181201</c:v>
                </c:pt>
                <c:pt idx="42">
                  <c:v>332.05861703935699</c:v>
                </c:pt>
                <c:pt idx="43">
                  <c:v>344.61942555879472</c:v>
                </c:pt>
                <c:pt idx="44">
                  <c:v>357.17017912307307</c:v>
                </c:pt>
                <c:pt idx="45">
                  <c:v>369.7112809035753</c:v>
                </c:pt>
                <c:pt idx="46">
                  <c:v>382.24310448239459</c:v>
                </c:pt>
                <c:pt idx="47">
                  <c:v>352.75726329182407</c:v>
                </c:pt>
                <c:pt idx="48">
                  <c:v>360.25319399788003</c:v>
                </c:pt>
                <c:pt idx="49">
                  <c:v>367.74571370177881</c:v>
                </c:pt>
                <c:pt idx="50">
                  <c:v>375.23490175863367</c:v>
                </c:pt>
                <c:pt idx="51">
                  <c:v>382.72083409495696</c:v>
                </c:pt>
                <c:pt idx="52">
                  <c:v>390.20358342243782</c:v>
                </c:pt>
                <c:pt idx="53">
                  <c:v>397.68321943446034</c:v>
                </c:pt>
                <c:pt idx="54">
                  <c:v>405.15980898705612</c:v>
                </c:pt>
                <c:pt idx="55">
                  <c:v>388.13420118594587</c:v>
                </c:pt>
                <c:pt idx="56">
                  <c:v>391.47693094284676</c:v>
                </c:pt>
                <c:pt idx="57">
                  <c:v>394.81904151240332</c:v>
                </c:pt>
                <c:pt idx="58">
                  <c:v>398.16053888286166</c:v>
                </c:pt>
                <c:pt idx="59">
                  <c:v>401.50142893362187</c:v>
                </c:pt>
                <c:pt idx="60">
                  <c:v>404.84171743812561</c:v>
                </c:pt>
                <c:pt idx="61">
                  <c:v>408.18141006664501</c:v>
                </c:pt>
                <c:pt idx="62">
                  <c:v>411.52051238897451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1.8038883390683471</c:v>
                </c:pt>
                <c:pt idx="2">
                  <c:v>2.1897729047023593</c:v>
                </c:pt>
                <c:pt idx="3">
                  <c:v>2.6585227899015504</c:v>
                </c:pt>
                <c:pt idx="4">
                  <c:v>3.2279971105254481</c:v>
                </c:pt>
                <c:pt idx="5">
                  <c:v>3.919917031470415</c:v>
                </c:pt>
                <c:pt idx="6">
                  <c:v>4.7607035707095422</c:v>
                </c:pt>
                <c:pt idx="7">
                  <c:v>5.7824976793244902</c:v>
                </c:pt>
                <c:pt idx="8">
                  <c:v>7.0244023602037151</c:v>
                </c:pt>
                <c:pt idx="9">
                  <c:v>8.5339952832965214</c:v>
                </c:pt>
                <c:pt idx="10">
                  <c:v>10.369170956195171</c:v>
                </c:pt>
                <c:pt idx="11">
                  <c:v>12.600384433857405</c:v>
                </c:pt>
                <c:pt idx="12">
                  <c:v>15.313384311036627</c:v>
                </c:pt>
                <c:pt idx="13">
                  <c:v>18.612541958368652</c:v>
                </c:pt>
                <c:pt idx="14">
                  <c:v>22.624907398105716</c:v>
                </c:pt>
                <c:pt idx="15">
                  <c:v>27.505150795572561</c:v>
                </c:pt>
                <c:pt idx="16">
                  <c:v>33.441583399188175</c:v>
                </c:pt>
                <c:pt idx="17">
                  <c:v>40.663494276299794</c:v>
                </c:pt>
                <c:pt idx="18">
                  <c:v>49.450091049385911</c:v>
                </c:pt>
                <c:pt idx="19">
                  <c:v>60.141396094149911</c:v>
                </c:pt>
                <c:pt idx="20">
                  <c:v>73.151526827873639</c:v>
                </c:pt>
                <c:pt idx="21">
                  <c:v>88.98488285695737</c:v>
                </c:pt>
                <c:pt idx="22">
                  <c:v>108.25587760652974</c:v>
                </c:pt>
                <c:pt idx="23">
                  <c:v>127.87183025187436</c:v>
                </c:pt>
                <c:pt idx="24">
                  <c:v>147.41479291393856</c:v>
                </c:pt>
                <c:pt idx="25">
                  <c:v>166.89582070164903</c:v>
                </c:pt>
                <c:pt idx="26">
                  <c:v>158.69588956630341</c:v>
                </c:pt>
                <c:pt idx="27">
                  <c:v>176.57443476299522</c:v>
                </c:pt>
                <c:pt idx="28">
                  <c:v>194.41049394787638</c:v>
                </c:pt>
                <c:pt idx="29">
                  <c:v>212.20851486614947</c:v>
                </c:pt>
                <c:pt idx="30">
                  <c:v>229.97213730997649</c:v>
                </c:pt>
                <c:pt idx="31">
                  <c:v>206.03271564587533</c:v>
                </c:pt>
                <c:pt idx="32">
                  <c:v>226.52064342157504</c:v>
                </c:pt>
                <c:pt idx="33">
                  <c:v>246.96613989084696</c:v>
                </c:pt>
                <c:pt idx="34">
                  <c:v>267.37321139326599</c:v>
                </c:pt>
                <c:pt idx="35">
                  <c:v>287.74520244496057</c:v>
                </c:pt>
                <c:pt idx="36">
                  <c:v>246.22783730674089</c:v>
                </c:pt>
                <c:pt idx="37">
                  <c:v>264.91644767126212</c:v>
                </c:pt>
                <c:pt idx="38">
                  <c:v>283.57533816627671</c:v>
                </c:pt>
                <c:pt idx="39">
                  <c:v>302.20673901881219</c:v>
                </c:pt>
                <c:pt idx="40">
                  <c:v>320.81258298345932</c:v>
                </c:pt>
                <c:pt idx="41">
                  <c:v>286.27364112152469</c:v>
                </c:pt>
                <c:pt idx="42">
                  <c:v>303.18661538142965</c:v>
                </c:pt>
                <c:pt idx="43">
                  <c:v>320.07860464143613</c:v>
                </c:pt>
                <c:pt idx="44">
                  <c:v>336.95087205446191</c:v>
                </c:pt>
                <c:pt idx="45">
                  <c:v>353.80454395241946</c:v>
                </c:pt>
                <c:pt idx="46">
                  <c:v>323.50351969461479</c:v>
                </c:pt>
                <c:pt idx="47">
                  <c:v>339.63890781505688</c:v>
                </c:pt>
                <c:pt idx="48">
                  <c:v>355.75743703713033</c:v>
                </c:pt>
                <c:pt idx="49">
                  <c:v>371.8599785946235</c:v>
                </c:pt>
                <c:pt idx="50">
                  <c:v>387.94732211955193</c:v>
                </c:pt>
                <c:pt idx="51">
                  <c:v>357.77111212719302</c:v>
                </c:pt>
                <c:pt idx="52">
                  <c:v>372.71347028292752</c:v>
                </c:pt>
                <c:pt idx="53">
                  <c:v>387.64277426642496</c:v>
                </c:pt>
                <c:pt idx="54">
                  <c:v>402.5595975696238</c:v>
                </c:pt>
                <c:pt idx="55">
                  <c:v>417.46446772037797</c:v>
                </c:pt>
                <c:pt idx="56">
                  <c:v>432.35787151018599</c:v>
                </c:pt>
                <c:pt idx="57">
                  <c:v>447.24025946406249</c:v>
                </c:pt>
                <c:pt idx="58">
                  <c:v>462.11204968448237</c:v>
                </c:pt>
                <c:pt idx="59">
                  <c:v>417.61649833792848</c:v>
                </c:pt>
                <c:pt idx="60">
                  <c:v>431.44635144816431</c:v>
                </c:pt>
                <c:pt idx="61">
                  <c:v>445.26668358390657</c:v>
                </c:pt>
                <c:pt idx="62">
                  <c:v>459.07783184895493</c:v>
                </c:pt>
                <c:pt idx="63">
                  <c:v>472.88011141256703</c:v>
                </c:pt>
                <c:pt idx="64">
                  <c:v>486.67381754865318</c:v>
                </c:pt>
                <c:pt idx="65">
                  <c:v>500.45922743178085</c:v>
                </c:pt>
                <c:pt idx="66">
                  <c:v>514.23660172502764</c:v>
                </c:pt>
                <c:pt idx="67">
                  <c:v>461.80864708305415</c:v>
                </c:pt>
                <c:pt idx="68">
                  <c:v>469.99903447882821</c:v>
                </c:pt>
                <c:pt idx="69">
                  <c:v>478.18638208927251</c:v>
                </c:pt>
                <c:pt idx="70">
                  <c:v>486.3707493197806</c:v>
                </c:pt>
                <c:pt idx="71">
                  <c:v>494.55219341267713</c:v>
                </c:pt>
                <c:pt idx="72">
                  <c:v>502.73076956123822</c:v>
                </c:pt>
                <c:pt idx="73">
                  <c:v>510.90653101590328</c:v>
                </c:pt>
                <c:pt idx="74">
                  <c:v>519.07952918333581</c:v>
                </c:pt>
                <c:pt idx="75">
                  <c:v>501.67074366165338</c:v>
                </c:pt>
                <c:pt idx="76">
                  <c:v>508.48437353815274</c:v>
                </c:pt>
                <c:pt idx="77">
                  <c:v>515.2960740487091</c:v>
                </c:pt>
                <c:pt idx="78">
                  <c:v>522.10587430578664</c:v>
                </c:pt>
                <c:pt idx="79">
                  <c:v>528.91380260016911</c:v>
                </c:pt>
                <c:pt idx="80">
                  <c:v>535.71988643466068</c:v>
                </c:pt>
                <c:pt idx="81">
                  <c:v>542.52415255598589</c:v>
                </c:pt>
                <c:pt idx="82">
                  <c:v>549.32662698500246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70" zoomScaleNormal="70" workbookViewId="0">
      <selection activeCell="M39" sqref="M39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31.9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164</v>
      </c>
      <c r="C9" s="32">
        <v>3.5812021841477179E-2</v>
      </c>
      <c r="D9" s="33">
        <f t="shared" ref="D9:D18" si="0">C9*$C$5</f>
        <v>1.142403496743122</v>
      </c>
      <c r="E9" s="34">
        <v>100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8</v>
      </c>
      <c r="C10" s="32">
        <v>7.5965816338847011E-2</v>
      </c>
      <c r="D10" s="33">
        <f t="shared" si="0"/>
        <v>2.4233095412092194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13</v>
      </c>
      <c r="C11" s="32">
        <v>0.15202004194110377</v>
      </c>
      <c r="D11" s="33">
        <f t="shared" si="0"/>
        <v>4.8494393379212104</v>
      </c>
      <c r="E11" s="34">
        <v>90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14</v>
      </c>
      <c r="C12" s="32">
        <v>0.19186785260482847</v>
      </c>
      <c r="D12" s="33">
        <f t="shared" si="0"/>
        <v>6.1205844980940283</v>
      </c>
      <c r="E12" s="34">
        <v>120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18</v>
      </c>
      <c r="C13" s="32">
        <v>0.30303058803759964</v>
      </c>
      <c r="D13" s="33">
        <f t="shared" si="0"/>
        <v>9.6666757583994283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27</v>
      </c>
      <c r="C14" s="32">
        <v>0.18530205401053576</v>
      </c>
      <c r="D14" s="33">
        <f t="shared" si="0"/>
        <v>5.9111355229360907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 t="s">
        <v>35</v>
      </c>
      <c r="C15" s="32">
        <v>0</v>
      </c>
      <c r="D15" s="33">
        <f t="shared" si="0"/>
        <v>0</v>
      </c>
      <c r="E15" s="34">
        <v>80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 t="s">
        <v>324</v>
      </c>
      <c r="C16" s="32">
        <v>2.8591931996347009E-2</v>
      </c>
      <c r="D16" s="33">
        <f t="shared" si="0"/>
        <v>0.91208263068346951</v>
      </c>
      <c r="E16" s="34">
        <v>62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 t="s">
        <v>41</v>
      </c>
      <c r="C17" s="32">
        <v>2.740969322926121E-2</v>
      </c>
      <c r="D17" s="33">
        <f t="shared" si="0"/>
        <v>0.87436921401343259</v>
      </c>
      <c r="E17" s="34">
        <v>82</v>
      </c>
      <c r="F17" s="35" t="str">
        <f t="array" ref="F17">IF(E17="","",IF(INDEX(A:A,MAX(IF(ISNUMBER($A$244:$A$263),ROW($A$244:$A$263),"")))&lt;&gt;E17,"Corrigez : révolution incorrecte","OK"))</f>
        <v>OK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31.900000000000002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Cèdre de l'Atlas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20</v>
      </c>
      <c r="B36" s="60">
        <v>158</v>
      </c>
      <c r="C36" s="60">
        <v>1</v>
      </c>
      <c r="D36" s="60">
        <v>12.5</v>
      </c>
      <c r="E36" s="51"/>
      <c r="F36" s="51">
        <v>0.5</v>
      </c>
      <c r="G36" s="51">
        <v>0.5</v>
      </c>
      <c r="H36" s="51"/>
      <c r="I36" s="49">
        <f>IFERROR(B36/A36,"")</f>
        <v>7.9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30</v>
      </c>
      <c r="B37" s="60">
        <v>237.5</v>
      </c>
      <c r="C37" s="60">
        <v>2</v>
      </c>
      <c r="D37" s="60">
        <v>45.9</v>
      </c>
      <c r="E37" s="51">
        <v>0.2</v>
      </c>
      <c r="F37" s="51">
        <v>0.4</v>
      </c>
      <c r="G37" s="51">
        <v>0.4</v>
      </c>
      <c r="H37" s="51"/>
      <c r="I37" s="53">
        <f t="shared" ref="I37:I55" si="1">IF(A37&lt;&gt;0,(B37-(B36-D36))/(A37-A36),"")</f>
        <v>9.1999999999999993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40</v>
      </c>
      <c r="B38" s="60">
        <v>291.60000000000002</v>
      </c>
      <c r="C38" s="60">
        <v>3</v>
      </c>
      <c r="D38" s="60">
        <v>83.4</v>
      </c>
      <c r="E38" s="51"/>
      <c r="F38" s="51"/>
      <c r="G38" s="51"/>
      <c r="H38" s="51"/>
      <c r="I38" s="53">
        <f t="shared" si="1"/>
        <v>10.000000000000004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50</v>
      </c>
      <c r="B39" s="60">
        <v>323.2</v>
      </c>
      <c r="C39" s="60">
        <v>4</v>
      </c>
      <c r="D39" s="60">
        <v>83.4</v>
      </c>
      <c r="E39" s="51"/>
      <c r="F39" s="51"/>
      <c r="G39" s="51"/>
      <c r="H39" s="51"/>
      <c r="I39" s="49">
        <f t="shared" si="1"/>
        <v>11.499999999999996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60</v>
      </c>
      <c r="B40" s="60">
        <v>374.79999999999995</v>
      </c>
      <c r="C40" s="60">
        <v>5</v>
      </c>
      <c r="D40" s="60">
        <v>83.4</v>
      </c>
      <c r="E40" s="51"/>
      <c r="F40" s="51"/>
      <c r="G40" s="51"/>
      <c r="H40" s="51"/>
      <c r="I40" s="49">
        <f t="shared" si="1"/>
        <v>13.499999999999996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70</v>
      </c>
      <c r="B41" s="60">
        <v>446.4</v>
      </c>
      <c r="C41" s="60">
        <v>6</v>
      </c>
      <c r="D41" s="60">
        <v>83.4</v>
      </c>
      <c r="E41" s="51"/>
      <c r="F41" s="51"/>
      <c r="G41" s="51"/>
      <c r="H41" s="51"/>
      <c r="I41" s="53">
        <f t="shared" si="1"/>
        <v>15.5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80</v>
      </c>
      <c r="B42" s="60">
        <v>533</v>
      </c>
      <c r="C42" s="60">
        <v>7</v>
      </c>
      <c r="D42" s="60">
        <v>83.4</v>
      </c>
      <c r="E42" s="51"/>
      <c r="F42" s="51"/>
      <c r="G42" s="51"/>
      <c r="H42" s="51"/>
      <c r="I42" s="53">
        <f t="shared" si="1"/>
        <v>17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90</v>
      </c>
      <c r="B43" s="60">
        <v>624.6</v>
      </c>
      <c r="C43" s="60">
        <v>8</v>
      </c>
      <c r="D43" s="60">
        <v>83.4</v>
      </c>
      <c r="E43" s="51"/>
      <c r="F43" s="51"/>
      <c r="G43" s="51"/>
      <c r="H43" s="51"/>
      <c r="I43" s="49">
        <f t="shared" si="1"/>
        <v>17.5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100</v>
      </c>
      <c r="B44" s="60">
        <v>726.2</v>
      </c>
      <c r="C44" s="60">
        <v>9</v>
      </c>
      <c r="D44" s="60">
        <v>726.2</v>
      </c>
      <c r="E44" s="51"/>
      <c r="F44" s="51"/>
      <c r="G44" s="51"/>
      <c r="H44" s="51"/>
      <c r="I44" s="49">
        <f t="shared" si="1"/>
        <v>18.5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Châtaignier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v>95</v>
      </c>
      <c r="C62" s="60">
        <v>1</v>
      </c>
      <c r="D62" s="60">
        <f>15+28</f>
        <v>43</v>
      </c>
      <c r="E62" s="51"/>
      <c r="F62" s="51">
        <v>0.25</v>
      </c>
      <c r="G62" s="51">
        <v>0.25</v>
      </c>
      <c r="H62" s="51">
        <v>0.5</v>
      </c>
      <c r="I62" s="53">
        <f>IFERROR(B62/A62,"")</f>
        <v>4.75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v>174</v>
      </c>
      <c r="C63" s="60">
        <v>2</v>
      </c>
      <c r="D63" s="60">
        <f>28+28</f>
        <v>56</v>
      </c>
      <c r="E63" s="51"/>
      <c r="F63" s="51">
        <v>0.25</v>
      </c>
      <c r="G63" s="51">
        <v>0.25</v>
      </c>
      <c r="H63" s="51">
        <v>0.5</v>
      </c>
      <c r="I63" s="49">
        <f>IF(A63&lt;&gt;0,(B63-(B62-D62))/(A63-A62),"")</f>
        <v>12.2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60">
        <v>220</v>
      </c>
      <c r="C64" s="60">
        <v>3</v>
      </c>
      <c r="D64" s="60">
        <f>28+28</f>
        <v>56</v>
      </c>
      <c r="E64" s="51"/>
      <c r="F64" s="51"/>
      <c r="G64" s="51"/>
      <c r="H64" s="51"/>
      <c r="I64" s="49">
        <f>IF(A64&lt;&gt;0,(B64-(B63-D63))/(A64-A63),"")</f>
        <v>10.199999999999999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60">
        <v>241</v>
      </c>
      <c r="C65" s="60">
        <v>4</v>
      </c>
      <c r="D65" s="60">
        <f>22+17</f>
        <v>39</v>
      </c>
      <c r="E65" s="51"/>
      <c r="F65" s="51"/>
      <c r="G65" s="51"/>
      <c r="H65" s="51"/>
      <c r="I65" s="49">
        <f>IF(A65&lt;&gt;0,(B65-(B64-D64))/(A65-A64),"")</f>
        <v>7.7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60">
        <v>258</v>
      </c>
      <c r="C66" s="60">
        <v>5</v>
      </c>
      <c r="D66" s="60">
        <f>13+12</f>
        <v>25</v>
      </c>
      <c r="E66" s="51"/>
      <c r="F66" s="51"/>
      <c r="G66" s="51"/>
      <c r="H66" s="51"/>
      <c r="I66" s="49">
        <f t="shared" ref="I66:I81" si="2">IF(A66&lt;&gt;0,(B66-(B65-D65))/(A66-A65),"")</f>
        <v>5.6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60">
        <v>274</v>
      </c>
      <c r="C67" s="60">
        <v>6</v>
      </c>
      <c r="D67" s="60">
        <f>11+10</f>
        <v>21</v>
      </c>
      <c r="E67" s="51"/>
      <c r="F67" s="51"/>
      <c r="G67" s="51"/>
      <c r="H67" s="51"/>
      <c r="I67" s="49">
        <f t="shared" si="2"/>
        <v>4.0999999999999996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60">
        <f>267+9+8</f>
        <v>284</v>
      </c>
      <c r="C68" s="60">
        <v>7</v>
      </c>
      <c r="D68" s="60">
        <f>B68</f>
        <v>284</v>
      </c>
      <c r="E68" s="51"/>
      <c r="F68" s="51"/>
      <c r="G68" s="51"/>
      <c r="H68" s="51"/>
      <c r="I68" s="49">
        <f t="shared" si="2"/>
        <v>3.1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Chêne rouge d'Amérique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60">
        <v>85</v>
      </c>
      <c r="C88" s="60">
        <v>1</v>
      </c>
      <c r="D88" s="60">
        <v>32</v>
      </c>
      <c r="E88" s="51"/>
      <c r="F88" s="51">
        <v>0.25</v>
      </c>
      <c r="G88" s="51">
        <v>0.25</v>
      </c>
      <c r="H88" s="87">
        <v>0.5</v>
      </c>
      <c r="I88" s="53">
        <f>IFERROR(B88/A88,"")</f>
        <v>4.25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30</v>
      </c>
      <c r="B89" s="60">
        <v>128</v>
      </c>
      <c r="C89" s="60">
        <v>2</v>
      </c>
      <c r="D89" s="60">
        <v>47</v>
      </c>
      <c r="E89" s="51">
        <v>0.1</v>
      </c>
      <c r="F89" s="51">
        <v>0.45</v>
      </c>
      <c r="G89" s="51">
        <v>0.45</v>
      </c>
      <c r="H89" s="87"/>
      <c r="I89" s="53">
        <f t="shared" ref="I89:I107" si="3">IF(A89&lt;&gt;0,(B89-(B88-D88))/(A89-A88),"")</f>
        <v>7.5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40</v>
      </c>
      <c r="B90" s="60">
        <v>146</v>
      </c>
      <c r="C90" s="60">
        <v>3</v>
      </c>
      <c r="D90" s="60">
        <v>44</v>
      </c>
      <c r="E90" s="87"/>
      <c r="F90" s="87"/>
      <c r="G90" s="87"/>
      <c r="H90" s="87"/>
      <c r="I90" s="53">
        <f t="shared" si="3"/>
        <v>6.5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50</v>
      </c>
      <c r="B91" s="60">
        <v>154</v>
      </c>
      <c r="C91" s="60">
        <v>4</v>
      </c>
      <c r="D91" s="60">
        <v>38</v>
      </c>
      <c r="E91" s="87"/>
      <c r="F91" s="87"/>
      <c r="G91" s="87"/>
      <c r="H91" s="87"/>
      <c r="I91" s="53">
        <f t="shared" si="3"/>
        <v>5.2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60</v>
      </c>
      <c r="B92" s="60">
        <v>157</v>
      </c>
      <c r="C92" s="60">
        <v>5</v>
      </c>
      <c r="D92" s="60">
        <v>30</v>
      </c>
      <c r="E92" s="87"/>
      <c r="F92" s="87"/>
      <c r="G92" s="87"/>
      <c r="H92" s="87"/>
      <c r="I92" s="53">
        <f t="shared" si="3"/>
        <v>4.0999999999999996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70</v>
      </c>
      <c r="B93" s="60">
        <v>158</v>
      </c>
      <c r="C93" s="60">
        <v>6</v>
      </c>
      <c r="D93" s="60">
        <v>24</v>
      </c>
      <c r="E93" s="87"/>
      <c r="F93" s="87"/>
      <c r="G93" s="87"/>
      <c r="H93" s="87"/>
      <c r="I93" s="53">
        <f t="shared" si="3"/>
        <v>3.1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80</v>
      </c>
      <c r="B94" s="60">
        <v>158</v>
      </c>
      <c r="C94" s="60">
        <v>7</v>
      </c>
      <c r="D94" s="60">
        <v>18</v>
      </c>
      <c r="E94" s="87"/>
      <c r="F94" s="87"/>
      <c r="G94" s="87"/>
      <c r="H94" s="87"/>
      <c r="I94" s="53">
        <f t="shared" si="3"/>
        <v>2.4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90</v>
      </c>
      <c r="B95" s="60">
        <v>159</v>
      </c>
      <c r="C95" s="60">
        <v>8</v>
      </c>
      <c r="D95" s="60">
        <v>159</v>
      </c>
      <c r="E95" s="87"/>
      <c r="F95" s="87"/>
      <c r="G95" s="87"/>
      <c r="H95" s="87"/>
      <c r="I95" s="53">
        <f t="shared" si="3"/>
        <v>1.9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Chêne sessile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20</v>
      </c>
      <c r="B114" s="60">
        <v>42</v>
      </c>
      <c r="C114" s="50"/>
      <c r="D114" s="60"/>
      <c r="E114" s="51"/>
      <c r="F114" s="51"/>
      <c r="G114" s="51"/>
      <c r="H114" s="51"/>
      <c r="I114" s="53">
        <f>IFERROR(B114/A114,"")</f>
        <v>2.1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30</v>
      </c>
      <c r="B115" s="60">
        <f>76+8+21</f>
        <v>105</v>
      </c>
      <c r="C115" s="50">
        <v>1</v>
      </c>
      <c r="D115" s="60">
        <f>21+8</f>
        <v>29</v>
      </c>
      <c r="E115" s="51"/>
      <c r="F115" s="51">
        <v>0.25</v>
      </c>
      <c r="G115" s="51">
        <v>0.25</v>
      </c>
      <c r="H115" s="51">
        <v>0.5</v>
      </c>
      <c r="I115" s="53">
        <f t="shared" ref="I115:I133" si="4">IF(A115&lt;&gt;0,(B115-(B114-D114))/(A115-A114),"")</f>
        <v>6.3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40</v>
      </c>
      <c r="B116" s="60">
        <f>116+21+21</f>
        <v>158</v>
      </c>
      <c r="C116" s="50">
        <v>2</v>
      </c>
      <c r="D116" s="60">
        <f>21+21</f>
        <v>42</v>
      </c>
      <c r="E116" s="51"/>
      <c r="F116" s="51"/>
      <c r="G116" s="51"/>
      <c r="H116" s="51"/>
      <c r="I116" s="53">
        <f t="shared" si="4"/>
        <v>8.1999999999999993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50</v>
      </c>
      <c r="B117" s="60">
        <f>157+21+21</f>
        <v>199</v>
      </c>
      <c r="C117" s="50">
        <v>3</v>
      </c>
      <c r="D117" s="60">
        <f t="shared" ref="D117:D122" si="5">21+21</f>
        <v>42</v>
      </c>
      <c r="E117" s="51"/>
      <c r="F117" s="51"/>
      <c r="G117" s="51"/>
      <c r="H117" s="51"/>
      <c r="I117" s="53">
        <f t="shared" si="4"/>
        <v>8.3000000000000007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60</v>
      </c>
      <c r="B118" s="60">
        <f>193+21+21</f>
        <v>235</v>
      </c>
      <c r="C118" s="50">
        <v>4</v>
      </c>
      <c r="D118" s="60">
        <f t="shared" si="5"/>
        <v>42</v>
      </c>
      <c r="E118" s="51"/>
      <c r="F118" s="51"/>
      <c r="G118" s="51"/>
      <c r="H118" s="51"/>
      <c r="I118" s="53">
        <f t="shared" si="4"/>
        <v>7.8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70</v>
      </c>
      <c r="B119" s="60">
        <f>221+21+21</f>
        <v>263</v>
      </c>
      <c r="C119" s="50">
        <v>5</v>
      </c>
      <c r="D119" s="60">
        <f t="shared" si="5"/>
        <v>42</v>
      </c>
      <c r="E119" s="51"/>
      <c r="F119" s="51"/>
      <c r="G119" s="51"/>
      <c r="H119" s="51"/>
      <c r="I119" s="53">
        <f t="shared" si="4"/>
        <v>7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80</v>
      </c>
      <c r="B120" s="60">
        <f>240+21+21</f>
        <v>282</v>
      </c>
      <c r="C120" s="60">
        <v>6</v>
      </c>
      <c r="D120" s="60">
        <f t="shared" si="5"/>
        <v>42</v>
      </c>
      <c r="E120" s="87"/>
      <c r="F120" s="87"/>
      <c r="G120" s="87"/>
      <c r="H120" s="87"/>
      <c r="I120" s="53">
        <f t="shared" si="4"/>
        <v>6.1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90</v>
      </c>
      <c r="B121" s="60">
        <f>254+21+21</f>
        <v>296</v>
      </c>
      <c r="C121" s="60">
        <v>7</v>
      </c>
      <c r="D121" s="60">
        <f t="shared" si="5"/>
        <v>42</v>
      </c>
      <c r="E121" s="87"/>
      <c r="F121" s="87"/>
      <c r="G121" s="87"/>
      <c r="H121" s="87"/>
      <c r="I121" s="53">
        <f t="shared" si="4"/>
        <v>5.6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100</v>
      </c>
      <c r="B122" s="60">
        <f>261+21+21</f>
        <v>303</v>
      </c>
      <c r="C122" s="60">
        <v>8</v>
      </c>
      <c r="D122" s="60">
        <f t="shared" si="5"/>
        <v>42</v>
      </c>
      <c r="E122" s="87"/>
      <c r="F122" s="87"/>
      <c r="G122" s="87"/>
      <c r="H122" s="87"/>
      <c r="I122" s="53">
        <f t="shared" si="4"/>
        <v>4.9000000000000004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>
        <v>110</v>
      </c>
      <c r="B123" s="60">
        <f>266+20+19</f>
        <v>305</v>
      </c>
      <c r="C123" s="60">
        <v>9</v>
      </c>
      <c r="D123" s="60">
        <f>20+19</f>
        <v>39</v>
      </c>
      <c r="E123" s="87"/>
      <c r="F123" s="87"/>
      <c r="G123" s="87"/>
      <c r="H123" s="87"/>
      <c r="I123" s="53">
        <f t="shared" si="4"/>
        <v>4.4000000000000004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>
        <v>120</v>
      </c>
      <c r="B124" s="60">
        <f>268+17+18</f>
        <v>303</v>
      </c>
      <c r="C124" s="60">
        <v>10</v>
      </c>
      <c r="D124" s="60">
        <f>B124</f>
        <v>303</v>
      </c>
      <c r="E124" s="87"/>
      <c r="F124" s="87"/>
      <c r="G124" s="87"/>
      <c r="H124" s="87"/>
      <c r="I124" s="53">
        <f t="shared" si="4"/>
        <v>3.7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Douglas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10</v>
      </c>
      <c r="B140" s="60">
        <v>12</v>
      </c>
      <c r="C140" s="50"/>
      <c r="D140" s="60">
        <v>0</v>
      </c>
      <c r="E140" s="51"/>
      <c r="F140" s="51"/>
      <c r="G140" s="51"/>
      <c r="H140" s="51"/>
      <c r="I140" s="57">
        <f>IFERROR(B140/A140,"")</f>
        <v>1.2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20</v>
      </c>
      <c r="B141" s="60">
        <v>162</v>
      </c>
      <c r="C141" s="50">
        <v>1</v>
      </c>
      <c r="D141" s="60">
        <f>7+56</f>
        <v>63</v>
      </c>
      <c r="E141" s="51"/>
      <c r="F141" s="51">
        <v>0.5</v>
      </c>
      <c r="G141" s="51">
        <v>0.5</v>
      </c>
      <c r="H141" s="51"/>
      <c r="I141" s="57">
        <f t="shared" ref="I141:I159" si="6">IF(A141&lt;&gt;0,(B141-(B140-D140))/(A141-A140),"")</f>
        <v>15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30</v>
      </c>
      <c r="B142" s="60">
        <v>321</v>
      </c>
      <c r="C142" s="50">
        <v>2</v>
      </c>
      <c r="D142" s="60">
        <f>56+56</f>
        <v>112</v>
      </c>
      <c r="E142" s="51">
        <v>0.1</v>
      </c>
      <c r="F142" s="51">
        <v>0.45</v>
      </c>
      <c r="G142" s="51">
        <v>0.45</v>
      </c>
      <c r="H142" s="51"/>
      <c r="I142" s="57">
        <f t="shared" si="6"/>
        <v>22.2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40</v>
      </c>
      <c r="B143" s="60">
        <v>429</v>
      </c>
      <c r="C143" s="50">
        <v>3</v>
      </c>
      <c r="D143" s="60">
        <f>56+56</f>
        <v>112</v>
      </c>
      <c r="E143" s="51"/>
      <c r="F143" s="51"/>
      <c r="G143" s="51"/>
      <c r="H143" s="51"/>
      <c r="I143" s="57">
        <f t="shared" si="6"/>
        <v>22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50</v>
      </c>
      <c r="B144" s="60">
        <v>509</v>
      </c>
      <c r="C144" s="50">
        <v>4</v>
      </c>
      <c r="D144" s="60">
        <f>56+52</f>
        <v>108</v>
      </c>
      <c r="E144" s="51"/>
      <c r="F144" s="51"/>
      <c r="G144" s="51"/>
      <c r="H144" s="51"/>
      <c r="I144" s="57">
        <f t="shared" si="6"/>
        <v>19.2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60</v>
      </c>
      <c r="B145" s="60">
        <v>563</v>
      </c>
      <c r="C145" s="50">
        <v>5</v>
      </c>
      <c r="D145" s="60">
        <f>44+39</f>
        <v>83</v>
      </c>
      <c r="E145" s="51"/>
      <c r="F145" s="51"/>
      <c r="G145" s="51"/>
      <c r="H145" s="51"/>
      <c r="I145" s="57">
        <f t="shared" si="6"/>
        <v>16.2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70</v>
      </c>
      <c r="B146" s="60">
        <v>614</v>
      </c>
      <c r="C146" s="50">
        <v>6</v>
      </c>
      <c r="D146" s="60">
        <f>35+32</f>
        <v>67</v>
      </c>
      <c r="E146" s="51"/>
      <c r="F146" s="51"/>
      <c r="G146" s="51"/>
      <c r="H146" s="51"/>
      <c r="I146" s="57">
        <f t="shared" si="6"/>
        <v>13.4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80</v>
      </c>
      <c r="B147" s="60">
        <f>592+59</f>
        <v>651</v>
      </c>
      <c r="C147" s="50">
        <v>7</v>
      </c>
      <c r="D147" s="60">
        <f>B147</f>
        <v>651</v>
      </c>
      <c r="E147" s="51"/>
      <c r="F147" s="51"/>
      <c r="G147" s="51"/>
      <c r="H147" s="51"/>
      <c r="I147" s="57">
        <f>IF(A147&lt;&gt;0,(B147-(B146-D146))/(A147-A146),"")</f>
        <v>10.4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6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6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6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6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6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6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6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Mélèze d'Europe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20</v>
      </c>
      <c r="B166" s="60">
        <v>118</v>
      </c>
      <c r="C166" s="60">
        <v>1</v>
      </c>
      <c r="D166" s="60">
        <v>37</v>
      </c>
      <c r="E166" s="51"/>
      <c r="F166" s="51">
        <v>0.5</v>
      </c>
      <c r="G166" s="51">
        <v>0.5</v>
      </c>
      <c r="H166" s="51"/>
      <c r="I166" s="49">
        <f>IFERROR(B166/A166,"")</f>
        <v>5.9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30</v>
      </c>
      <c r="B167" s="60">
        <v>220</v>
      </c>
      <c r="C167" s="60">
        <v>2</v>
      </c>
      <c r="D167" s="60">
        <v>70</v>
      </c>
      <c r="E167" s="51">
        <v>0.2</v>
      </c>
      <c r="F167" s="51">
        <v>0.4</v>
      </c>
      <c r="G167" s="51">
        <v>0.4</v>
      </c>
      <c r="H167" s="51"/>
      <c r="I167" s="49">
        <f t="shared" ref="I167:I185" si="7">IF(A167&lt;&gt;0,(B167-(B166-D166))/(A167-A166),"")</f>
        <v>13.9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40</v>
      </c>
      <c r="B168" s="60">
        <v>283</v>
      </c>
      <c r="C168" s="60">
        <v>3</v>
      </c>
      <c r="D168" s="60">
        <v>70</v>
      </c>
      <c r="E168" s="51"/>
      <c r="F168" s="51"/>
      <c r="G168" s="51"/>
      <c r="H168" s="51"/>
      <c r="I168" s="49">
        <f t="shared" si="7"/>
        <v>13.3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50</v>
      </c>
      <c r="B169" s="60">
        <v>323</v>
      </c>
      <c r="C169" s="60">
        <v>4</v>
      </c>
      <c r="D169" s="60">
        <v>60</v>
      </c>
      <c r="E169" s="51"/>
      <c r="F169" s="51"/>
      <c r="G169" s="51"/>
      <c r="H169" s="51"/>
      <c r="I169" s="49">
        <f t="shared" si="7"/>
        <v>11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60</v>
      </c>
      <c r="B170" s="60">
        <v>351</v>
      </c>
      <c r="C170" s="60">
        <v>5</v>
      </c>
      <c r="D170" s="60">
        <v>47</v>
      </c>
      <c r="E170" s="51"/>
      <c r="F170" s="51"/>
      <c r="G170" s="51"/>
      <c r="H170" s="51"/>
      <c r="I170" s="49">
        <f t="shared" si="7"/>
        <v>8.8000000000000007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70</v>
      </c>
      <c r="B171" s="60">
        <v>372</v>
      </c>
      <c r="C171" s="60">
        <v>6</v>
      </c>
      <c r="D171" s="60">
        <v>36</v>
      </c>
      <c r="E171" s="51"/>
      <c r="F171" s="51"/>
      <c r="G171" s="51"/>
      <c r="H171" s="51"/>
      <c r="I171" s="49">
        <f t="shared" si="7"/>
        <v>6.8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80</v>
      </c>
      <c r="B172" s="60">
        <f>358+29</f>
        <v>387</v>
      </c>
      <c r="C172" s="60">
        <v>7</v>
      </c>
      <c r="D172" s="60">
        <f>B172</f>
        <v>387</v>
      </c>
      <c r="E172" s="51"/>
      <c r="F172" s="51"/>
      <c r="G172" s="51"/>
      <c r="H172" s="51"/>
      <c r="I172" s="49">
        <f t="shared" si="7"/>
        <v>5.0999999999999996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7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7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7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7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7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>Pin laricio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>
        <v>20</v>
      </c>
      <c r="B192" s="60">
        <v>91</v>
      </c>
      <c r="C192" s="60">
        <v>1</v>
      </c>
      <c r="D192" s="60">
        <v>3</v>
      </c>
      <c r="E192" s="51"/>
      <c r="F192" s="51">
        <v>0.5</v>
      </c>
      <c r="G192" s="51">
        <v>0.5</v>
      </c>
      <c r="H192" s="51"/>
      <c r="I192" s="49">
        <f>IFERROR(B192/A192,"")</f>
        <v>4.55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>
        <v>30</v>
      </c>
      <c r="B193" s="60">
        <v>218</v>
      </c>
      <c r="C193" s="60">
        <v>2</v>
      </c>
      <c r="D193" s="60">
        <v>70</v>
      </c>
      <c r="E193" s="51"/>
      <c r="F193" s="51">
        <v>0.5</v>
      </c>
      <c r="G193" s="51">
        <v>0.5</v>
      </c>
      <c r="H193" s="51"/>
      <c r="I193" s="49">
        <f t="shared" ref="I193:I211" si="8">IF(A193&lt;&gt;0,(B193-(B192-D192))/(A193-A192),"")</f>
        <v>13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>
        <v>40</v>
      </c>
      <c r="B194" s="60">
        <v>285</v>
      </c>
      <c r="C194" s="60">
        <v>3</v>
      </c>
      <c r="D194" s="60">
        <v>70</v>
      </c>
      <c r="E194" s="51"/>
      <c r="F194" s="51"/>
      <c r="G194" s="51"/>
      <c r="H194" s="51"/>
      <c r="I194" s="49">
        <f t="shared" si="8"/>
        <v>13.7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>
        <v>50</v>
      </c>
      <c r="B195" s="60">
        <v>343</v>
      </c>
      <c r="C195" s="60">
        <v>4</v>
      </c>
      <c r="D195" s="60">
        <v>70</v>
      </c>
      <c r="E195" s="51"/>
      <c r="F195" s="51"/>
      <c r="G195" s="51"/>
      <c r="H195" s="51"/>
      <c r="I195" s="49">
        <f t="shared" si="8"/>
        <v>12.8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>
        <v>60</v>
      </c>
      <c r="B196" s="60">
        <v>387</v>
      </c>
      <c r="C196" s="60">
        <v>5</v>
      </c>
      <c r="D196" s="60">
        <v>57</v>
      </c>
      <c r="E196" s="51"/>
      <c r="F196" s="51"/>
      <c r="G196" s="51"/>
      <c r="H196" s="51"/>
      <c r="I196" s="49">
        <f t="shared" si="8"/>
        <v>11.4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>
        <v>70</v>
      </c>
      <c r="B197" s="60">
        <v>422</v>
      </c>
      <c r="C197" s="60">
        <v>6</v>
      </c>
      <c r="D197" s="60">
        <v>44</v>
      </c>
      <c r="E197" s="51"/>
      <c r="F197" s="51"/>
      <c r="G197" s="51"/>
      <c r="H197" s="51"/>
      <c r="I197" s="49">
        <f t="shared" si="8"/>
        <v>9.1999999999999993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>
        <v>80</v>
      </c>
      <c r="B198" s="60">
        <v>450</v>
      </c>
      <c r="C198" s="60">
        <v>7</v>
      </c>
      <c r="D198" s="60">
        <f>B198</f>
        <v>450</v>
      </c>
      <c r="E198" s="51"/>
      <c r="F198" s="51"/>
      <c r="G198" s="51"/>
      <c r="H198" s="51"/>
      <c r="I198" s="49">
        <f t="shared" si="8"/>
        <v>7.2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8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8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8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8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8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>Pin Maritime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>
        <v>12</v>
      </c>
      <c r="B218" s="60">
        <v>36</v>
      </c>
      <c r="C218" s="50"/>
      <c r="D218" s="60">
        <v>0</v>
      </c>
      <c r="E218" s="63"/>
      <c r="F218" s="63"/>
      <c r="G218" s="63"/>
      <c r="H218" s="63"/>
      <c r="I218" s="53">
        <f>IFERROR(B218/A218,"")</f>
        <v>3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>
        <v>16</v>
      </c>
      <c r="B219" s="60">
        <v>81</v>
      </c>
      <c r="C219" s="50">
        <v>1</v>
      </c>
      <c r="D219" s="60">
        <v>15</v>
      </c>
      <c r="E219" s="63"/>
      <c r="F219" s="63">
        <v>0.5</v>
      </c>
      <c r="G219" s="63">
        <v>0.5</v>
      </c>
      <c r="H219" s="63"/>
      <c r="I219" s="53">
        <f t="shared" ref="I219:I237" si="9">IF(A219&lt;&gt;0,(B219-(B218-D218))/(A219-A218),"")</f>
        <v>11.25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>
        <v>20</v>
      </c>
      <c r="B220" s="60">
        <v>119</v>
      </c>
      <c r="C220" s="50">
        <v>2</v>
      </c>
      <c r="D220" s="60">
        <v>22</v>
      </c>
      <c r="E220" s="63">
        <v>0.1</v>
      </c>
      <c r="F220" s="63">
        <v>0.45</v>
      </c>
      <c r="G220" s="63">
        <v>0.45</v>
      </c>
      <c r="H220" s="63"/>
      <c r="I220" s="53">
        <f t="shared" si="9"/>
        <v>13.25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>
        <v>24</v>
      </c>
      <c r="B221" s="55">
        <v>157</v>
      </c>
      <c r="C221" s="55">
        <v>3</v>
      </c>
      <c r="D221" s="55">
        <v>31</v>
      </c>
      <c r="E221" s="63">
        <v>0.2</v>
      </c>
      <c r="F221" s="63">
        <v>0.4</v>
      </c>
      <c r="G221" s="63">
        <v>0.4</v>
      </c>
      <c r="H221" s="63"/>
      <c r="I221" s="53">
        <f t="shared" si="9"/>
        <v>15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>
        <v>28</v>
      </c>
      <c r="B222" s="55">
        <v>190</v>
      </c>
      <c r="C222" s="55">
        <v>4</v>
      </c>
      <c r="D222" s="55">
        <v>35</v>
      </c>
      <c r="E222" s="63">
        <v>0.3</v>
      </c>
      <c r="F222" s="63">
        <v>0.35</v>
      </c>
      <c r="G222" s="63">
        <v>0.35</v>
      </c>
      <c r="H222" s="63"/>
      <c r="I222" s="53">
        <f t="shared" si="9"/>
        <v>16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>
        <v>34</v>
      </c>
      <c r="B223" s="55">
        <v>244</v>
      </c>
      <c r="C223" s="55">
        <v>5</v>
      </c>
      <c r="D223" s="55">
        <v>46</v>
      </c>
      <c r="E223" s="63"/>
      <c r="F223" s="63"/>
      <c r="G223" s="63"/>
      <c r="H223" s="63"/>
      <c r="I223" s="53">
        <f t="shared" si="9"/>
        <v>14.833333333333334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>
        <v>40</v>
      </c>
      <c r="B224" s="55">
        <v>275</v>
      </c>
      <c r="C224" s="55">
        <v>6</v>
      </c>
      <c r="D224" s="55">
        <v>41</v>
      </c>
      <c r="E224" s="63"/>
      <c r="F224" s="63"/>
      <c r="G224" s="63"/>
      <c r="H224" s="63"/>
      <c r="I224" s="53">
        <f t="shared" si="9"/>
        <v>12.833333333333334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>
        <v>46</v>
      </c>
      <c r="B225" s="55">
        <v>293</v>
      </c>
      <c r="C225" s="55">
        <v>7</v>
      </c>
      <c r="D225" s="55">
        <v>29</v>
      </c>
      <c r="E225" s="63"/>
      <c r="F225" s="63"/>
      <c r="G225" s="63"/>
      <c r="H225" s="63"/>
      <c r="I225" s="53">
        <f t="shared" si="9"/>
        <v>9.8333333333333339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>
        <v>54</v>
      </c>
      <c r="B226" s="55">
        <v>311</v>
      </c>
      <c r="C226" s="55">
        <v>8</v>
      </c>
      <c r="D226" s="55">
        <v>16</v>
      </c>
      <c r="E226" s="63"/>
      <c r="F226" s="63"/>
      <c r="G226" s="63"/>
      <c r="H226" s="63"/>
      <c r="I226" s="53">
        <f t="shared" si="9"/>
        <v>5.875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>
        <v>62</v>
      </c>
      <c r="B227" s="55">
        <v>316</v>
      </c>
      <c r="C227" s="55">
        <v>9</v>
      </c>
      <c r="D227" s="55">
        <v>316</v>
      </c>
      <c r="E227" s="63"/>
      <c r="F227" s="63"/>
      <c r="G227" s="63"/>
      <c r="H227" s="63"/>
      <c r="I227" s="53">
        <f t="shared" si="9"/>
        <v>2.625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9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9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9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9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>Pin sylvestre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>
        <v>22</v>
      </c>
      <c r="B244" s="60">
        <v>84</v>
      </c>
      <c r="C244" s="60">
        <v>1</v>
      </c>
      <c r="D244" s="60">
        <v>0</v>
      </c>
      <c r="E244" s="51"/>
      <c r="F244" s="51"/>
      <c r="G244" s="51"/>
      <c r="H244" s="63"/>
      <c r="I244" s="53">
        <f>IFERROR(B244/A244,"")</f>
        <v>3.8181818181818183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>
        <v>25</v>
      </c>
      <c r="B245" s="60">
        <v>131</v>
      </c>
      <c r="C245" s="60">
        <v>2</v>
      </c>
      <c r="D245" s="60">
        <v>21</v>
      </c>
      <c r="E245" s="63"/>
      <c r="F245" s="63">
        <v>0.5</v>
      </c>
      <c r="G245" s="63">
        <v>0.5</v>
      </c>
      <c r="H245" s="63"/>
      <c r="I245" s="53">
        <f>IF(A245&lt;&gt;0,(B245-(B244-D244))/(A245-A244),"")</f>
        <v>15.666666666666666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>
        <v>30</v>
      </c>
      <c r="B246" s="60">
        <v>182</v>
      </c>
      <c r="C246" s="60">
        <v>3</v>
      </c>
      <c r="D246" s="60">
        <v>36</v>
      </c>
      <c r="E246" s="63"/>
      <c r="F246" s="63">
        <v>0.5</v>
      </c>
      <c r="G246" s="63">
        <v>0.5</v>
      </c>
      <c r="H246" s="63"/>
      <c r="I246" s="53">
        <f>IF(A246&lt;&gt;0,(B246-(B245-D245))/(A246-A245),"")</f>
        <v>14.4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>
        <v>35</v>
      </c>
      <c r="B247" s="60">
        <v>229</v>
      </c>
      <c r="C247" s="60">
        <v>4</v>
      </c>
      <c r="D247" s="60">
        <v>49</v>
      </c>
      <c r="E247" s="63"/>
      <c r="F247" s="63"/>
      <c r="G247" s="63"/>
      <c r="H247" s="63"/>
      <c r="I247" s="53">
        <f t="shared" ref="I247:I263" si="10">IF(A247&lt;&gt;0,(B247-(B246-D246))/(A247-A246),"")</f>
        <v>16.600000000000001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>
        <v>40</v>
      </c>
      <c r="B248" s="60">
        <v>256</v>
      </c>
      <c r="C248" s="60">
        <v>5</v>
      </c>
      <c r="D248" s="60">
        <v>42</v>
      </c>
      <c r="E248" s="63"/>
      <c r="F248" s="63"/>
      <c r="G248" s="63"/>
      <c r="H248" s="63"/>
      <c r="I248" s="53">
        <f t="shared" si="10"/>
        <v>15.2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>
        <v>45</v>
      </c>
      <c r="B249" s="60">
        <v>283</v>
      </c>
      <c r="C249" s="60">
        <v>6</v>
      </c>
      <c r="D249" s="60">
        <v>38</v>
      </c>
      <c r="E249" s="63"/>
      <c r="F249" s="63"/>
      <c r="G249" s="63"/>
      <c r="H249" s="63"/>
      <c r="I249" s="53">
        <f t="shared" si="10"/>
        <v>13.8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>
        <v>50</v>
      </c>
      <c r="B250" s="60">
        <v>311</v>
      </c>
      <c r="C250" s="60">
        <v>7</v>
      </c>
      <c r="D250" s="60">
        <v>37</v>
      </c>
      <c r="E250" s="63"/>
      <c r="F250" s="63"/>
      <c r="G250" s="63"/>
      <c r="H250" s="63"/>
      <c r="I250" s="53">
        <f t="shared" si="10"/>
        <v>13.2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>
        <v>58</v>
      </c>
      <c r="B251" s="55">
        <v>372</v>
      </c>
      <c r="C251" s="55">
        <v>8</v>
      </c>
      <c r="D251" s="55">
        <v>48</v>
      </c>
      <c r="E251" s="63"/>
      <c r="F251" s="63"/>
      <c r="G251" s="63"/>
      <c r="H251" s="63"/>
      <c r="I251" s="53">
        <f t="shared" si="10"/>
        <v>12.25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>
        <v>66</v>
      </c>
      <c r="B252" s="55">
        <v>415</v>
      </c>
      <c r="C252" s="55">
        <v>9</v>
      </c>
      <c r="D252" s="55">
        <v>50</v>
      </c>
      <c r="E252" s="63"/>
      <c r="F252" s="63"/>
      <c r="G252" s="63"/>
      <c r="H252" s="63"/>
      <c r="I252" s="53">
        <f t="shared" si="10"/>
        <v>11.375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>
        <v>74</v>
      </c>
      <c r="B253" s="55">
        <v>419</v>
      </c>
      <c r="C253" s="55">
        <v>10</v>
      </c>
      <c r="D253" s="55">
        <v>20</v>
      </c>
      <c r="E253" s="63"/>
      <c r="F253" s="63"/>
      <c r="G253" s="63"/>
      <c r="H253" s="63"/>
      <c r="I253" s="53">
        <f t="shared" si="10"/>
        <v>6.75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>
        <v>82</v>
      </c>
      <c r="B254" s="55">
        <f>427+17</f>
        <v>444</v>
      </c>
      <c r="C254" s="55">
        <v>11</v>
      </c>
      <c r="D254" s="55">
        <f>B254</f>
        <v>444</v>
      </c>
      <c r="E254" s="63"/>
      <c r="F254" s="63"/>
      <c r="G254" s="63"/>
      <c r="H254" s="63"/>
      <c r="I254" s="53">
        <f t="shared" si="10"/>
        <v>5.625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0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1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1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1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1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1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2" sqref="G22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Cèdre de l'Atlas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Châtaignier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rouge d'Amérique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Chêne sessile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Douglas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Mélèze d'Europe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Pin laricio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Pin Maritime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>Pin sylvestre</v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215.23235148064941</v>
      </c>
      <c r="T3" s="59">
        <f>IF('Données projet'!E9&gt;30,$R$33-$H$33,LOOKUP('Données projet'!$E$9,$A$3:$A$203,R3:R203)-LOOKUP('Données projet'!$E$9,$A$3:$A$203,$H$3:$H$203))</f>
        <v>184.07239726900434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178.12968684094687</v>
      </c>
      <c r="AO3" s="59">
        <f>IF('Données projet'!E10&gt;30,$AM$33-$H$33,LOOKUP('Données projet'!$E$10,$A$3:$A$203,AM3:AM203)-LOOKUP('Données projet'!$E$10,$A$3:$A$203,$H$3:$H$203))</f>
        <v>219.36004077210373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114.02623091248347</v>
      </c>
      <c r="BJ3" s="59">
        <f>IF('Données projet'!E11&gt;30,$BH$33-$H$33,LOOKUP('Données projet'!$E$11,$A$3:$A$203,BH3:BH203)-LOOKUP('Données projet'!$E$11,$A$3:$A$203,$H$3:$H$203))</f>
        <v>185.51554083721635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237.22177246688199</v>
      </c>
      <c r="CE3" s="59">
        <f>IF('Données projet'!E12&gt;30,$CC$33-$H$33,LOOKUP('Données projet'!$E$12,$A$3:$A$203,CC3:CC203)-LOOKUP('Données projet'!$E$12,$A$3:$A$203,$H$3:$H$203))</f>
        <v>149.27472147904302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326.31232746914907</v>
      </c>
      <c r="CZ3" s="59">
        <f>IF('Données projet'!E13&gt;30,$CX$33-$H$33,LOOKUP('Données projet'!$E$13,$A$3:$A$203,CX3:CX203)-LOOKUP('Données projet'!$E$13,$A$3:$A$203,$H$3:$H$203))</f>
        <v>330.17137761430297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209.93608079129638</v>
      </c>
      <c r="DU3" s="59">
        <f>IF('Données projet'!E14&gt;30,$DS$33-$H$33,LOOKUP('Données projet'!$E$14,$A$3:$A$203,DS3:DS203)-LOOKUP('Données projet'!$E$14,$A$3:$A$203,$H$3:$H$203))</f>
        <v>240.15652428700969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216.94426559495264</v>
      </c>
      <c r="EP3" s="59">
        <f>IF('Données projet'!E15&gt;30,$EN$33-$H$33,LOOKUP('Données projet'!$E$15,$A$3:$A$203,EN3:EN203)-LOOKUP('Données projet'!$E$15,$A$3:$A$203,$H$3:$H$203))</f>
        <v>225.33715877618704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168.08890945052406</v>
      </c>
      <c r="FK3" s="59">
        <f>IF('Données projet'!E16&gt;30,$FI$33-$H$33,LOOKUP('Données projet'!$E$16,$A$3:$A$203,FI3:FI203)-LOOKUP('Données projet'!$E$16,$A$3:$A$203,$H$3:$H$203))</f>
        <v>182.52462557642343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293.33333333333331</v>
      </c>
      <c r="GE3" s="59">
        <f ca="1">AVERAGE(OFFSET($GD$3,0,0,'Données projet'!$E$17+1,1))-AVERAGE(OFFSET($H$3,0,0,'Données projet'!$E$17+1,1))</f>
        <v>196.95560009657527</v>
      </c>
      <c r="GF3" s="59">
        <f>IF('Données projet'!E17&gt;30,$GD$33-$H$33,LOOKUP('Données projet'!$E$17,$A$3:$A$203,GD3:GD203)-LOOKUP('Données projet'!$E$17,$A$3:$A$203,$H$3:$H$203))</f>
        <v>168.90186968005662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7.9</v>
      </c>
      <c r="N4" s="13">
        <f>IF('Données projet'!$A$36&gt;35,N3+M4-V3,IF(A4&lt;'Données projet'!$A$36,$K$205^A4,IF(A4='Données projet'!$A$36,'Données projet'!$B$36,N3+M4-V3)))</f>
        <v>1.2880503926580862</v>
      </c>
      <c r="O4" s="13">
        <f>N4*VLOOKUP('Données projet'!$B$9,Paramètres!$A$1:$I$89,3,0)*VLOOKUP('Données projet'!$B$9,Paramètres!$A$1:$I$89,5,0)</f>
        <v>0.60280758376398436</v>
      </c>
      <c r="P4" s="13">
        <f>EXP(-1.0587+0.8836*LN(O4)+0.284)</f>
        <v>0.29465781953181042</v>
      </c>
      <c r="Q4" s="20">
        <f t="shared" ref="Q4:Q34" si="2">(O4+P4)*0.475*44/12</f>
        <v>1.5630855774068424</v>
      </c>
      <c r="R4" s="59">
        <f t="shared" si="0"/>
        <v>294.89641891074018</v>
      </c>
      <c r="S4" s="59">
        <f ca="1">AVERAGE(OFFSET($R$3,0,0,'Données projet'!$E$9+1,1))-AVERAGE(OFFSET($H$3,0,0,'Données projet'!$E$9+1,1))</f>
        <v>215.23235148064941</v>
      </c>
      <c r="T4" s="59">
        <f>$T$3</f>
        <v>184.07239726900434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4.75</v>
      </c>
      <c r="AI4" s="13">
        <f>IF('Données projet'!$A$62&gt;35,AI3+AH4-AQ3,IF(A4&lt;'Données projet'!$A$62,$AF$205^A4,IF(A4='Données projet'!$A$62,'Données projet'!$B$62,AI3+AH4-AQ3)))</f>
        <v>1.2557008269631629</v>
      </c>
      <c r="AJ4" s="13">
        <f>AI4*VLOOKUP('Données projet'!$B$10,Paramètres!$A$1:$I$89,3,0)*VLOOKUP('Données projet'!$B$10,Paramètres!$A$1:$I$89,5,0)</f>
        <v>0.92067984632939093</v>
      </c>
      <c r="AK4" s="13">
        <f>EXP(-1.0587+0.8836*LN(AJ4)+0.284)</f>
        <v>0.42838914348681989</v>
      </c>
      <c r="AL4" s="20">
        <f t="shared" ref="AL4:AL67" si="4">(AJ4+AK4)*0.475*44/12</f>
        <v>2.349628490596567</v>
      </c>
      <c r="AM4" s="59">
        <f t="shared" ref="AM4:AM67" si="5">AL4+(AD4+AE4)*44/12</f>
        <v>295.68296182392987</v>
      </c>
      <c r="AN4" s="59">
        <f ca="1">AVERAGE(OFFSET($AM$3,0,0,'Données projet'!$E$10+1,1))-AVERAGE(OFFSET($H$3,0,0,'Données projet'!$E$10+1,1))</f>
        <v>178.12968684094687</v>
      </c>
      <c r="AO4" s="59">
        <f>$AO$3</f>
        <v>219.36004077210373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4.25</v>
      </c>
      <c r="BD4" s="12">
        <f>IF('Données projet'!$A$88&gt;35,BD3+BC4-BL3,IF(A4&lt;'Données projet'!$A$88,$BA$205^A4,IF(A4='Données projet'!$A$88,'Données projet'!$B$88,BD3+BC4-BL3)))</f>
        <v>1.248736902983739</v>
      </c>
      <c r="BE4" s="13">
        <f>BD4*VLOOKUP('Données projet'!$B$11,Paramètres!$A$1:$I$89,3,0)*VLOOKUP('Données projet'!$B$11,Paramètres!$A$1:$I$89,5,0)</f>
        <v>1.0908965584465944</v>
      </c>
      <c r="BF4" s="13">
        <f>EXP(-1.0587+0.8836*LN(BE4)+0.284)</f>
        <v>0.49766560757535394</v>
      </c>
      <c r="BG4" s="20">
        <f t="shared" ref="BG4:BG67" si="7">(BE4+BF4)*0.475*44/12</f>
        <v>2.7667457724882265</v>
      </c>
      <c r="BH4" s="59">
        <f t="shared" ref="BH4:BH67" si="8">BG4+(AY4+AZ4)*44/12</f>
        <v>296.10007910582152</v>
      </c>
      <c r="BI4" s="59">
        <f ca="1">AVERAGE(OFFSET($BH$3,0,0,'Données projet'!$E$11+1,1))-AVERAGE(OFFSET($H$3,0,0,'Données projet'!$E$11+1,1))</f>
        <v>114.02623091248347</v>
      </c>
      <c r="BJ4" s="59">
        <f>$BJ$3</f>
        <v>185.51554083721635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2.1</v>
      </c>
      <c r="BY4" s="12">
        <f>IF('Données projet'!$A$114&gt;35,BY3+BX4-CG3,IF(A4&lt;'Données projet'!$A$114,$BV$205^A4,IF(A4='Données projet'!$A$114,'Données projet'!$B$114,BY3+BX4-CG3)))</f>
        <v>1.2054868146447177</v>
      </c>
      <c r="BZ4" s="13">
        <f>BY4*VLOOKUP('Données projet'!$B$12,Paramètres!$A$1:$I$89,3,0)*VLOOKUP('Données projet'!$B$12,Paramètres!$A$1:$I$89,5,0)</f>
        <v>1.0907244698905405</v>
      </c>
      <c r="CA4" s="13">
        <f>EXP(-1.0587+0.8836*LN(BZ4)+0.284)</f>
        <v>0.49759623852608204</v>
      </c>
      <c r="CB4" s="20">
        <f t="shared" ref="CB4:CB67" si="10">(BZ4+CA4)*0.475*44/12</f>
        <v>2.7663252338256172</v>
      </c>
      <c r="CC4" s="59">
        <f t="shared" ref="CC4:CC67" si="11">CB4+(BT4+BU4)*44/12</f>
        <v>296.09965856715894</v>
      </c>
      <c r="CD4" s="59">
        <f ca="1">AVERAGE(OFFSET($CC$3,0,0,'Données projet'!$E$12+1,1))-AVERAGE(OFFSET($H$3,0,0,'Données projet'!$E$12+1,1))</f>
        <v>237.22177246688199</v>
      </c>
      <c r="CE4" s="59">
        <f>$CE$3</f>
        <v>149.27472147904302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1.2</v>
      </c>
      <c r="CT4" s="12">
        <f>IF('Données projet'!$A$140&gt;35,CT3+CS4-DB3,IF(A4&lt;'Données projet'!$A$140,$CQ$205^A4,IF(A4='Données projet'!$A$140,'Données projet'!$B$140,CT3+CS4-DB3)))</f>
        <v>1.2820888539868154</v>
      </c>
      <c r="CU4" s="17">
        <f>CT4*VLOOKUP('Données projet'!$B$13,Paramètres!$A$1:$I$89,3,0)*VLOOKUP('Données projet'!$B$13,Paramètres!$A$1:$I$89,5,0)</f>
        <v>0.71668766937862982</v>
      </c>
      <c r="CV4" s="13">
        <f>EXP(-1.0587+0.8836*LN(CU4)+0.284)</f>
        <v>0.3433377788328647</v>
      </c>
      <c r="CW4" s="20">
        <f t="shared" ref="CW4:CW67" si="13">(CU4+CV4)*0.475*44/12</f>
        <v>1.8462109889683529</v>
      </c>
      <c r="CX4" s="59">
        <f t="shared" ref="CX4:CX67" si="14">CW4+(CO4+CP4)*44/12</f>
        <v>295.17954432230169</v>
      </c>
      <c r="CY4" s="59">
        <f ca="1">AVERAGE(OFFSET($CX$3,0,0,'Données projet'!$E$13+1,1))-AVERAGE(OFFSET($H$3,0,0,'Données projet'!$E$13+1,1))</f>
        <v>326.31232746914907</v>
      </c>
      <c r="CZ4" s="59">
        <f>$CZ$3</f>
        <v>330.17137761430297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5.9</v>
      </c>
      <c r="DO4" s="12">
        <f>IF('Données projet'!$A$166&gt;35,DO3+DN4-DW3,IF(A4&lt;'Données projet'!$A$166,$DL$205^A4,IF(A4='Données projet'!$A$166,'Données projet'!$B$166,DO3+DN4-DW3)))</f>
        <v>1.2693871579679339</v>
      </c>
      <c r="DP4" s="17">
        <f>DO4*VLOOKUP('Données projet'!$B$14,Paramètres!$A$1:$I$89,3,0)*VLOOKUP('Données projet'!$B$14,Paramètres!$A$1:$I$89,5,0)</f>
        <v>0.79209758657199081</v>
      </c>
      <c r="DQ4" s="13">
        <f>EXP(-1.0587+0.8836*LN(DP4)+0.284)</f>
        <v>0.37507050689117594</v>
      </c>
      <c r="DR4" s="20">
        <f t="shared" ref="DR4:DR67" si="16">(DP4+DQ4)*0.475*44/12</f>
        <v>2.0328177627816819</v>
      </c>
      <c r="DS4" s="59">
        <f t="shared" ref="DS4:DS67" si="17">DR4+(DJ4+DK4)*44/12</f>
        <v>295.366151096115</v>
      </c>
      <c r="DT4" s="59">
        <f ca="1">AVERAGE(OFFSET($DS$3,0,0,'Données projet'!$E$14+1,1))-AVERAGE(OFFSET($H$3,0,0,'Données projet'!$E$14+1,1))</f>
        <v>209.93608079129638</v>
      </c>
      <c r="DU4" s="59">
        <f>$DU$3</f>
        <v>240.15652428700969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4.55</v>
      </c>
      <c r="EJ4" s="12">
        <f>IF('Données projet'!$A$192&gt;35,EJ3+EI4-ER3,IF(A4&lt;'Données projet'!$A$192,$EG$205^A4,IF(A4='Données projet'!$A$192,'Données projet'!$B$192,EJ3+EI4-ER3)))</f>
        <v>1.2530028811664373</v>
      </c>
      <c r="EK4" s="17">
        <f>EJ4*VLOOKUP('Données projet'!$B$15,Paramètres!$A$1:$I$89,3,0)*VLOOKUP('Données projet'!$B$15,Paramètres!$A$1:$I$89,5,0)</f>
        <v>0.74929572293752955</v>
      </c>
      <c r="EL4" s="13">
        <f>EXP(-1.0587+0.8836*LN(EK4)+0.284)</f>
        <v>0.35710479340754359</v>
      </c>
      <c r="EM4" s="20">
        <f t="shared" ref="EM4:EM67" si="19">(EK4+EL4)*0.475*44/12</f>
        <v>1.9269808993010022</v>
      </c>
      <c r="EN4" s="59">
        <f t="shared" ref="EN4:EN67" si="20">EM4+(EE4+EF4)*44/12</f>
        <v>295.2603142326343</v>
      </c>
      <c r="EO4" s="59">
        <f ca="1">AVERAGE(OFFSET($EN$3,0,0,'Données projet'!$E$15+1,1))-AVERAGE(OFFSET($H$3,0,0,'Données projet'!$E$15+1,1))</f>
        <v>216.94426559495264</v>
      </c>
      <c r="EP4" s="59">
        <f>$EP$3</f>
        <v>225.33715877618704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3</v>
      </c>
      <c r="FE4" s="12">
        <f>IF('Données projet'!$A$218&gt;35,FE3+FD4-FM3,IF(A4&lt;'Données projet'!$A$218,$FB$205^A4,IF(A4='Données projet'!$A$218,'Données projet'!$B$218,FE3+FD4-FM3)))</f>
        <v>1.3480061545972777</v>
      </c>
      <c r="FF4" s="17">
        <f>FE4*VLOOKUP('Données projet'!$B$16,Paramètres!$A$1:$I$89,3,0)*VLOOKUP('Données projet'!$B$16,Paramètres!$A$1:$I$89,5,0)</f>
        <v>0.80610768044917203</v>
      </c>
      <c r="FG4" s="13">
        <f>EXP(-1.0587+0.8836*LN(FF4)+0.284)</f>
        <v>0.38092631183578585</v>
      </c>
      <c r="FH4" s="20">
        <f t="shared" ref="FH4:FH67" si="22">(FF4+FG4)*0.475*44/12</f>
        <v>2.0674175365629677</v>
      </c>
      <c r="FI4" s="59">
        <f t="shared" ref="FI4:FI67" si="23">FH4+(EZ4+FA4)*44/12</f>
        <v>295.40075086989629</v>
      </c>
      <c r="FJ4" s="59">
        <f ca="1">AVERAGE(OFFSET($FI$3,0,0,'Données projet'!$E$16+1,1))-AVERAGE(OFFSET($H$3,0,0,'Données projet'!$E$16+1,1))</f>
        <v>168.08890945052406</v>
      </c>
      <c r="FK4" s="59">
        <f>$FK$3</f>
        <v>182.52462557642343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3.8181818181818183</v>
      </c>
      <c r="FZ4" s="12">
        <f>IF('Données projet'!$A$244&gt;35,FZ3+FY4-GH3,IF(A4&lt;'Données projet'!$A$244,$FW$205^A4,IF(A4='Données projet'!$A$244,'Données projet'!$B$244,FZ3+FY4-GH3)))</f>
        <v>1.2231148535053959</v>
      </c>
      <c r="GA4" s="17">
        <f>FZ4*VLOOKUP('Données projet'!$B$17,Paramètres!$A$1:$I$89,3,0)*VLOOKUP('Données projet'!$B$17,Paramètres!$A$1:$I$89,5,0)</f>
        <v>0.69962169620508652</v>
      </c>
      <c r="GB4" s="13">
        <f>EXP(-1.0587+0.8836*LN(GA4)+0.284)</f>
        <v>0.33610366593941898</v>
      </c>
      <c r="GC4" s="20">
        <f t="shared" ref="GC4:GC67" si="25">(GA4+GB4)*0.475*44/12</f>
        <v>1.8038883390683471</v>
      </c>
      <c r="GD4" s="59">
        <f t="shared" ref="GD4:GD67" si="26">GC4+(FU4+FV4)*44/12</f>
        <v>295.13722167240167</v>
      </c>
      <c r="GE4" s="59">
        <f ca="1">AVERAGE(OFFSET($GD$3,0,0,'Données projet'!$E$17+1,1))-AVERAGE(OFFSET($H$3,0,0,'Données projet'!$E$17+1,1))</f>
        <v>196.95560009657527</v>
      </c>
      <c r="GF4" s="59">
        <f>$GF$3</f>
        <v>168.90186968005662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7.9</v>
      </c>
      <c r="N5" s="13">
        <f>IF('Données projet'!$A$36&gt;35,N4+M5-V4,IF(A5&lt;'Données projet'!$A$36,$K$205^A5,IF(A5='Données projet'!$A$36,'Données projet'!$B$36,N4+M5-V4)))</f>
        <v>1.6590738140266501</v>
      </c>
      <c r="O5" s="13">
        <f>N5*VLOOKUP('Données projet'!$B$9,Paramètres!$A$1:$I$89,3,0)*VLOOKUP('Données projet'!$B$9,Paramètres!$A$1:$I$89,5,0)</f>
        <v>0.77644654496447219</v>
      </c>
      <c r="P5" s="13">
        <f t="shared" ref="P5:P68" si="33">EXP(-1.0587+0.8836*LN(O5)+0.284)</f>
        <v>0.36851455096495994</v>
      </c>
      <c r="Q5" s="20">
        <f t="shared" si="2"/>
        <v>1.9941405754104276</v>
      </c>
      <c r="R5" s="59">
        <f t="shared" si="0"/>
        <v>295.32747390874374</v>
      </c>
      <c r="S5" s="59">
        <f ca="1">AVERAGE(OFFSET($R$3,0,0,'Données projet'!$E$9+1,1))-AVERAGE(OFFSET($H$3,0,0,'Données projet'!$E$9+1,1))</f>
        <v>215.23235148064941</v>
      </c>
      <c r="T5" s="59">
        <f t="shared" ref="T5:T68" si="34">$T$3</f>
        <v>184.07239726900434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4.75</v>
      </c>
      <c r="AI5" s="13">
        <f>IF('Données projet'!$A$62&gt;35,AI4+AH5-AQ4,IF(A5&lt;'Données projet'!$A$62,$AF$205^A5,IF(A5='Données projet'!$A$62,'Données projet'!$B$62,AI4+AH5-AQ4)))</f>
        <v>1.576784566835971</v>
      </c>
      <c r="AJ5" s="13">
        <f>AI5*VLOOKUP('Données projet'!$B$10,Paramètres!$A$1:$I$89,3,0)*VLOOKUP('Données projet'!$B$10,Paramètres!$A$1:$I$89,5,0)</f>
        <v>1.156098444404134</v>
      </c>
      <c r="AK5" s="13">
        <f t="shared" ref="AK5:AK68" si="35">EXP(-1.0587+0.8836*LN(AJ5)+0.284)</f>
        <v>0.52385884974705288</v>
      </c>
      <c r="AL5" s="20">
        <f t="shared" si="4"/>
        <v>2.9259256206466504</v>
      </c>
      <c r="AM5" s="59">
        <f t="shared" si="5"/>
        <v>296.25925895397995</v>
      </c>
      <c r="AN5" s="59">
        <f ca="1">AVERAGE(OFFSET($AM$3,0,0,'Données projet'!$E$10+1,1))-AVERAGE(OFFSET($H$3,0,0,'Données projet'!$E$10+1,1))</f>
        <v>178.12968684094687</v>
      </c>
      <c r="AO5" s="59">
        <f t="shared" ref="AO5:AO68" si="36">$AO$3</f>
        <v>219.36004077210373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4.25</v>
      </c>
      <c r="BD5" s="12">
        <f>IF('Données projet'!$A$88&gt;35,BD4+BC5-BL4,IF(A5&lt;'Données projet'!$A$88,$BA$205^A5,IF(A5='Données projet'!$A$88,'Données projet'!$B$88,BD4+BC5-BL4)))</f>
        <v>1.5593438528734198</v>
      </c>
      <c r="BE5" s="13">
        <f>BD5*VLOOKUP('Données projet'!$B$11,Paramètres!$A$1:$I$89,3,0)*VLOOKUP('Données projet'!$B$11,Paramètres!$A$1:$I$89,5,0)</f>
        <v>1.3622427898702199</v>
      </c>
      <c r="BF5" s="13">
        <f t="shared" ref="BF5:BF68" si="37">EXP(-1.0587+0.8836*LN(BE5)+0.284)</f>
        <v>0.60559092281652982</v>
      </c>
      <c r="BG5" s="20">
        <f t="shared" si="7"/>
        <v>3.4273103829294222</v>
      </c>
      <c r="BH5" s="59">
        <f t="shared" si="8"/>
        <v>296.76064371626273</v>
      </c>
      <c r="BI5" s="59">
        <f ca="1">AVERAGE(OFFSET($BH$3,0,0,'Données projet'!$E$11+1,1))-AVERAGE(OFFSET($H$3,0,0,'Données projet'!$E$11+1,1))</f>
        <v>114.02623091248347</v>
      </c>
      <c r="BJ5" s="59">
        <f t="shared" ref="BJ5:BJ68" si="38">$BJ$3</f>
        <v>185.51554083721635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2.1</v>
      </c>
      <c r="BY5" s="12">
        <f>IF('Données projet'!$A$114&gt;35,BY4+BX5-CG4,IF(A5&lt;'Données projet'!$A$114,$BV$205^A5,IF(A5='Données projet'!$A$114,'Données projet'!$B$114,BY4+BX5-CG4)))</f>
        <v>1.4531984602822681</v>
      </c>
      <c r="BZ5" s="13">
        <f>BY5*VLOOKUP('Données projet'!$B$12,Paramètres!$A$1:$I$89,3,0)*VLOOKUP('Données projet'!$B$12,Paramètres!$A$1:$I$89,5,0)</f>
        <v>1.3148539668633961</v>
      </c>
      <c r="CA5" s="13">
        <f t="shared" ref="CA5:CA68" si="39">EXP(-1.0587+0.8836*LN(BZ5)+0.284)</f>
        <v>0.58693801963664449</v>
      </c>
      <c r="CB5" s="20">
        <f t="shared" si="10"/>
        <v>3.3122877098209038</v>
      </c>
      <c r="CC5" s="59">
        <f t="shared" si="11"/>
        <v>296.64562104315422</v>
      </c>
      <c r="CD5" s="59">
        <f ca="1">AVERAGE(OFFSET($CC$3,0,0,'Données projet'!$E$12+1,1))-AVERAGE(OFFSET($H$3,0,0,'Données projet'!$E$12+1,1))</f>
        <v>237.22177246688199</v>
      </c>
      <c r="CE5" s="59">
        <f t="shared" ref="CE5:CE68" si="40">$CE$3</f>
        <v>149.27472147904302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1.2</v>
      </c>
      <c r="CT5" s="12">
        <f>IF('Données projet'!$A$140&gt;35,CT4+CS5-DB4,IF(A5&lt;'Données projet'!$A$140,$CQ$205^A5,IF(A5='Données projet'!$A$140,'Données projet'!$B$140,CT4+CS5-DB4)))</f>
        <v>1.6437518295172255</v>
      </c>
      <c r="CU5" s="17">
        <f>CT5*VLOOKUP('Données projet'!$B$13,Paramètres!$A$1:$I$89,3,0)*VLOOKUP('Données projet'!$B$13,Paramètres!$A$1:$I$89,5,0)</f>
        <v>0.91885727270012907</v>
      </c>
      <c r="CV5" s="13">
        <f t="shared" ref="CV5:CV68" si="41">EXP(-1.0587+0.8836*LN(CU5)+0.284)</f>
        <v>0.4276397314244611</v>
      </c>
      <c r="CW5" s="20">
        <f t="shared" si="13"/>
        <v>2.3451489488503281</v>
      </c>
      <c r="CX5" s="59">
        <f t="shared" si="14"/>
        <v>295.67848228218367</v>
      </c>
      <c r="CY5" s="59">
        <f ca="1">AVERAGE(OFFSET($CX$3,0,0,'Données projet'!$E$13+1,1))-AVERAGE(OFFSET($H$3,0,0,'Données projet'!$E$13+1,1))</f>
        <v>326.31232746914907</v>
      </c>
      <c r="CZ5" s="59">
        <f t="shared" ref="CZ5:CZ68" si="42">$CZ$3</f>
        <v>330.17137761430297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5.9</v>
      </c>
      <c r="DO5" s="12">
        <f>IF('Données projet'!$A$166&gt;35,DO4+DN5-DW4,IF(A5&lt;'Données projet'!$A$166,$DL$205^A5,IF(A5='Données projet'!$A$166,'Données projet'!$B$166,DO4+DN5-DW4)))</f>
        <v>1.6113437568139084</v>
      </c>
      <c r="DP5" s="17">
        <f>DO5*VLOOKUP('Données projet'!$B$14,Paramètres!$A$1:$I$89,3,0)*VLOOKUP('Données projet'!$B$14,Paramètres!$A$1:$I$89,5,0)</f>
        <v>1.0054785042518788</v>
      </c>
      <c r="DQ5" s="13">
        <f t="shared" ref="DQ5:DQ68" si="43">EXP(-1.0587+0.8836*LN(DP5)+0.284)</f>
        <v>0.46307214995521828</v>
      </c>
      <c r="DR5" s="20">
        <f t="shared" si="16"/>
        <v>2.5577257227440273</v>
      </c>
      <c r="DS5" s="59">
        <f t="shared" si="17"/>
        <v>295.89105905607732</v>
      </c>
      <c r="DT5" s="59">
        <f ca="1">AVERAGE(OFFSET($DS$3,0,0,'Données projet'!$E$14+1,1))-AVERAGE(OFFSET($H$3,0,0,'Données projet'!$E$14+1,1))</f>
        <v>209.93608079129638</v>
      </c>
      <c r="DU5" s="59">
        <f t="shared" ref="DU5:DU68" si="44">$DU$3</f>
        <v>240.15652428700969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4.55</v>
      </c>
      <c r="EJ5" s="12">
        <f>IF('Données projet'!$A$192&gt;35,EJ4+EI5-ER4,IF(A5&lt;'Données projet'!$A$192,$EG$205^A5,IF(A5='Données projet'!$A$192,'Données projet'!$B$192,EJ4+EI5-ER4)))</f>
        <v>1.570016220211393</v>
      </c>
      <c r="EK5" s="17">
        <f>EJ5*VLOOKUP('Données projet'!$B$15,Paramètres!$A$1:$I$89,3,0)*VLOOKUP('Données projet'!$B$15,Paramètres!$A$1:$I$89,5,0)</f>
        <v>0.9388696996864131</v>
      </c>
      <c r="EL5" s="13">
        <f t="shared" ref="EL5:EL68" si="45">EXP(-1.0587+0.8836*LN(EK5)+0.284)</f>
        <v>0.43585911075604999</v>
      </c>
      <c r="EM5" s="20">
        <f t="shared" si="19"/>
        <v>2.3943193448539568</v>
      </c>
      <c r="EN5" s="59">
        <f t="shared" si="20"/>
        <v>295.72765267818727</v>
      </c>
      <c r="EO5" s="59">
        <f ca="1">AVERAGE(OFFSET($EN$3,0,0,'Données projet'!$E$15+1,1))-AVERAGE(OFFSET($H$3,0,0,'Données projet'!$E$15+1,1))</f>
        <v>216.94426559495264</v>
      </c>
      <c r="EP5" s="59">
        <f t="shared" ref="EP5:EP68" si="46">$EP$3</f>
        <v>225.33715877618704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3</v>
      </c>
      <c r="FE5" s="12">
        <f>IF('Données projet'!$A$218&gt;35,FE4+FD5-FM4,IF(A5&lt;'Données projet'!$A$218,$FB$205^A5,IF(A5='Données projet'!$A$218,'Données projet'!$B$218,FE4+FD5-FM4)))</f>
        <v>1.8171205928321397</v>
      </c>
      <c r="FF5" s="17">
        <f>FE5*VLOOKUP('Données projet'!$B$16,Paramètres!$A$1:$I$89,3,0)*VLOOKUP('Données projet'!$B$16,Paramètres!$A$1:$I$89,5,0)</f>
        <v>1.0866381145136197</v>
      </c>
      <c r="FG5" s="13">
        <f t="shared" ref="FG5:FG68" si="47">EXP(-1.0587+0.8836*LN(FF5)+0.284)</f>
        <v>0.49594865026181029</v>
      </c>
      <c r="FH5" s="20">
        <f t="shared" si="22"/>
        <v>2.7563386153172069</v>
      </c>
      <c r="FI5" s="59">
        <f t="shared" si="23"/>
        <v>296.0896719486505</v>
      </c>
      <c r="FJ5" s="59">
        <f ca="1">AVERAGE(OFFSET($FI$3,0,0,'Données projet'!$E$16+1,1))-AVERAGE(OFFSET($H$3,0,0,'Données projet'!$E$16+1,1))</f>
        <v>168.08890945052406</v>
      </c>
      <c r="FK5" s="59">
        <f t="shared" ref="FK5:FK68" si="48">$FK$3</f>
        <v>182.52462557642343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3.8181818181818183</v>
      </c>
      <c r="FZ5" s="12">
        <f>IF('Données projet'!$A$244&gt;35,FZ4+FY5-GH4,IF(A5&lt;'Données projet'!$A$244,$FW$205^A5,IF(A5='Données projet'!$A$244,'Données projet'!$B$244,FZ4+FY5-GH4)))</f>
        <v>1.4960099448655262</v>
      </c>
      <c r="GA5" s="17">
        <f>FZ5*VLOOKUP('Données projet'!$B$17,Paramètres!$A$1:$I$89,3,0)*VLOOKUP('Données projet'!$B$17,Paramètres!$A$1:$I$89,5,0)</f>
        <v>0.85571768846308094</v>
      </c>
      <c r="GB5" s="13">
        <f t="shared" ref="GB5:GB68" si="49">EXP(-1.0587+0.8836*LN(GA5)+0.284)</f>
        <v>0.40156818983492421</v>
      </c>
      <c r="GC5" s="20">
        <f t="shared" si="25"/>
        <v>2.1897729047023593</v>
      </c>
      <c r="GD5" s="59">
        <f t="shared" si="26"/>
        <v>295.52310623803567</v>
      </c>
      <c r="GE5" s="59">
        <f ca="1">AVERAGE(OFFSET($GD$3,0,0,'Données projet'!$E$17+1,1))-AVERAGE(OFFSET($H$3,0,0,'Données projet'!$E$17+1,1))</f>
        <v>196.95560009657527</v>
      </c>
      <c r="GF5" s="59">
        <f t="shared" ref="GF5:GF68" si="50">$GF$3</f>
        <v>168.90186968005662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7.9</v>
      </c>
      <c r="N6" s="13">
        <f>IF('Données projet'!$A$36&gt;35,N5+M6-V5,IF(A6&lt;'Données projet'!$A$36,$K$205^A6,IF(A6='Données projet'!$A$36,'Données projet'!$B$36,N5+M6-V5)))</f>
        <v>2.1369706776057753</v>
      </c>
      <c r="O6" s="13">
        <f>N6*VLOOKUP('Données projet'!$B$9,Paramètres!$A$1:$I$89,3,0)*VLOOKUP('Données projet'!$B$9,Paramètres!$A$1:$I$89,5,0)</f>
        <v>1.0001022771195029</v>
      </c>
      <c r="P6" s="13">
        <f t="shared" si="33"/>
        <v>0.46088365986243646</v>
      </c>
      <c r="Q6" s="20">
        <f t="shared" si="2"/>
        <v>2.5445505069102112</v>
      </c>
      <c r="R6" s="59">
        <f t="shared" si="0"/>
        <v>295.8778838402435</v>
      </c>
      <c r="S6" s="59">
        <f ca="1">AVERAGE(OFFSET($R$3,0,0,'Données projet'!$E$9+1,1))-AVERAGE(OFFSET($H$3,0,0,'Données projet'!$E$9+1,1))</f>
        <v>215.23235148064941</v>
      </c>
      <c r="T6" s="59">
        <f t="shared" si="34"/>
        <v>184.07239726900434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4.75</v>
      </c>
      <c r="AI6" s="13">
        <f>IF('Données projet'!$A$62&gt;35,AI5+AH6-AQ5,IF(A6&lt;'Données projet'!$A$62,$AF$205^A6,IF(A6='Données projet'!$A$62,'Données projet'!$B$62,AI5+AH6-AQ5)))</f>
        <v>1.9799696845186814</v>
      </c>
      <c r="AJ6" s="13">
        <f>AI6*VLOOKUP('Données projet'!$B$10,Paramètres!$A$1:$I$89,3,0)*VLOOKUP('Données projet'!$B$10,Paramètres!$A$1:$I$89,5,0)</f>
        <v>1.4517137726890972</v>
      </c>
      <c r="AK6" s="13">
        <f t="shared" si="35"/>
        <v>0.64060468998964859</v>
      </c>
      <c r="AL6" s="20">
        <f t="shared" si="4"/>
        <v>3.6441213224988154</v>
      </c>
      <c r="AM6" s="59">
        <f t="shared" si="5"/>
        <v>296.9774546558321</v>
      </c>
      <c r="AN6" s="59">
        <f ca="1">AVERAGE(OFFSET($AM$3,0,0,'Données projet'!$E$10+1,1))-AVERAGE(OFFSET($H$3,0,0,'Données projet'!$E$10+1,1))</f>
        <v>178.12968684094687</v>
      </c>
      <c r="AO6" s="59">
        <f t="shared" si="36"/>
        <v>219.36004077210373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4.25</v>
      </c>
      <c r="BD6" s="12">
        <f>IF('Données projet'!$A$88&gt;35,BD5+BC6-BL5,IF(A6&lt;'Données projet'!$A$88,$BA$205^A6,IF(A6='Données projet'!$A$88,'Données projet'!$B$88,BD5+BC6-BL5)))</f>
        <v>1.9472102135238853</v>
      </c>
      <c r="BE6" s="13">
        <f>BD6*VLOOKUP('Données projet'!$B$11,Paramètres!$A$1:$I$89,3,0)*VLOOKUP('Données projet'!$B$11,Paramètres!$A$1:$I$89,5,0)</f>
        <v>1.7010828425344664</v>
      </c>
      <c r="BF6" s="13">
        <f t="shared" si="37"/>
        <v>0.73692125840190015</v>
      </c>
      <c r="BG6" s="20">
        <f t="shared" si="7"/>
        <v>4.2461904757975057</v>
      </c>
      <c r="BH6" s="59">
        <f t="shared" si="8"/>
        <v>297.57952380913082</v>
      </c>
      <c r="BI6" s="59">
        <f ca="1">AVERAGE(OFFSET($BH$3,0,0,'Données projet'!$E$11+1,1))-AVERAGE(OFFSET($H$3,0,0,'Données projet'!$E$11+1,1))</f>
        <v>114.02623091248347</v>
      </c>
      <c r="BJ6" s="59">
        <f t="shared" si="38"/>
        <v>185.51554083721635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2.1</v>
      </c>
      <c r="BY6" s="12">
        <f>IF('Données projet'!$A$114&gt;35,BY5+BX6-CG5,IF(A6&lt;'Données projet'!$A$114,$BV$205^A6,IF(A6='Données projet'!$A$114,'Données projet'!$B$114,BY5+BX6-CG5)))</f>
        <v>1.7518115829322798</v>
      </c>
      <c r="BZ6" s="13">
        <f>BY6*VLOOKUP('Données projet'!$B$12,Paramètres!$A$1:$I$89,3,0)*VLOOKUP('Données projet'!$B$12,Paramètres!$A$1:$I$89,5,0)</f>
        <v>1.5850391202371266</v>
      </c>
      <c r="CA6" s="13">
        <f t="shared" si="39"/>
        <v>0.69232082604846479</v>
      </c>
      <c r="CB6" s="20">
        <f t="shared" si="10"/>
        <v>3.966401906447405</v>
      </c>
      <c r="CC6" s="59">
        <f t="shared" si="11"/>
        <v>297.29973523978072</v>
      </c>
      <c r="CD6" s="59">
        <f ca="1">AVERAGE(OFFSET($CC$3,0,0,'Données projet'!$E$12+1,1))-AVERAGE(OFFSET($H$3,0,0,'Données projet'!$E$12+1,1))</f>
        <v>237.22177246688199</v>
      </c>
      <c r="CE6" s="59">
        <f t="shared" si="40"/>
        <v>149.27472147904302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1.2</v>
      </c>
      <c r="CT6" s="12">
        <f>IF('Données projet'!$A$140&gt;35,CT5+CS6-DB5,IF(A6&lt;'Données projet'!$A$140,$CQ$205^A6,IF(A6='Données projet'!$A$140,'Données projet'!$B$140,CT5+CS6-DB5)))</f>
        <v>2.1074358993444706</v>
      </c>
      <c r="CU6" s="17">
        <f>CT6*VLOOKUP('Données projet'!$B$13,Paramètres!$A$1:$I$89,3,0)*VLOOKUP('Données projet'!$B$13,Paramètres!$A$1:$I$89,5,0)</f>
        <v>1.1780566677335591</v>
      </c>
      <c r="CV6" s="13">
        <f t="shared" si="41"/>
        <v>0.532640889430954</v>
      </c>
      <c r="CW6" s="20">
        <f t="shared" si="13"/>
        <v>2.9794649120615269</v>
      </c>
      <c r="CX6" s="59">
        <f t="shared" si="14"/>
        <v>296.31279824539484</v>
      </c>
      <c r="CY6" s="59">
        <f ca="1">AVERAGE(OFFSET($CX$3,0,0,'Données projet'!$E$13+1,1))-AVERAGE(OFFSET($H$3,0,0,'Données projet'!$E$13+1,1))</f>
        <v>326.31232746914907</v>
      </c>
      <c r="CZ6" s="59">
        <f t="shared" si="42"/>
        <v>330.17137761430297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5.9</v>
      </c>
      <c r="DO6" s="12">
        <f>IF('Données projet'!$A$166&gt;35,DO5+DN6-DW5,IF(A6&lt;'Données projet'!$A$166,$DL$205^A6,IF(A6='Données projet'!$A$166,'Données projet'!$B$166,DO5+DN6-DW5)))</f>
        <v>2.0454190719713807</v>
      </c>
      <c r="DP6" s="17">
        <f>DO6*VLOOKUP('Données projet'!$B$14,Paramètres!$A$1:$I$89,3,0)*VLOOKUP('Données projet'!$B$14,Paramètres!$A$1:$I$89,5,0)</f>
        <v>1.2763415009101415</v>
      </c>
      <c r="DQ6" s="13">
        <f t="shared" si="43"/>
        <v>0.57172134871794966</v>
      </c>
      <c r="DR6" s="20">
        <f t="shared" si="16"/>
        <v>3.2187094631022588</v>
      </c>
      <c r="DS6" s="59">
        <f t="shared" si="17"/>
        <v>296.55204279643556</v>
      </c>
      <c r="DT6" s="59">
        <f ca="1">AVERAGE(OFFSET($DS$3,0,0,'Données projet'!$E$14+1,1))-AVERAGE(OFFSET($H$3,0,0,'Données projet'!$E$14+1,1))</f>
        <v>209.93608079129638</v>
      </c>
      <c r="DU6" s="59">
        <f t="shared" si="44"/>
        <v>240.15652428700969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4.55</v>
      </c>
      <c r="EJ6" s="12">
        <f>IF('Données projet'!$A$192&gt;35,EJ5+EI6-ER5,IF(A6&lt;'Données projet'!$A$192,$EG$205^A6,IF(A6='Données projet'!$A$192,'Données projet'!$B$192,EJ5+EI6-ER5)))</f>
        <v>1.9672348474029151</v>
      </c>
      <c r="EK6" s="17">
        <f>EJ6*VLOOKUP('Données projet'!$B$15,Paramètres!$A$1:$I$89,3,0)*VLOOKUP('Données projet'!$B$15,Paramètres!$A$1:$I$89,5,0)</f>
        <v>1.1764064387469433</v>
      </c>
      <c r="EL6" s="13">
        <f t="shared" si="45"/>
        <v>0.53198155817597481</v>
      </c>
      <c r="EM6" s="20">
        <f t="shared" si="19"/>
        <v>2.9754424279740825</v>
      </c>
      <c r="EN6" s="59">
        <f t="shared" si="20"/>
        <v>296.3087757613074</v>
      </c>
      <c r="EO6" s="59">
        <f ca="1">AVERAGE(OFFSET($EN$3,0,0,'Données projet'!$E$15+1,1))-AVERAGE(OFFSET($H$3,0,0,'Données projet'!$E$15+1,1))</f>
        <v>216.94426559495264</v>
      </c>
      <c r="EP6" s="59">
        <f t="shared" si="46"/>
        <v>225.33715877618704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3</v>
      </c>
      <c r="FE6" s="12">
        <f>IF('Données projet'!$A$218&gt;35,FE5+FD6-FM5,IF(A6&lt;'Données projet'!$A$218,$FB$205^A6,IF(A6='Données projet'!$A$218,'Données projet'!$B$218,FE5+FD6-FM5)))</f>
        <v>2.4494897427831783</v>
      </c>
      <c r="FF6" s="17">
        <f>FE6*VLOOKUP('Données projet'!$B$16,Paramètres!$A$1:$I$89,3,0)*VLOOKUP('Données projet'!$B$16,Paramètres!$A$1:$I$89,5,0)</f>
        <v>1.4647948661843406</v>
      </c>
      <c r="FG6" s="13">
        <f t="shared" si="47"/>
        <v>0.64570247854798968</v>
      </c>
      <c r="FH6" s="20">
        <f t="shared" si="22"/>
        <v>3.6757828754088084</v>
      </c>
      <c r="FI6" s="59">
        <f t="shared" si="23"/>
        <v>297.00911620874211</v>
      </c>
      <c r="FJ6" s="59">
        <f ca="1">AVERAGE(OFFSET($FI$3,0,0,'Données projet'!$E$16+1,1))-AVERAGE(OFFSET($H$3,0,0,'Données projet'!$E$16+1,1))</f>
        <v>168.08890945052406</v>
      </c>
      <c r="FK6" s="59">
        <f t="shared" si="48"/>
        <v>182.52462557642343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3.8181818181818183</v>
      </c>
      <c r="FZ6" s="12">
        <f>IF('Données projet'!$A$244&gt;35,FZ5+FY6-GH5,IF(A6&lt;'Données projet'!$A$244,$FW$205^A6,IF(A6='Données projet'!$A$244,'Données projet'!$B$244,FZ5+FY6-GH5)))</f>
        <v>1.8297919845568136</v>
      </c>
      <c r="GA6" s="17">
        <f>FZ6*VLOOKUP('Données projet'!$B$17,Paramètres!$A$1:$I$89,3,0)*VLOOKUP('Données projet'!$B$17,Paramètres!$A$1:$I$89,5,0)</f>
        <v>1.0466410151664975</v>
      </c>
      <c r="GB6" s="13">
        <f t="shared" si="49"/>
        <v>0.47978355319802907</v>
      </c>
      <c r="GC6" s="20">
        <f t="shared" si="25"/>
        <v>2.6585227899015504</v>
      </c>
      <c r="GD6" s="59">
        <f t="shared" si="26"/>
        <v>295.99185612323487</v>
      </c>
      <c r="GE6" s="59">
        <f ca="1">AVERAGE(OFFSET($GD$3,0,0,'Données projet'!$E$17+1,1))-AVERAGE(OFFSET($H$3,0,0,'Données projet'!$E$17+1,1))</f>
        <v>196.95560009657527</v>
      </c>
      <c r="GF6" s="59">
        <f t="shared" si="50"/>
        <v>168.90186968005662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7.9</v>
      </c>
      <c r="N7" s="13">
        <f>IF('Données projet'!$A$36&gt;35,N6+M7-V6,IF(A7&lt;'Données projet'!$A$36,$K$205^A7,IF(A7='Données projet'!$A$36,'Données projet'!$B$36,N6+M7-V6)))</f>
        <v>2.7525259203889356</v>
      </c>
      <c r="O7" s="13">
        <f>N7*VLOOKUP('Données projet'!$B$9,Paramètres!$A$1:$I$89,3,0)*VLOOKUP('Données projet'!$B$9,Paramètres!$A$1:$I$89,5,0)</f>
        <v>1.2881821307420218</v>
      </c>
      <c r="P7" s="13">
        <f t="shared" si="33"/>
        <v>0.57640532069082717</v>
      </c>
      <c r="Q7" s="20">
        <f t="shared" si="2"/>
        <v>3.2474898112455457</v>
      </c>
      <c r="R7" s="59">
        <f t="shared" si="0"/>
        <v>296.58082314457886</v>
      </c>
      <c r="S7" s="59">
        <f ca="1">AVERAGE(OFFSET($R$3,0,0,'Données projet'!$E$9+1,1))-AVERAGE(OFFSET($H$3,0,0,'Données projet'!$E$9+1,1))</f>
        <v>215.23235148064941</v>
      </c>
      <c r="T7" s="59">
        <f t="shared" si="34"/>
        <v>184.07239726900434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4.75</v>
      </c>
      <c r="AI7" s="13">
        <f>IF('Données projet'!$A$62&gt;35,AI6+AH7-AQ6,IF(A7&lt;'Données projet'!$A$62,$AF$205^A7,IF(A7='Données projet'!$A$62,'Données projet'!$B$62,AI6+AH7-AQ6)))</f>
        <v>2.4862495702121006</v>
      </c>
      <c r="AJ7" s="13">
        <f>AI7*VLOOKUP('Données projet'!$B$10,Paramètres!$A$1:$I$89,3,0)*VLOOKUP('Données projet'!$B$10,Paramètres!$A$1:$I$89,5,0)</f>
        <v>1.8229181848795122</v>
      </c>
      <c r="AK7" s="13">
        <f t="shared" si="35"/>
        <v>0.78336820888849046</v>
      </c>
      <c r="AL7" s="20">
        <f t="shared" si="4"/>
        <v>4.5392821358126039</v>
      </c>
      <c r="AM7" s="59">
        <f t="shared" si="5"/>
        <v>297.8726154691459</v>
      </c>
      <c r="AN7" s="59">
        <f ca="1">AVERAGE(OFFSET($AM$3,0,0,'Données projet'!$E$10+1,1))-AVERAGE(OFFSET($H$3,0,0,'Données projet'!$E$10+1,1))</f>
        <v>178.12968684094687</v>
      </c>
      <c r="AO7" s="59">
        <f t="shared" si="36"/>
        <v>219.36004077210373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4.25</v>
      </c>
      <c r="BD7" s="12">
        <f>IF('Données projet'!$A$88&gt;35,BD6+BC7-BL6,IF(A7&lt;'Données projet'!$A$88,$BA$205^A7,IF(A7='Données projet'!$A$88,'Données projet'!$B$88,BD6+BC7-BL6)))</f>
        <v>2.4315532514941216</v>
      </c>
      <c r="BE7" s="13">
        <f>BD7*VLOOKUP('Données projet'!$B$11,Paramètres!$A$1:$I$89,3,0)*VLOOKUP('Données projet'!$B$11,Paramètres!$A$1:$I$89,5,0)</f>
        <v>2.1242049205052647</v>
      </c>
      <c r="BF7" s="13">
        <f t="shared" si="37"/>
        <v>0.89673230001362447</v>
      </c>
      <c r="BG7" s="20">
        <f t="shared" si="7"/>
        <v>5.2614656590703985</v>
      </c>
      <c r="BH7" s="59">
        <f t="shared" si="8"/>
        <v>298.5947989924037</v>
      </c>
      <c r="BI7" s="59">
        <f ca="1">AVERAGE(OFFSET($BH$3,0,0,'Données projet'!$E$11+1,1))-AVERAGE(OFFSET($H$3,0,0,'Données projet'!$E$11+1,1))</f>
        <v>114.02623091248347</v>
      </c>
      <c r="BJ7" s="59">
        <f t="shared" si="38"/>
        <v>185.51554083721635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2.1</v>
      </c>
      <c r="BY7" s="12">
        <f>IF('Données projet'!$A$114&gt;35,BY6+BX7-CG6,IF(A7&lt;'Données projet'!$A$114,$BV$205^A7,IF(A7='Données projet'!$A$114,'Données projet'!$B$114,BY6+BX7-CG6)))</f>
        <v>2.1117857649667546</v>
      </c>
      <c r="BZ7" s="13">
        <f>BY7*VLOOKUP('Données projet'!$B$12,Paramètres!$A$1:$I$89,3,0)*VLOOKUP('Données projet'!$B$12,Paramètres!$A$1:$I$89,5,0)</f>
        <v>1.9107437601419195</v>
      </c>
      <c r="CA7" s="13">
        <f t="shared" si="39"/>
        <v>0.81662477151702284</v>
      </c>
      <c r="CB7" s="20">
        <f t="shared" si="10"/>
        <v>4.7501668593059909</v>
      </c>
      <c r="CC7" s="59">
        <f t="shared" si="11"/>
        <v>298.08350019263929</v>
      </c>
      <c r="CD7" s="59">
        <f ca="1">AVERAGE(OFFSET($CC$3,0,0,'Données projet'!$E$12+1,1))-AVERAGE(OFFSET($H$3,0,0,'Données projet'!$E$12+1,1))</f>
        <v>237.22177246688199</v>
      </c>
      <c r="CE7" s="59">
        <f t="shared" si="40"/>
        <v>149.27472147904302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1.2</v>
      </c>
      <c r="CT7" s="12">
        <f>IF('Données projet'!$A$140&gt;35,CT6+CS7-DB6,IF(A7&lt;'Données projet'!$A$140,$CQ$205^A7,IF(A7='Données projet'!$A$140,'Données projet'!$B$140,CT6+CS7-DB6)))</f>
        <v>2.7019200770412262</v>
      </c>
      <c r="CU7" s="17">
        <f>CT7*VLOOKUP('Données projet'!$B$13,Paramètres!$A$1:$I$89,3,0)*VLOOKUP('Données projet'!$B$13,Paramètres!$A$1:$I$89,5,0)</f>
        <v>1.5103733230660454</v>
      </c>
      <c r="CV7" s="13">
        <f t="shared" si="41"/>
        <v>0.66342366306511447</v>
      </c>
      <c r="CW7" s="20">
        <f t="shared" si="13"/>
        <v>3.786029750845104</v>
      </c>
      <c r="CX7" s="59">
        <f t="shared" si="14"/>
        <v>297.11936308417842</v>
      </c>
      <c r="CY7" s="59">
        <f ca="1">AVERAGE(OFFSET($CX$3,0,0,'Données projet'!$E$13+1,1))-AVERAGE(OFFSET($H$3,0,0,'Données projet'!$E$13+1,1))</f>
        <v>326.31232746914907</v>
      </c>
      <c r="CZ7" s="59">
        <f t="shared" si="42"/>
        <v>330.17137761430297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5.9</v>
      </c>
      <c r="DO7" s="12">
        <f>IF('Données projet'!$A$166&gt;35,DO6+DN7-DW6,IF(A7&lt;'Données projet'!$A$166,$DL$205^A7,IF(A7='Données projet'!$A$166,'Données projet'!$B$166,DO6+DN7-DW6)))</f>
        <v>2.5964287026231601</v>
      </c>
      <c r="DP7" s="17">
        <f>DO7*VLOOKUP('Données projet'!$B$14,Paramètres!$A$1:$I$89,3,0)*VLOOKUP('Données projet'!$B$14,Paramètres!$A$1:$I$89,5,0)</f>
        <v>1.6201715104368517</v>
      </c>
      <c r="DQ7" s="13">
        <f t="shared" si="43"/>
        <v>0.70586257586745638</v>
      </c>
      <c r="DR7" s="20">
        <f t="shared" si="16"/>
        <v>4.0511760336466702</v>
      </c>
      <c r="DS7" s="59">
        <f t="shared" si="17"/>
        <v>297.38450936698001</v>
      </c>
      <c r="DT7" s="59">
        <f ca="1">AVERAGE(OFFSET($DS$3,0,0,'Données projet'!$E$14+1,1))-AVERAGE(OFFSET($H$3,0,0,'Données projet'!$E$14+1,1))</f>
        <v>209.93608079129638</v>
      </c>
      <c r="DU7" s="59">
        <f t="shared" si="44"/>
        <v>240.15652428700969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4.55</v>
      </c>
      <c r="EJ7" s="12">
        <f>IF('Données projet'!$A$192&gt;35,EJ6+EI7-ER6,IF(A7&lt;'Données projet'!$A$192,$EG$205^A7,IF(A7='Données projet'!$A$192,'Données projet'!$B$192,EJ6+EI7-ER6)))</f>
        <v>2.4649509317268694</v>
      </c>
      <c r="EK7" s="17">
        <f>EJ7*VLOOKUP('Données projet'!$B$15,Paramètres!$A$1:$I$89,3,0)*VLOOKUP('Données projet'!$B$15,Paramètres!$A$1:$I$89,5,0)</f>
        <v>1.4740406571726681</v>
      </c>
      <c r="EL7" s="13">
        <f t="shared" si="45"/>
        <v>0.64930242653052039</v>
      </c>
      <c r="EM7" s="20">
        <f t="shared" si="19"/>
        <v>3.6981558707830531</v>
      </c>
      <c r="EN7" s="59">
        <f t="shared" si="20"/>
        <v>297.03148920411638</v>
      </c>
      <c r="EO7" s="59">
        <f ca="1">AVERAGE(OFFSET($EN$3,0,0,'Données projet'!$E$15+1,1))-AVERAGE(OFFSET($H$3,0,0,'Données projet'!$E$15+1,1))</f>
        <v>216.94426559495264</v>
      </c>
      <c r="EP7" s="59">
        <f t="shared" si="46"/>
        <v>225.33715877618704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3</v>
      </c>
      <c r="FE7" s="12">
        <f>IF('Données projet'!$A$218&gt;35,FE6+FD7-FM6,IF(A7&lt;'Données projet'!$A$218,$FB$205^A7,IF(A7='Données projet'!$A$218,'Données projet'!$B$218,FE6+FD7-FM6)))</f>
        <v>3.3019272488946267</v>
      </c>
      <c r="FF7" s="17">
        <f>FE7*VLOOKUP('Données projet'!$B$16,Paramètres!$A$1:$I$89,3,0)*VLOOKUP('Données projet'!$B$16,Paramètres!$A$1:$I$89,5,0)</f>
        <v>1.974552494838987</v>
      </c>
      <c r="FG7" s="13">
        <f t="shared" si="47"/>
        <v>0.84067511945625772</v>
      </c>
      <c r="FH7" s="20">
        <f t="shared" si="22"/>
        <v>4.9031880948975504</v>
      </c>
      <c r="FI7" s="59">
        <f t="shared" si="23"/>
        <v>298.23652142823084</v>
      </c>
      <c r="FJ7" s="59">
        <f ca="1">AVERAGE(OFFSET($FI$3,0,0,'Données projet'!$E$16+1,1))-AVERAGE(OFFSET($H$3,0,0,'Données projet'!$E$16+1,1))</f>
        <v>168.08890945052406</v>
      </c>
      <c r="FK7" s="59">
        <f t="shared" si="48"/>
        <v>182.52462557642343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3.8181818181818183</v>
      </c>
      <c r="FZ7" s="12">
        <f>IF('Données projet'!$A$244&gt;35,FZ6+FY7-GH6,IF(A7&lt;'Données projet'!$A$244,$FW$205^A7,IF(A7='Données projet'!$A$244,'Données projet'!$B$244,FZ6+FY7-GH6)))</f>
        <v>2.2380457551365547</v>
      </c>
      <c r="GA7" s="17">
        <f>FZ7*VLOOKUP('Données projet'!$B$17,Paramètres!$A$1:$I$89,3,0)*VLOOKUP('Données projet'!$B$17,Paramètres!$A$1:$I$89,5,0)</f>
        <v>1.2801621719381093</v>
      </c>
      <c r="GB7" s="13">
        <f t="shared" si="49"/>
        <v>0.57323329822004276</v>
      </c>
      <c r="GC7" s="20">
        <f t="shared" si="25"/>
        <v>3.2279971105254481</v>
      </c>
      <c r="GD7" s="59">
        <f t="shared" si="26"/>
        <v>296.56133044385876</v>
      </c>
      <c r="GE7" s="59">
        <f ca="1">AVERAGE(OFFSET($GD$3,0,0,'Données projet'!$E$17+1,1))-AVERAGE(OFFSET($H$3,0,0,'Données projet'!$E$17+1,1))</f>
        <v>196.95560009657527</v>
      </c>
      <c r="GF7" s="59">
        <f t="shared" si="50"/>
        <v>168.90186968005662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7.9</v>
      </c>
      <c r="N8" s="13">
        <f>IF('Données projet'!$A$36&gt;35,N7+M8-V7,IF(A8&lt;'Données projet'!$A$36,$K$205^A8,IF(A8='Données projet'!$A$36,'Données projet'!$B$36,N7+M8-V7)))</f>
        <v>3.5453920925585285</v>
      </c>
      <c r="O8" s="13">
        <f>N8*VLOOKUP('Données projet'!$B$9,Paramètres!$A$1:$I$89,3,0)*VLOOKUP('Données projet'!$B$9,Paramètres!$A$1:$I$89,5,0)</f>
        <v>1.6592434993173915</v>
      </c>
      <c r="P8" s="13">
        <f t="shared" si="33"/>
        <v>0.72088277944126433</v>
      </c>
      <c r="Q8" s="20">
        <f t="shared" si="2"/>
        <v>4.1453866021713255</v>
      </c>
      <c r="R8" s="59">
        <f t="shared" si="0"/>
        <v>297.47871993550461</v>
      </c>
      <c r="S8" s="59">
        <f ca="1">AVERAGE(OFFSET($R$3,0,0,'Données projet'!$E$9+1,1))-AVERAGE(OFFSET($H$3,0,0,'Données projet'!$E$9+1,1))</f>
        <v>215.23235148064941</v>
      </c>
      <c r="T8" s="59">
        <f t="shared" si="34"/>
        <v>184.07239726900434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4.75</v>
      </c>
      <c r="AI8" s="13">
        <f>IF('Données projet'!$A$62&gt;35,AI7+AH8-AQ7,IF(A8&lt;'Données projet'!$A$62,$AF$205^A8,IF(A8='Données projet'!$A$62,'Données projet'!$B$62,AI7+AH8-AQ7)))</f>
        <v>3.121985641352143</v>
      </c>
      <c r="AJ8" s="13">
        <f>AI8*VLOOKUP('Données projet'!$B$10,Paramètres!$A$1:$I$89,3,0)*VLOOKUP('Données projet'!$B$10,Paramètres!$A$1:$I$89,5,0)</f>
        <v>2.2890398722393912</v>
      </c>
      <c r="AK8" s="13">
        <f t="shared" si="35"/>
        <v>0.95794763960763063</v>
      </c>
      <c r="AL8" s="20">
        <f t="shared" si="4"/>
        <v>5.655169916466896</v>
      </c>
      <c r="AM8" s="59">
        <f t="shared" si="5"/>
        <v>298.9885032498002</v>
      </c>
      <c r="AN8" s="59">
        <f ca="1">AVERAGE(OFFSET($AM$3,0,0,'Données projet'!$E$10+1,1))-AVERAGE(OFFSET($H$3,0,0,'Données projet'!$E$10+1,1))</f>
        <v>178.12968684094687</v>
      </c>
      <c r="AO8" s="59">
        <f t="shared" si="36"/>
        <v>219.36004077210373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4.25</v>
      </c>
      <c r="BD8" s="12">
        <f>IF('Données projet'!$A$88&gt;35,BD7+BC8-BL7,IF(A8&lt;'Données projet'!$A$88,$BA$205^A8,IF(A8='Données projet'!$A$88,'Données projet'!$B$88,BD7+BC8-BL7)))</f>
        <v>3.0363702767108101</v>
      </c>
      <c r="BE8" s="13">
        <f>BD8*VLOOKUP('Données projet'!$B$11,Paramètres!$A$1:$I$89,3,0)*VLOOKUP('Données projet'!$B$11,Paramètres!$A$1:$I$89,5,0)</f>
        <v>2.6525730737345641</v>
      </c>
      <c r="BF8" s="13">
        <f t="shared" si="37"/>
        <v>1.0912004623554661</v>
      </c>
      <c r="BG8" s="20">
        <f t="shared" si="7"/>
        <v>6.5204055753568015</v>
      </c>
      <c r="BH8" s="59">
        <f t="shared" si="8"/>
        <v>299.8537389086901</v>
      </c>
      <c r="BI8" s="59">
        <f ca="1">AVERAGE(OFFSET($BH$3,0,0,'Données projet'!$E$11+1,1))-AVERAGE(OFFSET($H$3,0,0,'Données projet'!$E$11+1,1))</f>
        <v>114.02623091248347</v>
      </c>
      <c r="BJ8" s="59">
        <f t="shared" si="38"/>
        <v>185.51554083721635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2.1</v>
      </c>
      <c r="BY8" s="12">
        <f>IF('Données projet'!$A$114&gt;35,BY7+BX8-CG7,IF(A8&lt;'Données projet'!$A$114,$BV$205^A8,IF(A8='Données projet'!$A$114,'Données projet'!$B$114,BY7+BX8-CG7)))</f>
        <v>2.5457298950218314</v>
      </c>
      <c r="BZ8" s="13">
        <f>BY8*VLOOKUP('Données projet'!$B$12,Paramètres!$A$1:$I$89,3,0)*VLOOKUP('Données projet'!$B$12,Paramètres!$A$1:$I$89,5,0)</f>
        <v>2.3033764090157529</v>
      </c>
      <c r="CA8" s="13">
        <f t="shared" si="39"/>
        <v>0.96324708482559218</v>
      </c>
      <c r="CB8" s="20">
        <f t="shared" si="10"/>
        <v>5.6893692517736758</v>
      </c>
      <c r="CC8" s="59">
        <f t="shared" si="11"/>
        <v>299.02270258510697</v>
      </c>
      <c r="CD8" s="59">
        <f ca="1">AVERAGE(OFFSET($CC$3,0,0,'Données projet'!$E$12+1,1))-AVERAGE(OFFSET($H$3,0,0,'Données projet'!$E$12+1,1))</f>
        <v>237.22177246688199</v>
      </c>
      <c r="CE8" s="59">
        <f t="shared" si="40"/>
        <v>149.27472147904302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1.2</v>
      </c>
      <c r="CT8" s="12">
        <f>IF('Données projet'!$A$140&gt;35,CT7+CS8-DB7,IF(A8&lt;'Données projet'!$A$140,$CQ$205^A8,IF(A8='Données projet'!$A$140,'Données projet'!$B$140,CT7+CS8-DB7)))</f>
        <v>3.4641016151377535</v>
      </c>
      <c r="CU8" s="17">
        <f>CT8*VLOOKUP('Données projet'!$B$13,Paramètres!$A$1:$I$89,3,0)*VLOOKUP('Données projet'!$B$13,Paramètres!$A$1:$I$89,5,0)</f>
        <v>1.9364328028620041</v>
      </c>
      <c r="CV8" s="13">
        <f t="shared" si="41"/>
        <v>0.82631837969658639</v>
      </c>
      <c r="CW8" s="20">
        <f t="shared" si="13"/>
        <v>4.8117916429562113</v>
      </c>
      <c r="CX8" s="59">
        <f t="shared" si="14"/>
        <v>298.14512497628954</v>
      </c>
      <c r="CY8" s="59">
        <f ca="1">AVERAGE(OFFSET($CX$3,0,0,'Données projet'!$E$13+1,1))-AVERAGE(OFFSET($H$3,0,0,'Données projet'!$E$13+1,1))</f>
        <v>326.31232746914907</v>
      </c>
      <c r="CZ8" s="59">
        <f t="shared" si="42"/>
        <v>330.17137761430297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5.9</v>
      </c>
      <c r="DO8" s="12">
        <f>IF('Données projet'!$A$166&gt;35,DO7+DN8-DW7,IF(A8&lt;'Données projet'!$A$166,$DL$205^A8,IF(A8='Données projet'!$A$166,'Données projet'!$B$166,DO7+DN8-DW7)))</f>
        <v>3.2958732516891831</v>
      </c>
      <c r="DP8" s="17">
        <f>DO8*VLOOKUP('Données projet'!$B$14,Paramètres!$A$1:$I$89,3,0)*VLOOKUP('Données projet'!$B$14,Paramètres!$A$1:$I$89,5,0)</f>
        <v>2.0566249090540505</v>
      </c>
      <c r="DQ8" s="13">
        <f t="shared" si="43"/>
        <v>0.87147694786545582</v>
      </c>
      <c r="DR8" s="20">
        <f t="shared" si="16"/>
        <v>5.0997774008014733</v>
      </c>
      <c r="DS8" s="59">
        <f t="shared" si="17"/>
        <v>298.4331107341348</v>
      </c>
      <c r="DT8" s="59">
        <f ca="1">AVERAGE(OFFSET($DS$3,0,0,'Données projet'!$E$14+1,1))-AVERAGE(OFFSET($H$3,0,0,'Données projet'!$E$14+1,1))</f>
        <v>209.93608079129638</v>
      </c>
      <c r="DU8" s="59">
        <f t="shared" si="44"/>
        <v>240.15652428700969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4.55</v>
      </c>
      <c r="EJ8" s="12">
        <f>IF('Données projet'!$A$192&gt;35,EJ7+EI8-ER7,IF(A8&lt;'Données projet'!$A$192,$EG$205^A8,IF(A8='Données projet'!$A$192,'Données projet'!$B$192,EJ7+EI8-ER7)))</f>
        <v>3.0885906193876616</v>
      </c>
      <c r="EK8" s="17">
        <f>EJ8*VLOOKUP('Données projet'!$B$15,Paramètres!$A$1:$I$89,3,0)*VLOOKUP('Données projet'!$B$15,Paramètres!$A$1:$I$89,5,0)</f>
        <v>1.8469771903938217</v>
      </c>
      <c r="EL8" s="13">
        <f t="shared" si="45"/>
        <v>0.79249672214945899</v>
      </c>
      <c r="EM8" s="20">
        <f t="shared" si="19"/>
        <v>4.59708373101288</v>
      </c>
      <c r="EN8" s="59">
        <f t="shared" si="20"/>
        <v>297.93041706434622</v>
      </c>
      <c r="EO8" s="59">
        <f ca="1">AVERAGE(OFFSET($EN$3,0,0,'Données projet'!$E$15+1,1))-AVERAGE(OFFSET($H$3,0,0,'Données projet'!$E$15+1,1))</f>
        <v>216.94426559495264</v>
      </c>
      <c r="EP8" s="59">
        <f t="shared" si="46"/>
        <v>225.33715877618704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3</v>
      </c>
      <c r="FE8" s="12">
        <f>IF('Données projet'!$A$218&gt;35,FE7+FD8-FM7,IF(A8&lt;'Données projet'!$A$218,$FB$205^A8,IF(A8='Données projet'!$A$218,'Données projet'!$B$218,FE7+FD8-FM7)))</f>
        <v>4.4510182535424141</v>
      </c>
      <c r="FF8" s="17">
        <f>FE8*VLOOKUP('Données projet'!$B$16,Paramètres!$A$1:$I$89,3,0)*VLOOKUP('Données projet'!$B$16,Paramètres!$A$1:$I$89,5,0)</f>
        <v>2.6617089156183638</v>
      </c>
      <c r="FG8" s="13">
        <f t="shared" si="47"/>
        <v>1.0945205879680817</v>
      </c>
      <c r="FH8" s="20">
        <f t="shared" si="22"/>
        <v>6.5420997187463925</v>
      </c>
      <c r="FI8" s="59">
        <f t="shared" si="23"/>
        <v>299.8754330520797</v>
      </c>
      <c r="FJ8" s="59">
        <f ca="1">AVERAGE(OFFSET($FI$3,0,0,'Données projet'!$E$16+1,1))-AVERAGE(OFFSET($H$3,0,0,'Données projet'!$E$16+1,1))</f>
        <v>168.08890945052406</v>
      </c>
      <c r="FK8" s="59">
        <f t="shared" si="48"/>
        <v>182.52462557642343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3.8181818181818183</v>
      </c>
      <c r="FZ8" s="12">
        <f>IF('Données projet'!$A$244&gt;35,FZ7+FY8-GH7,IF(A8&lt;'Données projet'!$A$244,$FW$205^A8,IF(A8='Données projet'!$A$244,'Données projet'!$B$244,FZ7+FY8-GH7)))</f>
        <v>2.7373870059322205</v>
      </c>
      <c r="GA8" s="17">
        <f>FZ8*VLOOKUP('Données projet'!$B$17,Paramètres!$A$1:$I$89,3,0)*VLOOKUP('Données projet'!$B$17,Paramètres!$A$1:$I$89,5,0)</f>
        <v>1.5657853673932303</v>
      </c>
      <c r="GB8" s="13">
        <f t="shared" si="49"/>
        <v>0.68488469852279721</v>
      </c>
      <c r="GC8" s="20">
        <f t="shared" si="25"/>
        <v>3.919917031470415</v>
      </c>
      <c r="GD8" s="59">
        <f t="shared" si="26"/>
        <v>297.2532503648037</v>
      </c>
      <c r="GE8" s="59">
        <f ca="1">AVERAGE(OFFSET($GD$3,0,0,'Données projet'!$E$17+1,1))-AVERAGE(OFFSET($H$3,0,0,'Données projet'!$E$17+1,1))</f>
        <v>196.95560009657527</v>
      </c>
      <c r="GF8" s="59">
        <f t="shared" si="50"/>
        <v>168.90186968005662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7.9</v>
      </c>
      <c r="N9" s="13">
        <f>IF('Données projet'!$A$36&gt;35,N8+M9-V8,IF(A9&lt;'Données projet'!$A$36,$K$205^A9,IF(A9='Données projet'!$A$36,'Données projet'!$B$36,N8+M9-V8)))</f>
        <v>4.566643676946887</v>
      </c>
      <c r="O9" s="13">
        <f>N9*VLOOKUP('Données projet'!$B$9,Paramètres!$A$1:$I$89,3,0)*VLOOKUP('Données projet'!$B$9,Paramètres!$A$1:$I$89,5,0)</f>
        <v>2.1371892408111433</v>
      </c>
      <c r="P9" s="13">
        <f t="shared" si="33"/>
        <v>0.9015738804633705</v>
      </c>
      <c r="Q9" s="20">
        <f t="shared" si="2"/>
        <v>5.292512436219778</v>
      </c>
      <c r="R9" s="59">
        <f t="shared" si="0"/>
        <v>298.62584576955311</v>
      </c>
      <c r="S9" s="59">
        <f ca="1">AVERAGE(OFFSET($R$3,0,0,'Données projet'!$E$9+1,1))-AVERAGE(OFFSET($H$3,0,0,'Données projet'!$E$9+1,1))</f>
        <v>215.23235148064941</v>
      </c>
      <c r="T9" s="59">
        <f t="shared" si="34"/>
        <v>184.07239726900434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4.75</v>
      </c>
      <c r="AI9" s="13">
        <f>IF('Données projet'!$A$62&gt;35,AI8+AH9-AQ8,IF(A9&lt;'Données projet'!$A$62,$AF$205^A9,IF(A9='Données projet'!$A$62,'Données projet'!$B$62,AI8+AH9-AQ8)))</f>
        <v>3.920279951613006</v>
      </c>
      <c r="AJ9" s="13">
        <f>AI9*VLOOKUP('Données projet'!$B$10,Paramètres!$A$1:$I$89,3,0)*VLOOKUP('Données projet'!$B$10,Paramètres!$A$1:$I$89,5,0)</f>
        <v>2.8743492605226559</v>
      </c>
      <c r="AK9" s="13">
        <f t="shared" si="35"/>
        <v>1.1714333946891846</v>
      </c>
      <c r="AL9" s="20">
        <f t="shared" si="4"/>
        <v>7.0464047911606214</v>
      </c>
      <c r="AM9" s="59">
        <f t="shared" si="5"/>
        <v>300.37973812449394</v>
      </c>
      <c r="AN9" s="59">
        <f ca="1">AVERAGE(OFFSET($AM$3,0,0,'Données projet'!$E$10+1,1))-AVERAGE(OFFSET($H$3,0,0,'Données projet'!$E$10+1,1))</f>
        <v>178.12968684094687</v>
      </c>
      <c r="AO9" s="59">
        <f t="shared" si="36"/>
        <v>219.36004077210373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4.25</v>
      </c>
      <c r="BD9" s="12">
        <f>IF('Données projet'!$A$88&gt;35,BD8+BC9-BL8,IF(A9&lt;'Données projet'!$A$88,$BA$205^A9,IF(A9='Données projet'!$A$88,'Données projet'!$B$88,BD8+BC9-BL8)))</f>
        <v>3.791627615651735</v>
      </c>
      <c r="BE9" s="13">
        <f>BD9*VLOOKUP('Données projet'!$B$11,Paramètres!$A$1:$I$89,3,0)*VLOOKUP('Données projet'!$B$11,Paramètres!$A$1:$I$89,5,0)</f>
        <v>3.3123658850333566</v>
      </c>
      <c r="BF9" s="13">
        <f t="shared" si="37"/>
        <v>1.3278415966801811</v>
      </c>
      <c r="BG9" s="20">
        <f t="shared" si="7"/>
        <v>8.0816946973177455</v>
      </c>
      <c r="BH9" s="59">
        <f t="shared" si="8"/>
        <v>301.41502803065106</v>
      </c>
      <c r="BI9" s="59">
        <f ca="1">AVERAGE(OFFSET($BH$3,0,0,'Données projet'!$E$11+1,1))-AVERAGE(OFFSET($H$3,0,0,'Données projet'!$E$11+1,1))</f>
        <v>114.02623091248347</v>
      </c>
      <c r="BJ9" s="59">
        <f t="shared" si="38"/>
        <v>185.51554083721635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2.1</v>
      </c>
      <c r="BY9" s="12">
        <f>IF('Données projet'!$A$114&gt;35,BY8+BX9-CG8,IF(A9&lt;'Données projet'!$A$114,$BV$205^A9,IF(A9='Données projet'!$A$114,'Données projet'!$B$114,BY8+BX9-CG8)))</f>
        <v>3.0688438220956993</v>
      </c>
      <c r="BZ9" s="13">
        <f>BY9*VLOOKUP('Données projet'!$B$12,Paramètres!$A$1:$I$89,3,0)*VLOOKUP('Données projet'!$B$12,Paramètres!$A$1:$I$89,5,0)</f>
        <v>2.7766898902321886</v>
      </c>
      <c r="CA9" s="13">
        <f t="shared" si="39"/>
        <v>1.1361949561012803</v>
      </c>
      <c r="CB9" s="20">
        <f t="shared" si="10"/>
        <v>6.8149411073641248</v>
      </c>
      <c r="CC9" s="59">
        <f t="shared" si="11"/>
        <v>300.14827444069743</v>
      </c>
      <c r="CD9" s="59">
        <f ca="1">AVERAGE(OFFSET($CC$3,0,0,'Données projet'!$E$12+1,1))-AVERAGE(OFFSET($H$3,0,0,'Données projet'!$E$12+1,1))</f>
        <v>237.22177246688199</v>
      </c>
      <c r="CE9" s="59">
        <f t="shared" si="40"/>
        <v>149.27472147904302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1.2</v>
      </c>
      <c r="CT9" s="12">
        <f>IF('Données projet'!$A$140&gt;35,CT8+CS9-DB8,IF(A9&lt;'Données projet'!$A$140,$CQ$205^A9,IF(A9='Données projet'!$A$140,'Données projet'!$B$140,CT8+CS9-DB8)))</f>
        <v>4.4412860698458383</v>
      </c>
      <c r="CU9" s="17">
        <f>CT9*VLOOKUP('Données projet'!$B$13,Paramètres!$A$1:$I$89,3,0)*VLOOKUP('Données projet'!$B$13,Paramètres!$A$1:$I$89,5,0)</f>
        <v>2.4826789130438236</v>
      </c>
      <c r="CV9" s="13">
        <f t="shared" si="41"/>
        <v>1.0292096930485513</v>
      </c>
      <c r="CW9" s="20">
        <f t="shared" si="13"/>
        <v>6.1165393222775526</v>
      </c>
      <c r="CX9" s="59">
        <f t="shared" si="14"/>
        <v>299.44987265561087</v>
      </c>
      <c r="CY9" s="59">
        <f ca="1">AVERAGE(OFFSET($CX$3,0,0,'Données projet'!$E$13+1,1))-AVERAGE(OFFSET($H$3,0,0,'Données projet'!$E$13+1,1))</f>
        <v>326.31232746914907</v>
      </c>
      <c r="CZ9" s="59">
        <f t="shared" si="42"/>
        <v>330.17137761430297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5.9</v>
      </c>
      <c r="DO9" s="12">
        <f>IF('Données projet'!$A$166&gt;35,DO8+DN9-DW8,IF(A9&lt;'Données projet'!$A$166,$DL$205^A9,IF(A9='Données projet'!$A$166,'Données projet'!$B$166,DO8+DN9-DW8)))</f>
        <v>4.1837391799842649</v>
      </c>
      <c r="DP9" s="17">
        <f>DO9*VLOOKUP('Données projet'!$B$14,Paramètres!$A$1:$I$89,3,0)*VLOOKUP('Données projet'!$B$14,Paramètres!$A$1:$I$89,5,0)</f>
        <v>2.6106532483101814</v>
      </c>
      <c r="DQ9" s="13">
        <f t="shared" si="43"/>
        <v>1.075948912190948</v>
      </c>
      <c r="DR9" s="20">
        <f t="shared" si="16"/>
        <v>6.4208320962061336</v>
      </c>
      <c r="DS9" s="59">
        <f t="shared" si="17"/>
        <v>299.75416542953946</v>
      </c>
      <c r="DT9" s="59">
        <f ca="1">AVERAGE(OFFSET($DS$3,0,0,'Données projet'!$E$14+1,1))-AVERAGE(OFFSET($H$3,0,0,'Données projet'!$E$14+1,1))</f>
        <v>209.93608079129638</v>
      </c>
      <c r="DU9" s="59">
        <f t="shared" si="44"/>
        <v>240.15652428700969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4.55</v>
      </c>
      <c r="EJ9" s="12">
        <f>IF('Données projet'!$A$192&gt;35,EJ8+EI9-ER8,IF(A9&lt;'Données projet'!$A$192,$EG$205^A9,IF(A9='Données projet'!$A$192,'Données projet'!$B$192,EJ8+EI9-ER8)))</f>
        <v>3.8700129448363709</v>
      </c>
      <c r="EK9" s="17">
        <f>EJ9*VLOOKUP('Données projet'!$B$15,Paramètres!$A$1:$I$89,3,0)*VLOOKUP('Données projet'!$B$15,Paramètres!$A$1:$I$89,5,0)</f>
        <v>2.3142677410121499</v>
      </c>
      <c r="EL9" s="13">
        <f t="shared" si="45"/>
        <v>0.96727045665540168</v>
      </c>
      <c r="EM9" s="20">
        <f t="shared" si="19"/>
        <v>5.7153456942709857</v>
      </c>
      <c r="EN9" s="59">
        <f t="shared" si="20"/>
        <v>299.04867902760429</v>
      </c>
      <c r="EO9" s="59">
        <f ca="1">AVERAGE(OFFSET($EN$3,0,0,'Données projet'!$E$15+1,1))-AVERAGE(OFFSET($H$3,0,0,'Données projet'!$E$15+1,1))</f>
        <v>216.94426559495264</v>
      </c>
      <c r="EP9" s="59">
        <f t="shared" si="46"/>
        <v>225.33715877618704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3</v>
      </c>
      <c r="FE9" s="12">
        <f>IF('Données projet'!$A$218&gt;35,FE8+FD9-FM8,IF(A9&lt;'Données projet'!$A$218,$FB$205^A9,IF(A9='Données projet'!$A$218,'Données projet'!$B$218,FE8+FD9-FM8)))</f>
        <v>6</v>
      </c>
      <c r="FF9" s="17">
        <f>FE9*VLOOKUP('Données projet'!$B$16,Paramètres!$A$1:$I$89,3,0)*VLOOKUP('Données projet'!$B$16,Paramètres!$A$1:$I$89,5,0)</f>
        <v>3.5880000000000005</v>
      </c>
      <c r="FG9" s="13">
        <f t="shared" si="47"/>
        <v>1.4250157876217819</v>
      </c>
      <c r="FH9" s="20">
        <f t="shared" si="22"/>
        <v>8.7310024967746021</v>
      </c>
      <c r="FI9" s="59">
        <f t="shared" si="23"/>
        <v>302.06433583010789</v>
      </c>
      <c r="FJ9" s="59">
        <f ca="1">AVERAGE(OFFSET($FI$3,0,0,'Données projet'!$E$16+1,1))-AVERAGE(OFFSET($H$3,0,0,'Données projet'!$E$16+1,1))</f>
        <v>168.08890945052406</v>
      </c>
      <c r="FK9" s="59">
        <f t="shared" si="48"/>
        <v>182.52462557642343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3.8181818181818183</v>
      </c>
      <c r="FZ9" s="12">
        <f>IF('Données projet'!$A$244&gt;35,FZ8+FY9-GH8,IF(A9&lt;'Données projet'!$A$244,$FW$205^A9,IF(A9='Données projet'!$A$244,'Données projet'!$B$244,FZ8+FY9-GH8)))</f>
        <v>3.3481387067483621</v>
      </c>
      <c r="GA9" s="17">
        <f>FZ9*VLOOKUP('Données projet'!$B$17,Paramètres!$A$1:$I$89,3,0)*VLOOKUP('Données projet'!$B$17,Paramètres!$A$1:$I$89,5,0)</f>
        <v>1.9151353402600633</v>
      </c>
      <c r="GB9" s="13">
        <f t="shared" si="49"/>
        <v>0.81828297785067872</v>
      </c>
      <c r="GC9" s="20">
        <f t="shared" si="25"/>
        <v>4.7607035707095422</v>
      </c>
      <c r="GD9" s="59">
        <f t="shared" si="26"/>
        <v>298.09403690404287</v>
      </c>
      <c r="GE9" s="59">
        <f ca="1">AVERAGE(OFFSET($GD$3,0,0,'Données projet'!$E$17+1,1))-AVERAGE(OFFSET($H$3,0,0,'Données projet'!$E$17+1,1))</f>
        <v>196.95560009657527</v>
      </c>
      <c r="GF9" s="59">
        <f t="shared" si="50"/>
        <v>168.90186968005662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7.9</v>
      </c>
      <c r="N10" s="13">
        <f>IF('Données projet'!$A$36&gt;35,N9+M10-V9,IF(A10&lt;'Données projet'!$A$36,$K$205^A10,IF(A10='Données projet'!$A$36,'Données projet'!$B$36,N9+M10-V9)))</f>
        <v>5.8820671812210037</v>
      </c>
      <c r="O10" s="13">
        <f>N10*VLOOKUP('Données projet'!$B$9,Paramètres!$A$1:$I$89,3,0)*VLOOKUP('Données projet'!$B$9,Paramètres!$A$1:$I$89,5,0)</f>
        <v>2.7528074408114294</v>
      </c>
      <c r="P10" s="13">
        <f t="shared" si="33"/>
        <v>1.1275556652411438</v>
      </c>
      <c r="Q10" s="20">
        <f t="shared" si="2"/>
        <v>6.7582990763748976</v>
      </c>
      <c r="R10" s="59">
        <f t="shared" si="0"/>
        <v>300.09163240970821</v>
      </c>
      <c r="S10" s="59">
        <f ca="1">AVERAGE(OFFSET($R$3,0,0,'Données projet'!$E$9+1,1))-AVERAGE(OFFSET($H$3,0,0,'Données projet'!$E$9+1,1))</f>
        <v>215.23235148064941</v>
      </c>
      <c r="T10" s="59">
        <f t="shared" si="34"/>
        <v>184.07239726900434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4.75</v>
      </c>
      <c r="AI10" s="13">
        <f>IF('Données projet'!$A$62&gt;35,AI9+AH10-AQ9,IF(A10&lt;'Données projet'!$A$62,$AF$205^A10,IF(A10='Données projet'!$A$62,'Données projet'!$B$62,AI9+AH10-AQ9)))</f>
        <v>4.9226987771675601</v>
      </c>
      <c r="AJ10" s="13">
        <f>AI10*VLOOKUP('Données projet'!$B$10,Paramètres!$A$1:$I$89,3,0)*VLOOKUP('Données projet'!$B$10,Paramètres!$A$1:$I$89,5,0)</f>
        <v>3.6093227434192547</v>
      </c>
      <c r="AK10" s="13">
        <f t="shared" si="35"/>
        <v>1.432496037836781</v>
      </c>
      <c r="AL10" s="20">
        <f t="shared" si="4"/>
        <v>8.7811677106875958</v>
      </c>
      <c r="AM10" s="59">
        <f t="shared" si="5"/>
        <v>302.11450104402093</v>
      </c>
      <c r="AN10" s="59">
        <f ca="1">AVERAGE(OFFSET($AM$3,0,0,'Données projet'!$E$10+1,1))-AVERAGE(OFFSET($H$3,0,0,'Données projet'!$E$10+1,1))</f>
        <v>178.12968684094687</v>
      </c>
      <c r="AO10" s="59">
        <f t="shared" si="36"/>
        <v>219.36004077210373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4.25</v>
      </c>
      <c r="BD10" s="12">
        <f>IF('Données projet'!$A$88&gt;35,BD9+BC10-BL9,IF(A10&lt;'Données projet'!$A$88,$BA$205^A10,IF(A10='Données projet'!$A$88,'Données projet'!$B$88,BD9+BC10-BL9)))</f>
        <v>4.7347453260365659</v>
      </c>
      <c r="BE10" s="13">
        <f>BD10*VLOOKUP('Données projet'!$B$11,Paramètres!$A$1:$I$89,3,0)*VLOOKUP('Données projet'!$B$11,Paramètres!$A$1:$I$89,5,0)</f>
        <v>4.1362735168255442</v>
      </c>
      <c r="BF10" s="13">
        <f t="shared" si="37"/>
        <v>1.6158014651755259</v>
      </c>
      <c r="BG10" s="20">
        <f t="shared" si="7"/>
        <v>10.01819726031853</v>
      </c>
      <c r="BH10" s="59">
        <f t="shared" si="8"/>
        <v>303.35153059365183</v>
      </c>
      <c r="BI10" s="59">
        <f ca="1">AVERAGE(OFFSET($BH$3,0,0,'Données projet'!$E$11+1,1))-AVERAGE(OFFSET($H$3,0,0,'Données projet'!$E$11+1,1))</f>
        <v>114.02623091248347</v>
      </c>
      <c r="BJ10" s="59">
        <f t="shared" si="38"/>
        <v>185.51554083721635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2.1</v>
      </c>
      <c r="BY10" s="12">
        <f>IF('Données projet'!$A$114&gt;35,BY9+BX10-CG9,IF(A10&lt;'Données projet'!$A$114,$BV$205^A10,IF(A10='Données projet'!$A$114,'Données projet'!$B$114,BY9+BX10-CG9)))</f>
        <v>3.6994507637402658</v>
      </c>
      <c r="BZ10" s="13">
        <f>BY10*VLOOKUP('Données projet'!$B$12,Paramètres!$A$1:$I$89,3,0)*VLOOKUP('Données projet'!$B$12,Paramètres!$A$1:$I$89,5,0)</f>
        <v>3.3472630510321921</v>
      </c>
      <c r="CA10" s="13">
        <f t="shared" si="39"/>
        <v>1.34019505338418</v>
      </c>
      <c r="CB10" s="20">
        <f t="shared" si="10"/>
        <v>8.1639895318585136</v>
      </c>
      <c r="CC10" s="59">
        <f t="shared" si="11"/>
        <v>301.49732286519185</v>
      </c>
      <c r="CD10" s="59">
        <f ca="1">AVERAGE(OFFSET($CC$3,0,0,'Données projet'!$E$12+1,1))-AVERAGE(OFFSET($H$3,0,0,'Données projet'!$E$12+1,1))</f>
        <v>237.22177246688199</v>
      </c>
      <c r="CE10" s="59">
        <f t="shared" si="40"/>
        <v>149.27472147904302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1.2</v>
      </c>
      <c r="CT10" s="12">
        <f>IF('Données projet'!$A$140&gt;35,CT9+CS10-DB9,IF(A10&lt;'Données projet'!$A$140,$CQ$205^A10,IF(A10='Données projet'!$A$140,'Données projet'!$B$140,CT9+CS10-DB9)))</f>
        <v>5.6941233675162577</v>
      </c>
      <c r="CU10" s="17">
        <f>CT10*VLOOKUP('Données projet'!$B$13,Paramètres!$A$1:$I$89,3,0)*VLOOKUP('Données projet'!$B$13,Paramètres!$A$1:$I$89,5,0)</f>
        <v>3.1830149624415882</v>
      </c>
      <c r="CV10" s="13">
        <f t="shared" si="41"/>
        <v>1.2819182270325931</v>
      </c>
      <c r="CW10" s="20">
        <f t="shared" si="13"/>
        <v>7.776425305000866</v>
      </c>
      <c r="CX10" s="59">
        <f t="shared" si="14"/>
        <v>301.1097586383342</v>
      </c>
      <c r="CY10" s="59">
        <f ca="1">AVERAGE(OFFSET($CX$3,0,0,'Données projet'!$E$13+1,1))-AVERAGE(OFFSET($H$3,0,0,'Données projet'!$E$13+1,1))</f>
        <v>326.31232746914907</v>
      </c>
      <c r="CZ10" s="59">
        <f t="shared" si="42"/>
        <v>330.17137761430297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5.9</v>
      </c>
      <c r="DO10" s="12">
        <f>IF('Données projet'!$A$166&gt;35,DO9+DN10-DW9,IF(A10&lt;'Données projet'!$A$166,$DL$205^A10,IF(A10='Données projet'!$A$166,'Données projet'!$B$166,DO9+DN10-DW9)))</f>
        <v>5.3107847873593199</v>
      </c>
      <c r="DP10" s="17">
        <f>DO10*VLOOKUP('Données projet'!$B$14,Paramètres!$A$1:$I$89,3,0)*VLOOKUP('Données projet'!$B$14,Paramètres!$A$1:$I$89,5,0)</f>
        <v>3.3139297073122154</v>
      </c>
      <c r="DQ10" s="13">
        <f t="shared" si="43"/>
        <v>1.3283955065941828</v>
      </c>
      <c r="DR10" s="20">
        <f t="shared" si="16"/>
        <v>8.0853830808869755</v>
      </c>
      <c r="DS10" s="59">
        <f t="shared" si="17"/>
        <v>301.41871641422028</v>
      </c>
      <c r="DT10" s="59">
        <f ca="1">AVERAGE(OFFSET($DS$3,0,0,'Données projet'!$E$14+1,1))-AVERAGE(OFFSET($H$3,0,0,'Données projet'!$E$14+1,1))</f>
        <v>209.93608079129638</v>
      </c>
      <c r="DU10" s="59">
        <f t="shared" si="44"/>
        <v>240.15652428700969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4.55</v>
      </c>
      <c r="EJ10" s="12">
        <f>IF('Données projet'!$A$192&gt;35,EJ9+EI10-ER9,IF(A10&lt;'Données projet'!$A$192,$EG$205^A10,IF(A10='Données projet'!$A$192,'Données projet'!$B$192,EJ9+EI10-ER9)))</f>
        <v>4.8491373700313813</v>
      </c>
      <c r="EK10" s="17">
        <f>EJ10*VLOOKUP('Données projet'!$B$15,Paramètres!$A$1:$I$89,3,0)*VLOOKUP('Données projet'!$B$15,Paramètres!$A$1:$I$89,5,0)</f>
        <v>2.8997841472787664</v>
      </c>
      <c r="EL10" s="13">
        <f t="shared" si="45"/>
        <v>1.1805880203273573</v>
      </c>
      <c r="EM10" s="20">
        <f t="shared" si="19"/>
        <v>7.1066481919139983</v>
      </c>
      <c r="EN10" s="59">
        <f t="shared" si="20"/>
        <v>300.43998152524733</v>
      </c>
      <c r="EO10" s="59">
        <f ca="1">AVERAGE(OFFSET($EN$3,0,0,'Données projet'!$E$15+1,1))-AVERAGE(OFFSET($H$3,0,0,'Données projet'!$E$15+1,1))</f>
        <v>216.94426559495264</v>
      </c>
      <c r="EP10" s="59">
        <f t="shared" si="46"/>
        <v>225.33715877618704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3</v>
      </c>
      <c r="FE10" s="12">
        <f>IF('Données projet'!$A$218&gt;35,FE9+FD10-FM9,IF(A10&lt;'Données projet'!$A$218,$FB$205^A10,IF(A10='Données projet'!$A$218,'Données projet'!$B$218,FE9+FD10-FM9)))</f>
        <v>8.0880369275836674</v>
      </c>
      <c r="FF10" s="17">
        <f>FE10*VLOOKUP('Données projet'!$B$16,Paramètres!$A$1:$I$89,3,0)*VLOOKUP('Données projet'!$B$16,Paramètres!$A$1:$I$89,5,0)</f>
        <v>4.836646082695033</v>
      </c>
      <c r="FG10" s="13">
        <f t="shared" si="47"/>
        <v>1.8553054344470195</v>
      </c>
      <c r="FH10" s="20">
        <f t="shared" si="22"/>
        <v>11.65514889235574</v>
      </c>
      <c r="FI10" s="59">
        <f t="shared" si="23"/>
        <v>304.98848222568904</v>
      </c>
      <c r="FJ10" s="59">
        <f ca="1">AVERAGE(OFFSET($FI$3,0,0,'Données projet'!$E$16+1,1))-AVERAGE(OFFSET($H$3,0,0,'Données projet'!$E$16+1,1))</f>
        <v>168.08890945052406</v>
      </c>
      <c r="FK10" s="59">
        <f t="shared" si="48"/>
        <v>182.52462557642343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3.8181818181818183</v>
      </c>
      <c r="FZ10" s="12">
        <f>IF('Données projet'!$A$244&gt;35,FZ9+FY10-GH9,IF(A10&lt;'Données projet'!$A$244,$FW$205^A10,IF(A10='Données projet'!$A$244,'Données projet'!$B$244,FZ9+FY10-GH9)))</f>
        <v>4.0951581838202689</v>
      </c>
      <c r="GA10" s="17">
        <f>FZ10*VLOOKUP('Données projet'!$B$17,Paramètres!$A$1:$I$89,3,0)*VLOOKUP('Données projet'!$B$17,Paramètres!$A$1:$I$89,5,0)</f>
        <v>2.3424304811451937</v>
      </c>
      <c r="GB10" s="13">
        <f t="shared" si="49"/>
        <v>0.97766388018944239</v>
      </c>
      <c r="GC10" s="20">
        <f t="shared" si="25"/>
        <v>5.7824976793244902</v>
      </c>
      <c r="GD10" s="59">
        <f t="shared" si="26"/>
        <v>299.11583101265779</v>
      </c>
      <c r="GE10" s="59">
        <f ca="1">AVERAGE(OFFSET($GD$3,0,0,'Données projet'!$E$17+1,1))-AVERAGE(OFFSET($H$3,0,0,'Données projet'!$E$17+1,1))</f>
        <v>196.95560009657527</v>
      </c>
      <c r="GF10" s="59">
        <f t="shared" si="50"/>
        <v>168.90186968005662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7.9</v>
      </c>
      <c r="N11" s="13">
        <f>IF('Données projet'!$A$36&gt;35,N10+M11-V10,IF(A11&lt;'Données projet'!$A$36,$K$205^A11,IF(A11='Données projet'!$A$36,'Données projet'!$B$36,N10+M11-V10)))</f>
        <v>7.5763989424129567</v>
      </c>
      <c r="O11" s="13">
        <f>N11*VLOOKUP('Données projet'!$B$9,Paramètres!$A$1:$I$89,3,0)*VLOOKUP('Données projet'!$B$9,Paramètres!$A$1:$I$89,5,0)</f>
        <v>3.5457547050492639</v>
      </c>
      <c r="P11" s="13">
        <f t="shared" si="33"/>
        <v>1.4101803587787649</v>
      </c>
      <c r="Q11" s="20">
        <f t="shared" si="2"/>
        <v>8.631586902833817</v>
      </c>
      <c r="R11" s="59">
        <f t="shared" si="0"/>
        <v>301.96492023616713</v>
      </c>
      <c r="S11" s="59">
        <f ca="1">AVERAGE(OFFSET($R$3,0,0,'Données projet'!$E$9+1,1))-AVERAGE(OFFSET($H$3,0,0,'Données projet'!$E$9+1,1))</f>
        <v>215.23235148064941</v>
      </c>
      <c r="T11" s="59">
        <f t="shared" si="34"/>
        <v>184.07239726900434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4.75</v>
      </c>
      <c r="AI11" s="13">
        <f>IF('Données projet'!$A$62&gt;35,AI10+AH11-AQ10,IF(A11&lt;'Données projet'!$A$62,$AF$205^A11,IF(A11='Données projet'!$A$62,'Données projet'!$B$62,AI10+AH11-AQ10)))</f>
        <v>6.1814369253798551</v>
      </c>
      <c r="AJ11" s="13">
        <f>AI11*VLOOKUP('Données projet'!$B$10,Paramètres!$A$1:$I$89,3,0)*VLOOKUP('Données projet'!$B$10,Paramètres!$A$1:$I$89,5,0)</f>
        <v>4.5322295536885102</v>
      </c>
      <c r="AK11" s="13">
        <f t="shared" si="35"/>
        <v>1.7517384323523946</v>
      </c>
      <c r="AL11" s="20">
        <f t="shared" si="4"/>
        <v>10.944577575687909</v>
      </c>
      <c r="AM11" s="59">
        <f t="shared" si="5"/>
        <v>304.27791090902122</v>
      </c>
      <c r="AN11" s="59">
        <f ca="1">AVERAGE(OFFSET($AM$3,0,0,'Données projet'!$E$10+1,1))-AVERAGE(OFFSET($H$3,0,0,'Données projet'!$E$10+1,1))</f>
        <v>178.12968684094687</v>
      </c>
      <c r="AO11" s="59">
        <f t="shared" si="36"/>
        <v>219.36004077210373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4.25</v>
      </c>
      <c r="BD11" s="12">
        <f>IF('Données projet'!$A$88&gt;35,BD10+BC11-BL10,IF(A11&lt;'Données projet'!$A$88,$BA$205^A11,IF(A11='Données projet'!$A$88,'Données projet'!$B$88,BD10+BC11-BL10)))</f>
        <v>5.9124512148516351</v>
      </c>
      <c r="BE11" s="13">
        <f>BD11*VLOOKUP('Données projet'!$B$11,Paramètres!$A$1:$I$89,3,0)*VLOOKUP('Données projet'!$B$11,Paramètres!$A$1:$I$89,5,0)</f>
        <v>5.1651173812943894</v>
      </c>
      <c r="BF11" s="13">
        <f t="shared" si="37"/>
        <v>1.9662092085312242</v>
      </c>
      <c r="BG11" s="20">
        <f t="shared" si="7"/>
        <v>12.420393810612943</v>
      </c>
      <c r="BH11" s="59">
        <f t="shared" si="8"/>
        <v>305.75372714394626</v>
      </c>
      <c r="BI11" s="59">
        <f ca="1">AVERAGE(OFFSET($BH$3,0,0,'Données projet'!$E$11+1,1))-AVERAGE(OFFSET($H$3,0,0,'Données projet'!$E$11+1,1))</f>
        <v>114.02623091248347</v>
      </c>
      <c r="BJ11" s="59">
        <f t="shared" si="38"/>
        <v>185.51554083721635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2.1</v>
      </c>
      <c r="BY11" s="12">
        <f>IF('Données projet'!$A$114&gt;35,BY10+BX11-CG10,IF(A11&lt;'Données projet'!$A$114,$BV$205^A11,IF(A11='Données projet'!$A$114,'Données projet'!$B$114,BY10+BX11-CG10)))</f>
        <v>4.4596391171162209</v>
      </c>
      <c r="BZ11" s="13">
        <f>BY11*VLOOKUP('Données projet'!$B$12,Paramètres!$A$1:$I$89,3,0)*VLOOKUP('Données projet'!$B$12,Paramètres!$A$1:$I$89,5,0)</f>
        <v>4.0350814731667564</v>
      </c>
      <c r="CA11" s="13">
        <f t="shared" si="39"/>
        <v>1.5808227025391921</v>
      </c>
      <c r="CB11" s="20">
        <f t="shared" si="10"/>
        <v>9.7810331060211926</v>
      </c>
      <c r="CC11" s="59">
        <f t="shared" si="11"/>
        <v>303.11436643935451</v>
      </c>
      <c r="CD11" s="59">
        <f ca="1">AVERAGE(OFFSET($CC$3,0,0,'Données projet'!$E$12+1,1))-AVERAGE(OFFSET($H$3,0,0,'Données projet'!$E$12+1,1))</f>
        <v>237.22177246688199</v>
      </c>
      <c r="CE11" s="59">
        <f t="shared" si="40"/>
        <v>149.27472147904302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1.2</v>
      </c>
      <c r="CT11" s="12">
        <f>IF('Données projet'!$A$140&gt;35,CT10+CS11-DB10,IF(A11&lt;'Données projet'!$A$140,$CQ$205^A11,IF(A11='Données projet'!$A$140,'Données projet'!$B$140,CT10+CS11-DB10)))</f>
        <v>7.3003721027184652</v>
      </c>
      <c r="CU11" s="17">
        <f>CT11*VLOOKUP('Données projet'!$B$13,Paramètres!$A$1:$I$89,3,0)*VLOOKUP('Données projet'!$B$13,Paramètres!$A$1:$I$89,5,0)</f>
        <v>4.0809080054196221</v>
      </c>
      <c r="CV11" s="13">
        <f t="shared" si="41"/>
        <v>1.5966759270706423</v>
      </c>
      <c r="CW11" s="20">
        <f t="shared" si="13"/>
        <v>9.8884586824205432</v>
      </c>
      <c r="CX11" s="59">
        <f t="shared" si="14"/>
        <v>303.22179201575386</v>
      </c>
      <c r="CY11" s="59">
        <f ca="1">AVERAGE(OFFSET($CX$3,0,0,'Données projet'!$E$13+1,1))-AVERAGE(OFFSET($H$3,0,0,'Données projet'!$E$13+1,1))</f>
        <v>326.31232746914907</v>
      </c>
      <c r="CZ11" s="59">
        <f t="shared" si="42"/>
        <v>330.17137761430297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5.9</v>
      </c>
      <c r="DO11" s="12">
        <f>IF('Données projet'!$A$166&gt;35,DO10+DN11-DW10,IF(A11&lt;'Données projet'!$A$166,$DL$205^A11,IF(A11='Données projet'!$A$166,'Données projet'!$B$166,DO10+DN11-DW10)))</f>
        <v>6.7414420078053858</v>
      </c>
      <c r="DP11" s="17">
        <f>DO11*VLOOKUP('Données projet'!$B$14,Paramètres!$A$1:$I$89,3,0)*VLOOKUP('Données projet'!$B$14,Paramètres!$A$1:$I$89,5,0)</f>
        <v>4.2066598128705603</v>
      </c>
      <c r="DQ11" s="13">
        <f t="shared" si="43"/>
        <v>1.6400728714398731</v>
      </c>
      <c r="DR11" s="20">
        <f t="shared" si="16"/>
        <v>10.183059425174006</v>
      </c>
      <c r="DS11" s="59">
        <f t="shared" si="17"/>
        <v>303.51639275850732</v>
      </c>
      <c r="DT11" s="59">
        <f ca="1">AVERAGE(OFFSET($DS$3,0,0,'Données projet'!$E$14+1,1))-AVERAGE(OFFSET($H$3,0,0,'Données projet'!$E$14+1,1))</f>
        <v>209.93608079129638</v>
      </c>
      <c r="DU11" s="59">
        <f t="shared" si="44"/>
        <v>240.15652428700969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4.55</v>
      </c>
      <c r="EJ11" s="12">
        <f>IF('Données projet'!$A$192&gt;35,EJ10+EI11-ER10,IF(A11&lt;'Données projet'!$A$192,$EG$205^A11,IF(A11='Données projet'!$A$192,'Données projet'!$B$192,EJ10+EI11-ER10)))</f>
        <v>6.0759830958211616</v>
      </c>
      <c r="EK11" s="17">
        <f>EJ11*VLOOKUP('Données projet'!$B$15,Paramètres!$A$1:$I$89,3,0)*VLOOKUP('Données projet'!$B$15,Paramètres!$A$1:$I$89,5,0)</f>
        <v>3.633437891301055</v>
      </c>
      <c r="EL11" s="13">
        <f t="shared" si="45"/>
        <v>1.4409496993838373</v>
      </c>
      <c r="EM11" s="20">
        <f t="shared" si="19"/>
        <v>8.8378917204428529</v>
      </c>
      <c r="EN11" s="59">
        <f t="shared" si="20"/>
        <v>302.17122505377614</v>
      </c>
      <c r="EO11" s="59">
        <f ca="1">AVERAGE(OFFSET($EN$3,0,0,'Données projet'!$E$15+1,1))-AVERAGE(OFFSET($H$3,0,0,'Données projet'!$E$15+1,1))</f>
        <v>216.94426559495264</v>
      </c>
      <c r="EP11" s="59">
        <f t="shared" si="46"/>
        <v>225.33715877618704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3</v>
      </c>
      <c r="FE11" s="12">
        <f>IF('Données projet'!$A$218&gt;35,FE10+FD11-FM10,IF(A11&lt;'Données projet'!$A$218,$FB$205^A11,IF(A11='Données projet'!$A$218,'Données projet'!$B$218,FE10+FD11-FM10)))</f>
        <v>10.902723556992838</v>
      </c>
      <c r="FF11" s="17">
        <f>FE11*VLOOKUP('Données projet'!$B$16,Paramètres!$A$1:$I$89,3,0)*VLOOKUP('Données projet'!$B$16,Paramètres!$A$1:$I$89,5,0)</f>
        <v>6.5198286870817181</v>
      </c>
      <c r="FG11" s="13">
        <f t="shared" si="47"/>
        <v>2.4155228910363733</v>
      </c>
      <c r="FH11" s="20">
        <f t="shared" si="22"/>
        <v>15.562403998555673</v>
      </c>
      <c r="FI11" s="59">
        <f t="shared" si="23"/>
        <v>308.89573733188899</v>
      </c>
      <c r="FJ11" s="59">
        <f ca="1">AVERAGE(OFFSET($FI$3,0,0,'Données projet'!$E$16+1,1))-AVERAGE(OFFSET($H$3,0,0,'Données projet'!$E$16+1,1))</f>
        <v>168.08890945052406</v>
      </c>
      <c r="FK11" s="59">
        <f t="shared" si="48"/>
        <v>182.52462557642343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3.8181818181818183</v>
      </c>
      <c r="FZ11" s="12">
        <f>IF('Données projet'!$A$244&gt;35,FZ10+FY11-GH10,IF(A11&lt;'Données projet'!$A$244,$FW$205^A11,IF(A11='Données projet'!$A$244,'Données projet'!$B$244,FZ10+FY11-GH10)))</f>
        <v>5.008848802084751</v>
      </c>
      <c r="GA11" s="17">
        <f>FZ11*VLOOKUP('Données projet'!$B$17,Paramètres!$A$1:$I$89,3,0)*VLOOKUP('Données projet'!$B$17,Paramètres!$A$1:$I$89,5,0)</f>
        <v>2.8650615147924778</v>
      </c>
      <c r="GB11" s="13">
        <f t="shared" si="49"/>
        <v>1.1680881657072633</v>
      </c>
      <c r="GC11" s="20">
        <f t="shared" si="25"/>
        <v>7.0244023602037151</v>
      </c>
      <c r="GD11" s="59">
        <f t="shared" si="26"/>
        <v>300.35773569353705</v>
      </c>
      <c r="GE11" s="59">
        <f ca="1">AVERAGE(OFFSET($GD$3,0,0,'Données projet'!$E$17+1,1))-AVERAGE(OFFSET($H$3,0,0,'Données projet'!$E$17+1,1))</f>
        <v>196.95560009657527</v>
      </c>
      <c r="GF11" s="59">
        <f t="shared" si="50"/>
        <v>168.90186968005662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7.9</v>
      </c>
      <c r="N12" s="13">
        <f>IF('Données projet'!$A$36&gt;35,N11+M12-V11,IF(A12&lt;'Données projet'!$A$36,$K$205^A12,IF(A12='Données projet'!$A$36,'Données projet'!$B$36,N11+M12-V11)))</f>
        <v>9.7587836327093171</v>
      </c>
      <c r="O12" s="13">
        <f>N12*VLOOKUP('Données projet'!$B$9,Paramètres!$A$1:$I$89,3,0)*VLOOKUP('Données projet'!$B$9,Paramètres!$A$1:$I$89,5,0)</f>
        <v>4.5671107401079603</v>
      </c>
      <c r="P12" s="13">
        <f t="shared" si="33"/>
        <v>1.763645650133036</v>
      </c>
      <c r="Q12" s="20">
        <f t="shared" si="2"/>
        <v>11.026067379669733</v>
      </c>
      <c r="R12" s="59">
        <f t="shared" si="0"/>
        <v>304.35940071300303</v>
      </c>
      <c r="S12" s="59">
        <f ca="1">AVERAGE(OFFSET($R$3,0,0,'Données projet'!$E$9+1,1))-AVERAGE(OFFSET($H$3,0,0,'Données projet'!$E$9+1,1))</f>
        <v>215.23235148064941</v>
      </c>
      <c r="T12" s="59">
        <f t="shared" si="34"/>
        <v>184.07239726900434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4.75</v>
      </c>
      <c r="AI12" s="13">
        <f>IF('Données projet'!$A$62&gt;35,AI11+AH12-AQ11,IF(A12&lt;'Données projet'!$A$62,$AF$205^A12,IF(A12='Données projet'!$A$62,'Données projet'!$B$62,AI11+AH12-AQ11)))</f>
        <v>7.7620354590201153</v>
      </c>
      <c r="AJ12" s="13">
        <f>AI12*VLOOKUP('Données projet'!$B$10,Paramètres!$A$1:$I$89,3,0)*VLOOKUP('Données projet'!$B$10,Paramètres!$A$1:$I$89,5,0)</f>
        <v>5.6911243985535487</v>
      </c>
      <c r="AK12" s="13">
        <f t="shared" si="35"/>
        <v>2.1421263684710175</v>
      </c>
      <c r="AL12" s="20">
        <f t="shared" si="4"/>
        <v>13.642911752567786</v>
      </c>
      <c r="AM12" s="59">
        <f t="shared" si="5"/>
        <v>306.9762450859011</v>
      </c>
      <c r="AN12" s="59">
        <f ca="1">AVERAGE(OFFSET($AM$3,0,0,'Données projet'!$E$10+1,1))-AVERAGE(OFFSET($H$3,0,0,'Données projet'!$E$10+1,1))</f>
        <v>178.12968684094687</v>
      </c>
      <c r="AO12" s="59">
        <f t="shared" si="36"/>
        <v>219.36004077210373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4.25</v>
      </c>
      <c r="BD12" s="12">
        <f>IF('Données projet'!$A$88&gt;35,BD11+BC12-BL11,IF(A12&lt;'Données projet'!$A$88,$BA$205^A12,IF(A12='Données projet'!$A$88,'Données projet'!$B$88,BD11+BC12-BL11)))</f>
        <v>7.3830960190762758</v>
      </c>
      <c r="BE12" s="13">
        <f>BD12*VLOOKUP('Données projet'!$B$11,Paramètres!$A$1:$I$89,3,0)*VLOOKUP('Données projet'!$B$11,Paramètres!$A$1:$I$89,5,0)</f>
        <v>6.4498726822650356</v>
      </c>
      <c r="BF12" s="13">
        <f t="shared" si="37"/>
        <v>2.3926074675845266</v>
      </c>
      <c r="BG12" s="20">
        <f t="shared" si="7"/>
        <v>15.400652927654653</v>
      </c>
      <c r="BH12" s="59">
        <f t="shared" si="8"/>
        <v>308.73398626098799</v>
      </c>
      <c r="BI12" s="59">
        <f ca="1">AVERAGE(OFFSET($BH$3,0,0,'Données projet'!$E$11+1,1))-AVERAGE(OFFSET($H$3,0,0,'Données projet'!$E$11+1,1))</f>
        <v>114.02623091248347</v>
      </c>
      <c r="BJ12" s="59">
        <f t="shared" si="38"/>
        <v>185.51554083721635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2.1</v>
      </c>
      <c r="BY12" s="12">
        <f>IF('Données projet'!$A$114&gt;35,BY11+BX12-CG11,IF(A12&lt;'Données projet'!$A$114,$BV$205^A12,IF(A12='Données projet'!$A$114,'Données projet'!$B$114,BY11+BX12-CG11)))</f>
        <v>5.3760361537574148</v>
      </c>
      <c r="BZ12" s="13">
        <f>BY12*VLOOKUP('Données projet'!$B$12,Paramètres!$A$1:$I$89,3,0)*VLOOKUP('Données projet'!$B$12,Paramètres!$A$1:$I$89,5,0)</f>
        <v>4.8642375119197085</v>
      </c>
      <c r="CA12" s="13">
        <f t="shared" si="39"/>
        <v>1.8646542609995393</v>
      </c>
      <c r="CB12" s="20">
        <f t="shared" si="10"/>
        <v>11.719486504501022</v>
      </c>
      <c r="CC12" s="59">
        <f t="shared" si="11"/>
        <v>305.05281983783436</v>
      </c>
      <c r="CD12" s="59">
        <f ca="1">AVERAGE(OFFSET($CC$3,0,0,'Données projet'!$E$12+1,1))-AVERAGE(OFFSET($H$3,0,0,'Données projet'!$E$12+1,1))</f>
        <v>237.22177246688199</v>
      </c>
      <c r="CE12" s="59">
        <f t="shared" si="40"/>
        <v>149.27472147904302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1.2</v>
      </c>
      <c r="CT12" s="12">
        <f>IF('Données projet'!$A$140&gt;35,CT11+CS12-DB11,IF(A12&lt;'Données projet'!$A$140,$CQ$205^A12,IF(A12='Données projet'!$A$140,'Données projet'!$B$140,CT11+CS12-DB11)))</f>
        <v>9.3597257028516339</v>
      </c>
      <c r="CU12" s="17">
        <f>CT12*VLOOKUP('Données projet'!$B$13,Paramètres!$A$1:$I$89,3,0)*VLOOKUP('Données projet'!$B$13,Paramètres!$A$1:$I$89,5,0)</f>
        <v>5.2320866678940634</v>
      </c>
      <c r="CV12" s="13">
        <f t="shared" si="41"/>
        <v>1.9887181275113242</v>
      </c>
      <c r="CW12" s="20">
        <f t="shared" si="13"/>
        <v>12.576235018664383</v>
      </c>
      <c r="CX12" s="59">
        <f t="shared" si="14"/>
        <v>305.90956835199768</v>
      </c>
      <c r="CY12" s="59">
        <f ca="1">AVERAGE(OFFSET($CX$3,0,0,'Données projet'!$E$13+1,1))-AVERAGE(OFFSET($H$3,0,0,'Données projet'!$E$13+1,1))</f>
        <v>326.31232746914907</v>
      </c>
      <c r="CZ12" s="59">
        <f t="shared" si="42"/>
        <v>330.17137761430297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5.9</v>
      </c>
      <c r="DO12" s="12">
        <f>IF('Données projet'!$A$166&gt;35,DO11+DN12-DW11,IF(A12&lt;'Données projet'!$A$166,$DL$205^A12,IF(A12='Données projet'!$A$166,'Données projet'!$B$166,DO11+DN12-DW11)))</f>
        <v>8.5574999108937213</v>
      </c>
      <c r="DP12" s="17">
        <f>DO12*VLOOKUP('Données projet'!$B$14,Paramètres!$A$1:$I$89,3,0)*VLOOKUP('Données projet'!$B$14,Paramètres!$A$1:$I$89,5,0)</f>
        <v>5.3398799443976825</v>
      </c>
      <c r="DQ12" s="13">
        <f t="shared" si="43"/>
        <v>2.0248781407951277</v>
      </c>
      <c r="DR12" s="20">
        <f t="shared" si="16"/>
        <v>12.826953665044144</v>
      </c>
      <c r="DS12" s="59">
        <f t="shared" si="17"/>
        <v>306.16028699837744</v>
      </c>
      <c r="DT12" s="59">
        <f ca="1">AVERAGE(OFFSET($DS$3,0,0,'Données projet'!$E$14+1,1))-AVERAGE(OFFSET($H$3,0,0,'Données projet'!$E$14+1,1))</f>
        <v>209.93608079129638</v>
      </c>
      <c r="DU12" s="59">
        <f t="shared" si="44"/>
        <v>240.15652428700969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4.55</v>
      </c>
      <c r="EJ12" s="12">
        <f>IF('Données projet'!$A$192&gt;35,EJ11+EI12-ER11,IF(A12&lt;'Données projet'!$A$192,$EG$205^A12,IF(A12='Données projet'!$A$192,'Données projet'!$B$192,EJ11+EI12-ER11)))</f>
        <v>7.6132243249824851</v>
      </c>
      <c r="EK12" s="17">
        <f>EJ12*VLOOKUP('Données projet'!$B$15,Paramètres!$A$1:$I$89,3,0)*VLOOKUP('Données projet'!$B$15,Paramètres!$A$1:$I$89,5,0)</f>
        <v>4.5527081463395263</v>
      </c>
      <c r="EL12" s="13">
        <f t="shared" si="45"/>
        <v>1.758730395704539</v>
      </c>
      <c r="EM12" s="20">
        <f t="shared" si="19"/>
        <v>10.992422127393413</v>
      </c>
      <c r="EN12" s="59">
        <f t="shared" si="20"/>
        <v>304.32575546072673</v>
      </c>
      <c r="EO12" s="59">
        <f ca="1">AVERAGE(OFFSET($EN$3,0,0,'Données projet'!$E$15+1,1))-AVERAGE(OFFSET($H$3,0,0,'Données projet'!$E$15+1,1))</f>
        <v>216.94426559495264</v>
      </c>
      <c r="EP12" s="59">
        <f t="shared" si="46"/>
        <v>225.33715877618704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3</v>
      </c>
      <c r="FE12" s="12">
        <f>IF('Données projet'!$A$218&gt;35,FE11+FD12-FM11,IF(A12&lt;'Données projet'!$A$218,$FB$205^A12,IF(A12='Données projet'!$A$218,'Données projet'!$B$218,FE11+FD12-FM11)))</f>
        <v>14.696938456699069</v>
      </c>
      <c r="FF12" s="17">
        <f>FE12*VLOOKUP('Données projet'!$B$16,Paramètres!$A$1:$I$89,3,0)*VLOOKUP('Données projet'!$B$16,Paramètres!$A$1:$I$89,5,0)</f>
        <v>8.7887691971060438</v>
      </c>
      <c r="FG12" s="13">
        <f t="shared" si="47"/>
        <v>3.1449004184369191</v>
      </c>
      <c r="FH12" s="20">
        <f t="shared" si="22"/>
        <v>20.784474580403991</v>
      </c>
      <c r="FI12" s="59">
        <f t="shared" si="23"/>
        <v>314.11780791373729</v>
      </c>
      <c r="FJ12" s="59">
        <f ca="1">AVERAGE(OFFSET($FI$3,0,0,'Données projet'!$E$16+1,1))-AVERAGE(OFFSET($H$3,0,0,'Données projet'!$E$16+1,1))</f>
        <v>168.08890945052406</v>
      </c>
      <c r="FK12" s="59">
        <f t="shared" si="48"/>
        <v>182.52462557642343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3.8181818181818183</v>
      </c>
      <c r="FZ12" s="12">
        <f>IF('Données projet'!$A$244&gt;35,FZ11+FY12-GH11,IF(A12&lt;'Données projet'!$A$244,$FW$205^A12,IF(A12='Données projet'!$A$244,'Données projet'!$B$244,FZ11+FY12-GH11)))</f>
        <v>6.1263973687925679</v>
      </c>
      <c r="GA12" s="17">
        <f>FZ12*VLOOKUP('Données projet'!$B$17,Paramètres!$A$1:$I$89,3,0)*VLOOKUP('Données projet'!$B$17,Paramètres!$A$1:$I$89,5,0)</f>
        <v>3.504299294949349</v>
      </c>
      <c r="GB12" s="13">
        <f t="shared" si="49"/>
        <v>1.3956023031156395</v>
      </c>
      <c r="GC12" s="20">
        <f t="shared" si="25"/>
        <v>8.5339952832965214</v>
      </c>
      <c r="GD12" s="59">
        <f t="shared" si="26"/>
        <v>301.86732861662983</v>
      </c>
      <c r="GE12" s="59">
        <f ca="1">AVERAGE(OFFSET($GD$3,0,0,'Données projet'!$E$17+1,1))-AVERAGE(OFFSET($H$3,0,0,'Données projet'!$E$17+1,1))</f>
        <v>196.95560009657527</v>
      </c>
      <c r="GF12" s="59">
        <f t="shared" si="50"/>
        <v>168.90186968005662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7.9</v>
      </c>
      <c r="N13" s="13">
        <f>IF('Données projet'!$A$36&gt;35,N12+M13-V12,IF(A13&lt;'Données projet'!$A$36,$K$205^A13,IF(A13='Données projet'!$A$36,'Données projet'!$B$36,N12+M13-V12)))</f>
        <v>12.569805089976542</v>
      </c>
      <c r="O13" s="13">
        <f>N13*VLOOKUP('Données projet'!$B$9,Paramètres!$A$1:$I$89,3,0)*VLOOKUP('Données projet'!$B$9,Paramètres!$A$1:$I$89,5,0)</f>
        <v>5.8826687821090227</v>
      </c>
      <c r="P13" s="13">
        <f t="shared" si="33"/>
        <v>2.2057079152108381</v>
      </c>
      <c r="Q13" s="20">
        <f t="shared" si="2"/>
        <v>14.087256081165423</v>
      </c>
      <c r="R13" s="59">
        <f t="shared" si="0"/>
        <v>307.42058941449875</v>
      </c>
      <c r="S13" s="59">
        <f ca="1">AVERAGE(OFFSET($R$3,0,0,'Données projet'!$E$9+1,1))-AVERAGE(OFFSET($H$3,0,0,'Données projet'!$E$9+1,1))</f>
        <v>215.23235148064941</v>
      </c>
      <c r="T13" s="59">
        <f t="shared" si="34"/>
        <v>184.07239726900434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4.75</v>
      </c>
      <c r="AI13" s="13">
        <f>IF('Données projet'!$A$62&gt;35,AI12+AH13-AQ12,IF(A13&lt;'Données projet'!$A$62,$AF$205^A13,IF(A13='Données projet'!$A$62,'Données projet'!$B$62,AI12+AH13-AQ12)))</f>
        <v>9.7467943448089507</v>
      </c>
      <c r="AJ13" s="13">
        <f>AI13*VLOOKUP('Données projet'!$B$10,Paramètres!$A$1:$I$89,3,0)*VLOOKUP('Données projet'!$B$10,Paramètres!$A$1:$I$89,5,0)</f>
        <v>7.1463496136139222</v>
      </c>
      <c r="AK13" s="13">
        <f t="shared" si="35"/>
        <v>2.6195151591991359</v>
      </c>
      <c r="AL13" s="20">
        <f t="shared" si="4"/>
        <v>17.008881145982745</v>
      </c>
      <c r="AM13" s="59">
        <f t="shared" si="5"/>
        <v>310.34221447931606</v>
      </c>
      <c r="AN13" s="59">
        <f ca="1">AVERAGE(OFFSET($AM$3,0,0,'Données projet'!$E$10+1,1))-AVERAGE(OFFSET($H$3,0,0,'Données projet'!$E$10+1,1))</f>
        <v>178.12968684094687</v>
      </c>
      <c r="AO13" s="59">
        <f t="shared" si="36"/>
        <v>219.36004077210373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4.25</v>
      </c>
      <c r="BD13" s="12">
        <f>IF('Données projet'!$A$88&gt;35,BD12+BC13-BL12,IF(A13&lt;'Données projet'!$A$88,$BA$205^A13,IF(A13='Données projet'!$A$88,'Données projet'!$B$88,BD12+BC13-BL12)))</f>
        <v>9.21954445729288</v>
      </c>
      <c r="BE13" s="13">
        <f>BD13*VLOOKUP('Données projet'!$B$11,Paramètres!$A$1:$I$89,3,0)*VLOOKUP('Données projet'!$B$11,Paramètres!$A$1:$I$89,5,0)</f>
        <v>8.0541940378910617</v>
      </c>
      <c r="BF13" s="13">
        <f t="shared" si="37"/>
        <v>2.9114757824868231</v>
      </c>
      <c r="BG13" s="20">
        <f t="shared" si="7"/>
        <v>19.098541603824817</v>
      </c>
      <c r="BH13" s="59">
        <f t="shared" si="8"/>
        <v>312.43187493715811</v>
      </c>
      <c r="BI13" s="59">
        <f ca="1">AVERAGE(OFFSET($BH$3,0,0,'Données projet'!$E$11+1,1))-AVERAGE(OFFSET($H$3,0,0,'Données projet'!$E$11+1,1))</f>
        <v>114.02623091248347</v>
      </c>
      <c r="BJ13" s="59">
        <f t="shared" si="38"/>
        <v>185.51554083721635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2.1</v>
      </c>
      <c r="BY13" s="12">
        <f>IF('Données projet'!$A$114&gt;35,BY12+BX13-CG12,IF(A13&lt;'Données projet'!$A$114,$BV$205^A13,IF(A13='Données projet'!$A$114,'Données projet'!$B$114,BY12+BX13-CG12)))</f>
        <v>6.4807406984078657</v>
      </c>
      <c r="BZ13" s="13">
        <f>BY13*VLOOKUP('Données projet'!$B$12,Paramètres!$A$1:$I$89,3,0)*VLOOKUP('Données projet'!$B$12,Paramètres!$A$1:$I$89,5,0)</f>
        <v>5.8637741839194364</v>
      </c>
      <c r="CA13" s="13">
        <f t="shared" si="39"/>
        <v>2.1994468497187687</v>
      </c>
      <c r="CB13" s="20">
        <f t="shared" si="10"/>
        <v>14.043443300253207</v>
      </c>
      <c r="CC13" s="59">
        <f t="shared" si="11"/>
        <v>307.37677663358653</v>
      </c>
      <c r="CD13" s="59">
        <f ca="1">AVERAGE(OFFSET($CC$3,0,0,'Données projet'!$E$12+1,1))-AVERAGE(OFFSET($H$3,0,0,'Données projet'!$E$12+1,1))</f>
        <v>237.22177246688199</v>
      </c>
      <c r="CE13" s="59">
        <f t="shared" si="40"/>
        <v>149.27472147904302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>
        <f>VLOOKUP(A13,'Données projet'!$A$139:$I$159,2,0)</f>
        <v>12</v>
      </c>
      <c r="CR13" s="12">
        <f>VLOOKUP(A13,'Données projet'!$A$139:$I$159,9,0)</f>
        <v>1.2</v>
      </c>
      <c r="CS13" s="12">
        <f t="array" ref="CS13">INDEX(CR:CR,MIN(IF(ISNUMBER(CR13:CR209),ROW(CR13:CR209),"")))</f>
        <v>1.2</v>
      </c>
      <c r="CT13" s="12">
        <f>IF('Données projet'!$A$140&gt;35,CT12+CS13-DB12,IF(A13&lt;'Données projet'!$A$140,$CQ$205^A13,IF(A13='Données projet'!$A$140,'Données projet'!$B$140,CT12+CS13-DB12)))</f>
        <v>12</v>
      </c>
      <c r="CU13" s="17">
        <f>CT13*VLOOKUP('Données projet'!$B$13,Paramètres!$A$1:$I$89,3,0)*VLOOKUP('Données projet'!$B$13,Paramètres!$A$1:$I$89,5,0)</f>
        <v>6.7080000000000002</v>
      </c>
      <c r="CV13" s="13">
        <f t="shared" si="41"/>
        <v>2.477020993200687</v>
      </c>
      <c r="CW13" s="20">
        <f t="shared" si="13"/>
        <v>15.997244896491198</v>
      </c>
      <c r="CX13" s="59">
        <f t="shared" si="14"/>
        <v>309.33057822982454</v>
      </c>
      <c r="CY13" s="59">
        <f ca="1">AVERAGE(OFFSET($CX$3,0,0,'Données projet'!$E$13+1,1))-AVERAGE(OFFSET($H$3,0,0,'Données projet'!$E$13+1,1))</f>
        <v>326.31232746914907</v>
      </c>
      <c r="CZ13" s="59">
        <f t="shared" si="42"/>
        <v>330.17137761430297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5.9</v>
      </c>
      <c r="DO13" s="12">
        <f>IF('Données projet'!$A$166&gt;35,DO12+DN13-DW12,IF(A13&lt;'Données projet'!$A$166,$DL$205^A13,IF(A13='Données projet'!$A$166,'Données projet'!$B$166,DO12+DN13-DW12)))</f>
        <v>10.862780491200228</v>
      </c>
      <c r="DP13" s="17">
        <f>DO13*VLOOKUP('Données projet'!$B$14,Paramètres!$A$1:$I$89,3,0)*VLOOKUP('Données projet'!$B$14,Paramètres!$A$1:$I$89,5,0)</f>
        <v>6.7783750265089431</v>
      </c>
      <c r="DQ13" s="13">
        <f t="shared" si="43"/>
        <v>2.4999690906845462</v>
      </c>
      <c r="DR13" s="20">
        <f t="shared" si="16"/>
        <v>16.159782670778661</v>
      </c>
      <c r="DS13" s="59">
        <f t="shared" si="17"/>
        <v>309.49311600411198</v>
      </c>
      <c r="DT13" s="59">
        <f ca="1">AVERAGE(OFFSET($DS$3,0,0,'Données projet'!$E$14+1,1))-AVERAGE(OFFSET($H$3,0,0,'Données projet'!$E$14+1,1))</f>
        <v>209.93608079129638</v>
      </c>
      <c r="DU13" s="59">
        <f t="shared" si="44"/>
        <v>240.15652428700969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4.55</v>
      </c>
      <c r="EJ13" s="12">
        <f>IF('Données projet'!$A$192&gt;35,EJ12+EI13-ER12,IF(A13&lt;'Données projet'!$A$192,$EG$205^A13,IF(A13='Données projet'!$A$192,'Données projet'!$B$192,EJ12+EI13-ER12)))</f>
        <v>9.5393920141694579</v>
      </c>
      <c r="EK13" s="17">
        <f>EJ13*VLOOKUP('Données projet'!$B$15,Paramètres!$A$1:$I$89,3,0)*VLOOKUP('Données projet'!$B$15,Paramètres!$A$1:$I$89,5,0)</f>
        <v>5.7045564244733367</v>
      </c>
      <c r="EL13" s="13">
        <f t="shared" si="45"/>
        <v>2.1465930463066791</v>
      </c>
      <c r="EM13" s="20">
        <f t="shared" si="19"/>
        <v>13.674085328275192</v>
      </c>
      <c r="EN13" s="59">
        <f t="shared" si="20"/>
        <v>307.00741866160848</v>
      </c>
      <c r="EO13" s="59">
        <f ca="1">AVERAGE(OFFSET($EN$3,0,0,'Données projet'!$E$15+1,1))-AVERAGE(OFFSET($H$3,0,0,'Données projet'!$E$15+1,1))</f>
        <v>216.94426559495264</v>
      </c>
      <c r="EP13" s="59">
        <f t="shared" si="46"/>
        <v>225.33715877618704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3</v>
      </c>
      <c r="FE13" s="12">
        <f>IF('Données projet'!$A$218&gt;35,FE12+FD13-FM12,IF(A13&lt;'Données projet'!$A$218,$FB$205^A13,IF(A13='Données projet'!$A$218,'Données projet'!$B$218,FE12+FD13-FM12)))</f>
        <v>19.81156349336776</v>
      </c>
      <c r="FF13" s="17">
        <f>FE13*VLOOKUP('Données projet'!$B$16,Paramètres!$A$1:$I$89,3,0)*VLOOKUP('Données projet'!$B$16,Paramètres!$A$1:$I$89,5,0)</f>
        <v>11.847314969033921</v>
      </c>
      <c r="FG13" s="13">
        <f t="shared" si="47"/>
        <v>4.094516627677768</v>
      </c>
      <c r="FH13" s="20">
        <f t="shared" si="22"/>
        <v>27.76535669760619</v>
      </c>
      <c r="FI13" s="59">
        <f t="shared" si="23"/>
        <v>321.09869003093951</v>
      </c>
      <c r="FJ13" s="59">
        <f ca="1">AVERAGE(OFFSET($FI$3,0,0,'Données projet'!$E$16+1,1))-AVERAGE(OFFSET($H$3,0,0,'Données projet'!$E$16+1,1))</f>
        <v>168.08890945052406</v>
      </c>
      <c r="FK13" s="59">
        <f t="shared" si="48"/>
        <v>182.52462557642343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3.8181818181818183</v>
      </c>
      <c r="FZ13" s="12">
        <f>IF('Données projet'!$A$244&gt;35,FZ12+FY13-GH12,IF(A13&lt;'Données projet'!$A$244,$FW$205^A13,IF(A13='Données projet'!$A$244,'Données projet'!$B$244,FZ12+FY13-GH12)))</f>
        <v>7.4932876202465657</v>
      </c>
      <c r="GA13" s="17">
        <f>FZ13*VLOOKUP('Données projet'!$B$17,Paramètres!$A$1:$I$89,3,0)*VLOOKUP('Données projet'!$B$17,Paramètres!$A$1:$I$89,5,0)</f>
        <v>4.2861605187810357</v>
      </c>
      <c r="GB13" s="13">
        <f t="shared" si="49"/>
        <v>1.6674304608525559</v>
      </c>
      <c r="GC13" s="20">
        <f t="shared" si="25"/>
        <v>10.369170956195171</v>
      </c>
      <c r="GD13" s="59">
        <f t="shared" si="26"/>
        <v>303.70250428952846</v>
      </c>
      <c r="GE13" s="59">
        <f ca="1">AVERAGE(OFFSET($GD$3,0,0,'Données projet'!$E$17+1,1))-AVERAGE(OFFSET($H$3,0,0,'Données projet'!$E$17+1,1))</f>
        <v>196.95560009657527</v>
      </c>
      <c r="GF13" s="59">
        <f t="shared" si="50"/>
        <v>168.90186968005662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7.9</v>
      </c>
      <c r="N14" s="13">
        <f>IF('Données projet'!$A$36&gt;35,N13+M14-V13,IF(A14&lt;'Données projet'!$A$36,$K$205^A14,IF(A14='Données projet'!$A$36,'Données projet'!$B$36,N13+M14-V13)))</f>
        <v>16.190542381779895</v>
      </c>
      <c r="O14" s="13">
        <f>N14*VLOOKUP('Données projet'!$B$9,Paramètres!$A$1:$I$89,3,0)*VLOOKUP('Données projet'!$B$9,Paramètres!$A$1:$I$89,5,0)</f>
        <v>7.5771738346729904</v>
      </c>
      <c r="P14" s="13">
        <f t="shared" si="33"/>
        <v>2.7585742106736397</v>
      </c>
      <c r="Q14" s="20">
        <f t="shared" si="2"/>
        <v>18.001427845645381</v>
      </c>
      <c r="R14" s="59">
        <f t="shared" si="0"/>
        <v>311.33476117897868</v>
      </c>
      <c r="S14" s="59">
        <f ca="1">AVERAGE(OFFSET($R$3,0,0,'Données projet'!$E$9+1,1))-AVERAGE(OFFSET($H$3,0,0,'Données projet'!$E$9+1,1))</f>
        <v>215.23235148064941</v>
      </c>
      <c r="T14" s="59">
        <f t="shared" si="34"/>
        <v>184.07239726900434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4.75</v>
      </c>
      <c r="AI14" s="13">
        <f>IF('Données projet'!$A$62&gt;35,AI13+AH14-AQ13,IF(A14&lt;'Données projet'!$A$62,$AF$205^A14,IF(A14='Données projet'!$A$62,'Données projet'!$B$62,AI13+AH14-AQ13)))</f>
        <v>12.239057719016479</v>
      </c>
      <c r="AJ14" s="13">
        <f>AI14*VLOOKUP('Données projet'!$B$10,Paramètres!$A$1:$I$89,3,0)*VLOOKUP('Données projet'!$B$10,Paramètres!$A$1:$I$89,5,0)</f>
        <v>8.9736771195828826</v>
      </c>
      <c r="AK14" s="13">
        <f t="shared" si="35"/>
        <v>3.2032935919517467</v>
      </c>
      <c r="AL14" s="20">
        <f t="shared" si="4"/>
        <v>21.208223989256144</v>
      </c>
      <c r="AM14" s="59">
        <f t="shared" si="5"/>
        <v>314.54155732258948</v>
      </c>
      <c r="AN14" s="59">
        <f ca="1">AVERAGE(OFFSET($AM$3,0,0,'Données projet'!$E$10+1,1))-AVERAGE(OFFSET($H$3,0,0,'Données projet'!$E$10+1,1))</f>
        <v>178.12968684094687</v>
      </c>
      <c r="AO14" s="59">
        <f t="shared" si="36"/>
        <v>219.36004077210373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4.25</v>
      </c>
      <c r="BD14" s="12">
        <f>IF('Données projet'!$A$88&gt;35,BD13+BC14-BL13,IF(A14&lt;'Données projet'!$A$88,$BA$205^A14,IF(A14='Données projet'!$A$88,'Données projet'!$B$88,BD13+BC14-BL13)))</f>
        <v>11.512785392520808</v>
      </c>
      <c r="BE14" s="13">
        <f>BD14*VLOOKUP('Données projet'!$B$11,Paramètres!$A$1:$I$89,3,0)*VLOOKUP('Données projet'!$B$11,Paramètres!$A$1:$I$89,5,0)</f>
        <v>10.057569318906179</v>
      </c>
      <c r="BF14" s="13">
        <f t="shared" si="37"/>
        <v>3.5428674978453354</v>
      </c>
      <c r="BG14" s="20">
        <f t="shared" si="7"/>
        <v>23.687427455842222</v>
      </c>
      <c r="BH14" s="59">
        <f t="shared" si="8"/>
        <v>317.02076078917554</v>
      </c>
      <c r="BI14" s="59">
        <f ca="1">AVERAGE(OFFSET($BH$3,0,0,'Données projet'!$E$11+1,1))-AVERAGE(OFFSET($H$3,0,0,'Données projet'!$E$11+1,1))</f>
        <v>114.02623091248347</v>
      </c>
      <c r="BJ14" s="59">
        <f t="shared" si="38"/>
        <v>185.51554083721635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2.1</v>
      </c>
      <c r="BY14" s="12">
        <f>IF('Données projet'!$A$114&gt;35,BY13+BX14-CG13,IF(A14&lt;'Données projet'!$A$114,$BV$205^A14,IF(A14='Données projet'!$A$114,'Données projet'!$B$114,BY13+BX14-CG13)))</f>
        <v>7.8124474610620815</v>
      </c>
      <c r="BZ14" s="13">
        <f>BY14*VLOOKUP('Données projet'!$B$12,Paramètres!$A$1:$I$89,3,0)*VLOOKUP('Données projet'!$B$12,Paramètres!$A$1:$I$89,5,0)</f>
        <v>7.0687024627689707</v>
      </c>
      <c r="CA14" s="13">
        <f t="shared" si="39"/>
        <v>2.5943503554083325</v>
      </c>
      <c r="CB14" s="20">
        <f t="shared" si="10"/>
        <v>16.829816991658799</v>
      </c>
      <c r="CC14" s="59">
        <f t="shared" si="11"/>
        <v>310.1631503249921</v>
      </c>
      <c r="CD14" s="59">
        <f ca="1">AVERAGE(OFFSET($CC$3,0,0,'Données projet'!$E$12+1,1))-AVERAGE(OFFSET($H$3,0,0,'Données projet'!$E$12+1,1))</f>
        <v>237.22177246688199</v>
      </c>
      <c r="CE14" s="59">
        <f t="shared" si="40"/>
        <v>149.27472147904302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15</v>
      </c>
      <c r="CT14" s="12">
        <f>IF('Données projet'!$A$140&gt;35,CT13+CS14-DB13,IF(A14&lt;'Données projet'!$A$140,$CQ$205^A14,IF(A14='Données projet'!$A$140,'Données projet'!$B$140,CT13+CS14-DB13)))</f>
        <v>27</v>
      </c>
      <c r="CU14" s="17">
        <f>CT14*VLOOKUP('Données projet'!$B$13,Paramètres!$A$1:$I$89,3,0)*VLOOKUP('Données projet'!$B$13,Paramètres!$A$1:$I$89,5,0)</f>
        <v>15.093</v>
      </c>
      <c r="CV14" s="13">
        <f t="shared" si="41"/>
        <v>5.0712866613861207</v>
      </c>
      <c r="CW14" s="20">
        <f t="shared" si="13"/>
        <v>35.11946593524749</v>
      </c>
      <c r="CX14" s="59">
        <f t="shared" si="14"/>
        <v>328.4527992685808</v>
      </c>
      <c r="CY14" s="59">
        <f ca="1">AVERAGE(OFFSET($CX$3,0,0,'Données projet'!$E$13+1,1))-AVERAGE(OFFSET($H$3,0,0,'Données projet'!$E$13+1,1))</f>
        <v>326.31232746914907</v>
      </c>
      <c r="CZ14" s="59">
        <f t="shared" si="42"/>
        <v>330.17137761430297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5.9</v>
      </c>
      <c r="DO14" s="12">
        <f>IF('Données projet'!$A$166&gt;35,DO13+DN14-DW13,IF(A14&lt;'Données projet'!$A$166,$DL$205^A14,IF(A14='Données projet'!$A$166,'Données projet'!$B$166,DO13+DN14-DW13)))</f>
        <v>13.789074055354174</v>
      </c>
      <c r="DP14" s="17">
        <f>DO14*VLOOKUP('Données projet'!$B$14,Paramètres!$A$1:$I$89,3,0)*VLOOKUP('Données projet'!$B$14,Paramètres!$A$1:$I$89,5,0)</f>
        <v>8.6043822105410044</v>
      </c>
      <c r="DQ14" s="13">
        <f t="shared" si="43"/>
        <v>3.0865291735155624</v>
      </c>
      <c r="DR14" s="20">
        <f t="shared" si="16"/>
        <v>20.361670660565185</v>
      </c>
      <c r="DS14" s="59">
        <f t="shared" si="17"/>
        <v>313.69500399389852</v>
      </c>
      <c r="DT14" s="59">
        <f ca="1">AVERAGE(OFFSET($DS$3,0,0,'Données projet'!$E$14+1,1))-AVERAGE(OFFSET($H$3,0,0,'Données projet'!$E$14+1,1))</f>
        <v>209.93608079129638</v>
      </c>
      <c r="DU14" s="59">
        <f t="shared" si="44"/>
        <v>240.15652428700969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4.55</v>
      </c>
      <c r="EJ14" s="12">
        <f>IF('Données projet'!$A$192&gt;35,EJ13+EI14-ER13,IF(A14&lt;'Données projet'!$A$192,$EG$205^A14,IF(A14='Données projet'!$A$192,'Données projet'!$B$192,EJ13+EI14-ER13)))</f>
        <v>11.952885678330434</v>
      </c>
      <c r="EK14" s="17">
        <f>EJ14*VLOOKUP('Données projet'!$B$15,Paramètres!$A$1:$I$89,3,0)*VLOOKUP('Données projet'!$B$15,Paramètres!$A$1:$I$89,5,0)</f>
        <v>7.147825635641599</v>
      </c>
      <c r="EL14" s="13">
        <f t="shared" si="45"/>
        <v>2.6199932165306663</v>
      </c>
      <c r="EM14" s="20">
        <f t="shared" si="19"/>
        <v>17.012284500866695</v>
      </c>
      <c r="EN14" s="59">
        <f t="shared" si="20"/>
        <v>310.34561783420003</v>
      </c>
      <c r="EO14" s="59">
        <f ca="1">AVERAGE(OFFSET($EN$3,0,0,'Données projet'!$E$15+1,1))-AVERAGE(OFFSET($H$3,0,0,'Données projet'!$E$15+1,1))</f>
        <v>216.94426559495264</v>
      </c>
      <c r="EP14" s="59">
        <f t="shared" si="46"/>
        <v>225.33715877618704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3</v>
      </c>
      <c r="FE14" s="12">
        <f>IF('Données projet'!$A$218&gt;35,FE13+FD14-FM13,IF(A14&lt;'Données projet'!$A$218,$FB$205^A14,IF(A14='Données projet'!$A$218,'Données projet'!$B$218,FE13+FD14-FM13)))</f>
        <v>26.706109521254486</v>
      </c>
      <c r="FF14" s="17">
        <f>FE14*VLOOKUP('Données projet'!$B$16,Paramètres!$A$1:$I$89,3,0)*VLOOKUP('Données projet'!$B$16,Paramètres!$A$1:$I$89,5,0)</f>
        <v>15.970253493710185</v>
      </c>
      <c r="FG14" s="13">
        <f t="shared" si="47"/>
        <v>5.3308735361046251</v>
      </c>
      <c r="FH14" s="20">
        <f t="shared" si="22"/>
        <v>37.09946291026079</v>
      </c>
      <c r="FI14" s="59">
        <f t="shared" si="23"/>
        <v>330.43279624359411</v>
      </c>
      <c r="FJ14" s="59">
        <f ca="1">AVERAGE(OFFSET($FI$3,0,0,'Données projet'!$E$16+1,1))-AVERAGE(OFFSET($H$3,0,0,'Données projet'!$E$16+1,1))</f>
        <v>168.08890945052406</v>
      </c>
      <c r="FK14" s="59">
        <f t="shared" si="48"/>
        <v>182.52462557642343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3.8181818181818183</v>
      </c>
      <c r="FZ14" s="12">
        <f>IF('Données projet'!$A$244&gt;35,FZ13+FY14-GH13,IF(A14&lt;'Données projet'!$A$244,$FW$205^A14,IF(A14='Données projet'!$A$244,'Données projet'!$B$244,FZ13+FY14-GH13)))</f>
        <v>9.1651513899116743</v>
      </c>
      <c r="GA14" s="17">
        <f>FZ14*VLOOKUP('Données projet'!$B$17,Paramètres!$A$1:$I$89,3,0)*VLOOKUP('Données projet'!$B$17,Paramètres!$A$1:$I$89,5,0)</f>
        <v>5.2424665950294775</v>
      </c>
      <c r="GB14" s="13">
        <f t="shared" si="49"/>
        <v>1.9922038933097028</v>
      </c>
      <c r="GC14" s="20">
        <f t="shared" si="25"/>
        <v>12.600384433857405</v>
      </c>
      <c r="GD14" s="59">
        <f t="shared" si="26"/>
        <v>305.93371776719073</v>
      </c>
      <c r="GE14" s="59">
        <f ca="1">AVERAGE(OFFSET($GD$3,0,0,'Données projet'!$E$17+1,1))-AVERAGE(OFFSET($H$3,0,0,'Données projet'!$E$17+1,1))</f>
        <v>196.95560009657527</v>
      </c>
      <c r="GF14" s="59">
        <f t="shared" si="50"/>
        <v>168.90186968005662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7.9</v>
      </c>
      <c r="N15" s="13">
        <f>IF('Données projet'!$A$36&gt;35,N14+M15-V14,IF(A15&lt;'Données projet'!$A$36,$K$205^A15,IF(A15='Données projet'!$A$36,'Données projet'!$B$36,N14+M15-V14)))</f>
        <v>20.854234472198982</v>
      </c>
      <c r="O15" s="13">
        <f>N15*VLOOKUP('Données projet'!$B$9,Paramètres!$A$1:$I$89,3,0)*VLOOKUP('Données projet'!$B$9,Paramètres!$A$1:$I$89,5,0)</f>
        <v>9.7597817329891239</v>
      </c>
      <c r="P15" s="13">
        <f t="shared" si="33"/>
        <v>3.4500178483814818</v>
      </c>
      <c r="Q15" s="20">
        <f t="shared" si="2"/>
        <v>23.00706760422047</v>
      </c>
      <c r="R15" s="59">
        <f t="shared" si="0"/>
        <v>316.3404009375538</v>
      </c>
      <c r="S15" s="59">
        <f ca="1">AVERAGE(OFFSET($R$3,0,0,'Données projet'!$E$9+1,1))-AVERAGE(OFFSET($H$3,0,0,'Données projet'!$E$9+1,1))</f>
        <v>215.23235148064941</v>
      </c>
      <c r="T15" s="59">
        <f t="shared" si="34"/>
        <v>184.07239726900434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4.75</v>
      </c>
      <c r="AI15" s="13">
        <f>IF('Données projet'!$A$62&gt;35,AI14+AH15-AQ14,IF(A15&lt;'Données projet'!$A$62,$AF$205^A15,IF(A15='Données projet'!$A$62,'Données projet'!$B$62,AI14+AH15-AQ14)))</f>
        <v>15.368594899018873</v>
      </c>
      <c r="AJ15" s="13">
        <f>AI15*VLOOKUP('Données projet'!$B$10,Paramètres!$A$1:$I$89,3,0)*VLOOKUP('Données projet'!$B$10,Paramètres!$A$1:$I$89,5,0)</f>
        <v>11.268253779960638</v>
      </c>
      <c r="AK15" s="13">
        <f t="shared" si="35"/>
        <v>3.9171713896002975</v>
      </c>
      <c r="AL15" s="20">
        <f t="shared" si="4"/>
        <v>26.447948836985294</v>
      </c>
      <c r="AM15" s="59">
        <f t="shared" si="5"/>
        <v>319.7812821703186</v>
      </c>
      <c r="AN15" s="59">
        <f ca="1">AVERAGE(OFFSET($AM$3,0,0,'Données projet'!$E$10+1,1))-AVERAGE(OFFSET($H$3,0,0,'Données projet'!$E$10+1,1))</f>
        <v>178.12968684094687</v>
      </c>
      <c r="AO15" s="59">
        <f t="shared" si="36"/>
        <v>219.36004077210373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4.25</v>
      </c>
      <c r="BD15" s="12">
        <f>IF('Données projet'!$A$88&gt;35,BD14+BC15-BL14,IF(A15&lt;'Données projet'!$A$88,$BA$205^A15,IF(A15='Données projet'!$A$88,'Données projet'!$B$88,BD14+BC15-BL14)))</f>
        <v>14.376439975772863</v>
      </c>
      <c r="BE15" s="13">
        <f>BD15*VLOOKUP('Données projet'!$B$11,Paramètres!$A$1:$I$89,3,0)*VLOOKUP('Données projet'!$B$11,Paramètres!$A$1:$I$89,5,0)</f>
        <v>12.559257962835174</v>
      </c>
      <c r="BF15" s="13">
        <f t="shared" si="37"/>
        <v>4.3111847890995394</v>
      </c>
      <c r="BG15" s="20">
        <f t="shared" si="7"/>
        <v>29.382687792952961</v>
      </c>
      <c r="BH15" s="59">
        <f t="shared" si="8"/>
        <v>322.71602112628625</v>
      </c>
      <c r="BI15" s="59">
        <f ca="1">AVERAGE(OFFSET($BH$3,0,0,'Données projet'!$E$11+1,1))-AVERAGE(OFFSET($H$3,0,0,'Données projet'!$E$11+1,1))</f>
        <v>114.02623091248347</v>
      </c>
      <c r="BJ15" s="59">
        <f t="shared" si="38"/>
        <v>185.51554083721635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2.1</v>
      </c>
      <c r="BY15" s="12">
        <f>IF('Données projet'!$A$114&gt;35,BY14+BX15-CG14,IF(A15&lt;'Données projet'!$A$114,$BV$205^A15,IF(A15='Données projet'!$A$114,'Données projet'!$B$114,BY14+BX15-CG14)))</f>
        <v>9.4178024044149407</v>
      </c>
      <c r="BZ15" s="13">
        <f>BY15*VLOOKUP('Données projet'!$B$12,Paramètres!$A$1:$I$89,3,0)*VLOOKUP('Données projet'!$B$12,Paramètres!$A$1:$I$89,5,0)</f>
        <v>8.521227615514638</v>
      </c>
      <c r="CA15" s="13">
        <f t="shared" si="39"/>
        <v>3.0601574970852128</v>
      </c>
      <c r="CB15" s="20">
        <f t="shared" si="10"/>
        <v>20.170912404444739</v>
      </c>
      <c r="CC15" s="59">
        <f t="shared" si="11"/>
        <v>313.50424573777804</v>
      </c>
      <c r="CD15" s="59">
        <f ca="1">AVERAGE(OFFSET($CC$3,0,0,'Données projet'!$E$12+1,1))-AVERAGE(OFFSET($H$3,0,0,'Données projet'!$E$12+1,1))</f>
        <v>237.22177246688199</v>
      </c>
      <c r="CE15" s="59">
        <f t="shared" si="40"/>
        <v>149.27472147904302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15</v>
      </c>
      <c r="CT15" s="12">
        <f>IF('Données projet'!$A$140&gt;35,CT14+CS15-DB14,IF(A15&lt;'Données projet'!$A$140,$CQ$205^A15,IF(A15='Données projet'!$A$140,'Données projet'!$B$140,CT14+CS15-DB14)))</f>
        <v>42</v>
      </c>
      <c r="CU15" s="17">
        <f>CT15*VLOOKUP('Données projet'!$B$13,Paramètres!$A$1:$I$89,3,0)*VLOOKUP('Données projet'!$B$13,Paramètres!$A$1:$I$89,5,0)</f>
        <v>23.477999999999998</v>
      </c>
      <c r="CV15" s="13">
        <f t="shared" si="41"/>
        <v>7.4932153017418202</v>
      </c>
      <c r="CW15" s="20">
        <f t="shared" si="13"/>
        <v>53.941533317200332</v>
      </c>
      <c r="CX15" s="59">
        <f t="shared" si="14"/>
        <v>347.27486665053362</v>
      </c>
      <c r="CY15" s="59">
        <f ca="1">AVERAGE(OFFSET($CX$3,0,0,'Données projet'!$E$13+1,1))-AVERAGE(OFFSET($H$3,0,0,'Données projet'!$E$13+1,1))</f>
        <v>326.31232746914907</v>
      </c>
      <c r="CZ15" s="59">
        <f t="shared" si="42"/>
        <v>330.17137761430297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5.9</v>
      </c>
      <c r="DO15" s="12">
        <f>IF('Données projet'!$A$166&gt;35,DO14+DN15-DW14,IF(A15&lt;'Données projet'!$A$166,$DL$205^A15,IF(A15='Données projet'!$A$166,'Données projet'!$B$166,DO14+DN15-DW14)))</f>
        <v>17.503673526135408</v>
      </c>
      <c r="DP15" s="17">
        <f>DO15*VLOOKUP('Données projet'!$B$14,Paramètres!$A$1:$I$89,3,0)*VLOOKUP('Données projet'!$B$14,Paramètres!$A$1:$I$89,5,0)</f>
        <v>10.922292280308493</v>
      </c>
      <c r="DQ15" s="13">
        <f t="shared" si="43"/>
        <v>3.8107120501854101</v>
      </c>
      <c r="DR15" s="20">
        <f t="shared" si="16"/>
        <v>25.659982542276879</v>
      </c>
      <c r="DS15" s="59">
        <f t="shared" si="17"/>
        <v>318.99331587561016</v>
      </c>
      <c r="DT15" s="59">
        <f ca="1">AVERAGE(OFFSET($DS$3,0,0,'Données projet'!$E$14+1,1))-AVERAGE(OFFSET($H$3,0,0,'Données projet'!$E$14+1,1))</f>
        <v>209.93608079129638</v>
      </c>
      <c r="DU15" s="59">
        <f t="shared" si="44"/>
        <v>240.15652428700969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4.55</v>
      </c>
      <c r="EJ15" s="12">
        <f>IF('Données projet'!$A$192&gt;35,EJ14+EI15-ER14,IF(A15&lt;'Données projet'!$A$192,$EG$205^A15,IF(A15='Données projet'!$A$192,'Données projet'!$B$192,EJ14+EI15-ER14)))</f>
        <v>14.97700019320108</v>
      </c>
      <c r="EK15" s="17">
        <f>EJ15*VLOOKUP('Données projet'!$B$15,Paramètres!$A$1:$I$89,3,0)*VLOOKUP('Données projet'!$B$15,Paramètres!$A$1:$I$89,5,0)</f>
        <v>8.9562461155342472</v>
      </c>
      <c r="EL15" s="13">
        <f t="shared" si="45"/>
        <v>3.1977949739831653</v>
      </c>
      <c r="EM15" s="20">
        <f t="shared" si="19"/>
        <v>21.168288230909493</v>
      </c>
      <c r="EN15" s="59">
        <f t="shared" si="20"/>
        <v>314.50162156424278</v>
      </c>
      <c r="EO15" s="59">
        <f ca="1">AVERAGE(OFFSET($EN$3,0,0,'Données projet'!$E$15+1,1))-AVERAGE(OFFSET($H$3,0,0,'Données projet'!$E$15+1,1))</f>
        <v>216.94426559495264</v>
      </c>
      <c r="EP15" s="59">
        <f t="shared" si="46"/>
        <v>225.33715877618704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>
        <f>VLOOKUP(A15,'Données projet'!$A$217:$I$237,2,0)</f>
        <v>36</v>
      </c>
      <c r="FC15" s="12">
        <f>VLOOKUP(A15,'Données projet'!$A$217:$I$237,9,0)</f>
        <v>3</v>
      </c>
      <c r="FD15" s="12">
        <f t="array" ref="FD15">INDEX(FC:FC,MIN(IF(ISNUMBER(FC15:FC211),ROW(FC15:FC211),"")))</f>
        <v>3</v>
      </c>
      <c r="FE15" s="12">
        <f>IF('Données projet'!$A$218&gt;35,FE14+FD15-FM14,IF(A15&lt;'Données projet'!$A$218,$FB$205^A15,IF(A15='Données projet'!$A$218,'Données projet'!$B$218,FE14+FD15-FM14)))</f>
        <v>36</v>
      </c>
      <c r="FF15" s="17">
        <f>FE15*VLOOKUP('Données projet'!$B$16,Paramètres!$A$1:$I$89,3,0)*VLOOKUP('Données projet'!$B$16,Paramètres!$A$1:$I$89,5,0)</f>
        <v>21.528000000000002</v>
      </c>
      <c r="FG15" s="13">
        <f t="shared" si="47"/>
        <v>6.9405537312613621</v>
      </c>
      <c r="FH15" s="20">
        <f t="shared" si="22"/>
        <v>49.582731081946882</v>
      </c>
      <c r="FI15" s="59">
        <f t="shared" si="23"/>
        <v>342.91606441528018</v>
      </c>
      <c r="FJ15" s="59">
        <f ca="1">AVERAGE(OFFSET($FI$3,0,0,'Données projet'!$E$16+1,1))-AVERAGE(OFFSET($H$3,0,0,'Données projet'!$E$16+1,1))</f>
        <v>168.08890945052406</v>
      </c>
      <c r="FK15" s="59">
        <f t="shared" si="48"/>
        <v>182.52462557642343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3.8181818181818183</v>
      </c>
      <c r="FZ15" s="12">
        <f>IF('Données projet'!$A$244&gt;35,FZ14+FY15-GH14,IF(A15&lt;'Données projet'!$A$244,$FW$205^A15,IF(A15='Données projet'!$A$244,'Données projet'!$B$244,FZ14+FY15-GH14)))</f>
        <v>11.210032799626594</v>
      </c>
      <c r="GA15" s="17">
        <f>FZ15*VLOOKUP('Données projet'!$B$17,Paramètres!$A$1:$I$89,3,0)*VLOOKUP('Données projet'!$B$17,Paramètres!$A$1:$I$89,5,0)</f>
        <v>6.4121387613864131</v>
      </c>
      <c r="GB15" s="13">
        <f t="shared" si="49"/>
        <v>2.3802350057159547</v>
      </c>
      <c r="GC15" s="20">
        <f t="shared" si="25"/>
        <v>15.313384311036627</v>
      </c>
      <c r="GD15" s="59">
        <f t="shared" si="26"/>
        <v>308.64671764436991</v>
      </c>
      <c r="GE15" s="59">
        <f ca="1">AVERAGE(OFFSET($GD$3,0,0,'Données projet'!$E$17+1,1))-AVERAGE(OFFSET($H$3,0,0,'Données projet'!$E$17+1,1))</f>
        <v>196.95560009657527</v>
      </c>
      <c r="GF15" s="59">
        <f t="shared" si="50"/>
        <v>168.90186968005662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7.9</v>
      </c>
      <c r="N16" s="13">
        <f>IF('Données projet'!$A$36&gt;35,N15+M16-V15,IF(A16&lt;'Données projet'!$A$36,$K$205^A16,IF(A16='Données projet'!$A$36,'Données projet'!$B$36,N15+M16-V15)))</f>
        <v>26.861304900499697</v>
      </c>
      <c r="O16" s="13">
        <f>N16*VLOOKUP('Données projet'!$B$9,Paramètres!$A$1:$I$89,3,0)*VLOOKUP('Données projet'!$B$9,Paramètres!$A$1:$I$89,5,0)</f>
        <v>12.571090693433858</v>
      </c>
      <c r="P16" s="13">
        <f t="shared" si="33"/>
        <v>4.3147735914069099</v>
      </c>
      <c r="Q16" s="20">
        <f t="shared" si="2"/>
        <v>29.409546962764335</v>
      </c>
      <c r="R16" s="59">
        <f t="shared" si="0"/>
        <v>322.74288029609767</v>
      </c>
      <c r="S16" s="59">
        <f ca="1">AVERAGE(OFFSET($R$3,0,0,'Données projet'!$E$9+1,1))-AVERAGE(OFFSET($H$3,0,0,'Données projet'!$E$9+1,1))</f>
        <v>215.23235148064941</v>
      </c>
      <c r="T16" s="59">
        <f t="shared" si="34"/>
        <v>184.07239726900434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4.75</v>
      </c>
      <c r="AI16" s="13">
        <f>IF('Données projet'!$A$62&gt;35,AI15+AH16-AQ15,IF(A16&lt;'Données projet'!$A$62,$AF$205^A16,IF(A16='Données projet'!$A$62,'Données projet'!$B$62,AI15+AH16-AQ15)))</f>
        <v>19.298357323959845</v>
      </c>
      <c r="AJ16" s="13">
        <f>AI16*VLOOKUP('Données projet'!$B$10,Paramètres!$A$1:$I$89,3,0)*VLOOKUP('Données projet'!$B$10,Paramètres!$A$1:$I$89,5,0)</f>
        <v>14.149555589927358</v>
      </c>
      <c r="AK16" s="13">
        <f t="shared" si="35"/>
        <v>4.7901421630709704</v>
      </c>
      <c r="AL16" s="20">
        <f t="shared" si="4"/>
        <v>32.986640253138752</v>
      </c>
      <c r="AM16" s="59">
        <f t="shared" si="5"/>
        <v>326.31997358647209</v>
      </c>
      <c r="AN16" s="59">
        <f ca="1">AVERAGE(OFFSET($AM$3,0,0,'Données projet'!$E$10+1,1))-AVERAGE(OFFSET($H$3,0,0,'Données projet'!$E$10+1,1))</f>
        <v>178.12968684094687</v>
      </c>
      <c r="AO16" s="59">
        <f t="shared" si="36"/>
        <v>219.36004077210373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4.25</v>
      </c>
      <c r="BD16" s="12">
        <f>IF('Données projet'!$A$88&gt;35,BD15+BC16-BL15,IF(A16&lt;'Données projet'!$A$88,$BA$205^A16,IF(A16='Données projet'!$A$88,'Données projet'!$B$88,BD15+BC16-BL15)))</f>
        <v>17.952391131278223</v>
      </c>
      <c r="BE16" s="13">
        <f>BD16*VLOOKUP('Données projet'!$B$11,Paramètres!$A$1:$I$89,3,0)*VLOOKUP('Données projet'!$B$11,Paramètres!$A$1:$I$89,5,0)</f>
        <v>15.683208892284659</v>
      </c>
      <c r="BF16" s="13">
        <f t="shared" si="37"/>
        <v>5.246121763533881</v>
      </c>
      <c r="BG16" s="20">
        <f t="shared" si="7"/>
        <v>36.451917558883956</v>
      </c>
      <c r="BH16" s="59">
        <f t="shared" si="8"/>
        <v>329.78525089221728</v>
      </c>
      <c r="BI16" s="59">
        <f ca="1">AVERAGE(OFFSET($BH$3,0,0,'Données projet'!$E$11+1,1))-AVERAGE(OFFSET($H$3,0,0,'Données projet'!$E$11+1,1))</f>
        <v>114.02623091248347</v>
      </c>
      <c r="BJ16" s="59">
        <f t="shared" si="38"/>
        <v>185.51554083721635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2.1</v>
      </c>
      <c r="BY16" s="12">
        <f>IF('Données projet'!$A$114&gt;35,BY15+BX16-CG15,IF(A16&lt;'Données projet'!$A$114,$BV$205^A16,IF(A16='Données projet'!$A$114,'Données projet'!$B$114,BY15+BX16-CG15)))</f>
        <v>11.35303662145153</v>
      </c>
      <c r="BZ16" s="13">
        <f>BY16*VLOOKUP('Données projet'!$B$12,Paramètres!$A$1:$I$89,3,0)*VLOOKUP('Données projet'!$B$12,Paramètres!$A$1:$I$89,5,0)</f>
        <v>10.272227535089344</v>
      </c>
      <c r="CA16" s="13">
        <f t="shared" si="39"/>
        <v>3.6095987912522753</v>
      </c>
      <c r="CB16" s="20">
        <f t="shared" si="10"/>
        <v>24.177514185044988</v>
      </c>
      <c r="CC16" s="59">
        <f t="shared" si="11"/>
        <v>317.51084751837828</v>
      </c>
      <c r="CD16" s="59">
        <f ca="1">AVERAGE(OFFSET($CC$3,0,0,'Données projet'!$E$12+1,1))-AVERAGE(OFFSET($H$3,0,0,'Données projet'!$E$12+1,1))</f>
        <v>237.22177246688199</v>
      </c>
      <c r="CE16" s="59">
        <f t="shared" si="40"/>
        <v>149.27472147904302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15</v>
      </c>
      <c r="CT16" s="12">
        <f>IF('Données projet'!$A$140&gt;35,CT15+CS16-DB15,IF(A16&lt;'Données projet'!$A$140,$CQ$205^A16,IF(A16='Données projet'!$A$140,'Données projet'!$B$140,CT15+CS16-DB15)))</f>
        <v>57</v>
      </c>
      <c r="CU16" s="17">
        <f>CT16*VLOOKUP('Données projet'!$B$13,Paramètres!$A$1:$I$89,3,0)*VLOOKUP('Données projet'!$B$13,Paramètres!$A$1:$I$89,5,0)</f>
        <v>31.863</v>
      </c>
      <c r="CV16" s="13">
        <f t="shared" si="41"/>
        <v>9.8142283995824151</v>
      </c>
      <c r="CW16" s="20">
        <f t="shared" si="13"/>
        <v>72.587839462606041</v>
      </c>
      <c r="CX16" s="59">
        <f t="shared" si="14"/>
        <v>365.92117279593936</v>
      </c>
      <c r="CY16" s="59">
        <f ca="1">AVERAGE(OFFSET($CX$3,0,0,'Données projet'!$E$13+1,1))-AVERAGE(OFFSET($H$3,0,0,'Données projet'!$E$13+1,1))</f>
        <v>326.31232746914907</v>
      </c>
      <c r="CZ16" s="59">
        <f t="shared" si="42"/>
        <v>330.17137761430297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5.9</v>
      </c>
      <c r="DO16" s="12">
        <f>IF('Données projet'!$A$166&gt;35,DO15+DN16-DW15,IF(A16&lt;'Données projet'!$A$166,$DL$205^A16,IF(A16='Données projet'!$A$166,'Données projet'!$B$166,DO15+DN16-DW15)))</f>
        <v>22.218938391339591</v>
      </c>
      <c r="DP16" s="17">
        <f>DO16*VLOOKUP('Données projet'!$B$14,Paramètres!$A$1:$I$89,3,0)*VLOOKUP('Données projet'!$B$14,Paramètres!$A$1:$I$89,5,0)</f>
        <v>13.864617556195904</v>
      </c>
      <c r="DQ16" s="13">
        <f t="shared" si="43"/>
        <v>4.7048077348604007</v>
      </c>
      <c r="DR16" s="20">
        <f t="shared" si="16"/>
        <v>32.341749048589733</v>
      </c>
      <c r="DS16" s="59">
        <f t="shared" si="17"/>
        <v>325.67508238192306</v>
      </c>
      <c r="DT16" s="59">
        <f ca="1">AVERAGE(OFFSET($DS$3,0,0,'Données projet'!$E$14+1,1))-AVERAGE(OFFSET($H$3,0,0,'Données projet'!$E$14+1,1))</f>
        <v>209.93608079129638</v>
      </c>
      <c r="DU16" s="59">
        <f t="shared" si="44"/>
        <v>240.15652428700969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4.55</v>
      </c>
      <c r="EJ16" s="12">
        <f>IF('Données projet'!$A$192&gt;35,EJ15+EI16-ER15,IF(A16&lt;'Données projet'!$A$192,$EG$205^A16,IF(A16='Données projet'!$A$192,'Données projet'!$B$192,EJ15+EI16-ER15)))</f>
        <v>18.766224393311244</v>
      </c>
      <c r="EK16" s="17">
        <f>EJ16*VLOOKUP('Données projet'!$B$15,Paramètres!$A$1:$I$89,3,0)*VLOOKUP('Données projet'!$B$15,Paramètres!$A$1:$I$89,5,0)</f>
        <v>11.222202187200125</v>
      </c>
      <c r="EL16" s="13">
        <f t="shared" si="45"/>
        <v>3.903022584605345</v>
      </c>
      <c r="EM16" s="20">
        <f t="shared" si="19"/>
        <v>26.343099810894525</v>
      </c>
      <c r="EN16" s="59">
        <f t="shared" si="20"/>
        <v>319.67643314422781</v>
      </c>
      <c r="EO16" s="59">
        <f ca="1">AVERAGE(OFFSET($EN$3,0,0,'Données projet'!$E$15+1,1))-AVERAGE(OFFSET($H$3,0,0,'Données projet'!$E$15+1,1))</f>
        <v>216.94426559495264</v>
      </c>
      <c r="EP16" s="59">
        <f t="shared" si="46"/>
        <v>225.33715877618704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11.25</v>
      </c>
      <c r="FE16" s="12">
        <f>IF('Données projet'!$A$218&gt;35,FE15+FD16-FM15,IF(A16&lt;'Données projet'!$A$218,$FB$205^A16,IF(A16='Données projet'!$A$218,'Données projet'!$B$218,FE15+FD16-FM15)))</f>
        <v>47.25</v>
      </c>
      <c r="FF16" s="17">
        <f>FE16*VLOOKUP('Données projet'!$B$16,Paramètres!$A$1:$I$89,3,0)*VLOOKUP('Données projet'!$B$16,Paramètres!$A$1:$I$89,5,0)</f>
        <v>28.255500000000001</v>
      </c>
      <c r="FG16" s="13">
        <f t="shared" si="47"/>
        <v>8.8256494369710552</v>
      </c>
      <c r="FH16" s="20">
        <f t="shared" si="22"/>
        <v>64.583001936057926</v>
      </c>
      <c r="FI16" s="59">
        <f t="shared" si="23"/>
        <v>357.91633526939125</v>
      </c>
      <c r="FJ16" s="59">
        <f ca="1">AVERAGE(OFFSET($FI$3,0,0,'Données projet'!$E$16+1,1))-AVERAGE(OFFSET($H$3,0,0,'Données projet'!$E$16+1,1))</f>
        <v>168.08890945052406</v>
      </c>
      <c r="FK16" s="59">
        <f t="shared" si="48"/>
        <v>182.52462557642343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3.8181818181818183</v>
      </c>
      <c r="FZ16" s="12">
        <f>IF('Données projet'!$A$244&gt;35,FZ15+FY16-GH15,IF(A16&lt;'Données projet'!$A$244,$FW$205^A16,IF(A16='Données projet'!$A$244,'Données projet'!$B$244,FZ15+FY16-GH15)))</f>
        <v>13.711157625505965</v>
      </c>
      <c r="GA16" s="17">
        <f>FZ16*VLOOKUP('Données projet'!$B$17,Paramètres!$A$1:$I$89,3,0)*VLOOKUP('Données projet'!$B$17,Paramètres!$A$1:$I$89,5,0)</f>
        <v>7.8427821617894127</v>
      </c>
      <c r="GB16" s="13">
        <f t="shared" si="49"/>
        <v>2.8438447999533554</v>
      </c>
      <c r="GC16" s="20">
        <f t="shared" si="25"/>
        <v>18.612541958368652</v>
      </c>
      <c r="GD16" s="59">
        <f t="shared" si="26"/>
        <v>311.94587529170195</v>
      </c>
      <c r="GE16" s="59">
        <f ca="1">AVERAGE(OFFSET($GD$3,0,0,'Données projet'!$E$17+1,1))-AVERAGE(OFFSET($H$3,0,0,'Données projet'!$E$17+1,1))</f>
        <v>196.95560009657527</v>
      </c>
      <c r="GF16" s="59">
        <f t="shared" si="50"/>
        <v>168.90186968005662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7.9</v>
      </c>
      <c r="N17" s="13">
        <f>IF('Données projet'!$A$36&gt;35,N16+M17-V16,IF(A17&lt;'Données projet'!$A$36,$K$205^A17,IF(A17='Données projet'!$A$36,'Données projet'!$B$36,N16+M17-V16)))</f>
        <v>34.598714324397214</v>
      </c>
      <c r="O17" s="13">
        <f>N17*VLOOKUP('Données projet'!$B$9,Paramètres!$A$1:$I$89,3,0)*VLOOKUP('Données projet'!$B$9,Paramètres!$A$1:$I$89,5,0)</f>
        <v>16.192198303817896</v>
      </c>
      <c r="P17" s="13">
        <f t="shared" si="33"/>
        <v>5.3962825594761723</v>
      </c>
      <c r="Q17" s="20">
        <f t="shared" si="2"/>
        <v>37.599937503570509</v>
      </c>
      <c r="R17" s="59">
        <f t="shared" si="0"/>
        <v>330.93327083690383</v>
      </c>
      <c r="S17" s="59">
        <f ca="1">AVERAGE(OFFSET($R$3,0,0,'Données projet'!$E$9+1,1))-AVERAGE(OFFSET($H$3,0,0,'Données projet'!$E$9+1,1))</f>
        <v>215.23235148064941</v>
      </c>
      <c r="T17" s="59">
        <f t="shared" si="34"/>
        <v>184.07239726900434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4.75</v>
      </c>
      <c r="AI17" s="13">
        <f>IF('Données projet'!$A$62&gt;35,AI16+AH17-AQ16,IF(A17&lt;'Données projet'!$A$62,$AF$205^A17,IF(A17='Données projet'!$A$62,'Données projet'!$B$62,AI16+AH17-AQ16)))</f>
        <v>24.232963250726986</v>
      </c>
      <c r="AJ17" s="13">
        <f>AI17*VLOOKUP('Données projet'!$B$10,Paramètres!$A$1:$I$89,3,0)*VLOOKUP('Données projet'!$B$10,Paramètres!$A$1:$I$89,5,0)</f>
        <v>17.767608655433026</v>
      </c>
      <c r="AK17" s="13">
        <f t="shared" si="35"/>
        <v>5.8576609650903171</v>
      </c>
      <c r="AL17" s="20">
        <f t="shared" si="4"/>
        <v>41.147344589078159</v>
      </c>
      <c r="AM17" s="59">
        <f t="shared" si="5"/>
        <v>334.48067792241147</v>
      </c>
      <c r="AN17" s="59">
        <f ca="1">AVERAGE(OFFSET($AM$3,0,0,'Données projet'!$E$10+1,1))-AVERAGE(OFFSET($H$3,0,0,'Données projet'!$E$10+1,1))</f>
        <v>178.12968684094687</v>
      </c>
      <c r="AO17" s="59">
        <f t="shared" si="36"/>
        <v>219.36004077210373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4.25</v>
      </c>
      <c r="BD17" s="12">
        <f>IF('Données projet'!$A$88&gt;35,BD16+BC17-BL16,IF(A17&lt;'Données projet'!$A$88,$BA$205^A17,IF(A17='Données projet'!$A$88,'Données projet'!$B$88,BD16+BC17-BL16)))</f>
        <v>22.41781330242511</v>
      </c>
      <c r="BE17" s="13">
        <f>BD17*VLOOKUP('Données projet'!$B$11,Paramètres!$A$1:$I$89,3,0)*VLOOKUP('Données projet'!$B$11,Paramètres!$A$1:$I$89,5,0)</f>
        <v>19.58420170099858</v>
      </c>
      <c r="BF17" s="13">
        <f t="shared" si="37"/>
        <v>6.3838120851164444</v>
      </c>
      <c r="BG17" s="20">
        <f t="shared" si="7"/>
        <v>45.227624010817003</v>
      </c>
      <c r="BH17" s="59">
        <f t="shared" si="8"/>
        <v>338.56095734415032</v>
      </c>
      <c r="BI17" s="59">
        <f ca="1">AVERAGE(OFFSET($BH$3,0,0,'Données projet'!$E$11+1,1))-AVERAGE(OFFSET($H$3,0,0,'Données projet'!$E$11+1,1))</f>
        <v>114.02623091248347</v>
      </c>
      <c r="BJ17" s="59">
        <f t="shared" si="38"/>
        <v>185.51554083721635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2.1</v>
      </c>
      <c r="BY17" s="12">
        <f>IF('Données projet'!$A$114&gt;35,BY16+BX17-CG16,IF(A17&lt;'Données projet'!$A$114,$BV$205^A17,IF(A17='Données projet'!$A$114,'Données projet'!$B$114,BY16+BX17-CG16)))</f>
        <v>13.685935953338433</v>
      </c>
      <c r="BZ17" s="13">
        <f>BY17*VLOOKUP('Données projet'!$B$12,Paramètres!$A$1:$I$89,3,0)*VLOOKUP('Données projet'!$B$12,Paramètres!$A$1:$I$89,5,0)</f>
        <v>12.383034850580612</v>
      </c>
      <c r="CA17" s="13">
        <f t="shared" si="39"/>
        <v>4.2576904771143838</v>
      </c>
      <c r="CB17" s="20">
        <f t="shared" si="10"/>
        <v>28.982596612402116</v>
      </c>
      <c r="CC17" s="59">
        <f t="shared" si="11"/>
        <v>322.31592994573543</v>
      </c>
      <c r="CD17" s="59">
        <f ca="1">AVERAGE(OFFSET($CC$3,0,0,'Données projet'!$E$12+1,1))-AVERAGE(OFFSET($H$3,0,0,'Données projet'!$E$12+1,1))</f>
        <v>237.22177246688199</v>
      </c>
      <c r="CE17" s="59">
        <f t="shared" si="40"/>
        <v>149.27472147904302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15</v>
      </c>
      <c r="CT17" s="12">
        <f>IF('Données projet'!$A$140&gt;35,CT16+CS17-DB16,IF(A17&lt;'Données projet'!$A$140,$CQ$205^A17,IF(A17='Données projet'!$A$140,'Données projet'!$B$140,CT16+CS17-DB16)))</f>
        <v>72</v>
      </c>
      <c r="CU17" s="17">
        <f>CT17*VLOOKUP('Données projet'!$B$13,Paramètres!$A$1:$I$89,3,0)*VLOOKUP('Données projet'!$B$13,Paramètres!$A$1:$I$89,5,0)</f>
        <v>40.248000000000005</v>
      </c>
      <c r="CV17" s="13">
        <f t="shared" si="41"/>
        <v>12.064355669675363</v>
      </c>
      <c r="CW17" s="20">
        <f t="shared" si="13"/>
        <v>91.110686124684605</v>
      </c>
      <c r="CX17" s="59">
        <f t="shared" si="14"/>
        <v>384.44401945801792</v>
      </c>
      <c r="CY17" s="59">
        <f ca="1">AVERAGE(OFFSET($CX$3,0,0,'Données projet'!$E$13+1,1))-AVERAGE(OFFSET($H$3,0,0,'Données projet'!$E$13+1,1))</f>
        <v>326.31232746914907</v>
      </c>
      <c r="CZ17" s="59">
        <f t="shared" si="42"/>
        <v>330.17137761430297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5.9</v>
      </c>
      <c r="DO17" s="12">
        <f>IF('Données projet'!$A$166&gt;35,DO16+DN17-DW16,IF(A17&lt;'Données projet'!$A$166,$DL$205^A17,IF(A17='Données projet'!$A$166,'Données projet'!$B$166,DO16+DN17-DW16)))</f>
        <v>28.204435057647181</v>
      </c>
      <c r="DP17" s="17">
        <f>DO17*VLOOKUP('Données projet'!$B$14,Paramètres!$A$1:$I$89,3,0)*VLOOKUP('Données projet'!$B$14,Paramètres!$A$1:$I$89,5,0)</f>
        <v>17.599567475971842</v>
      </c>
      <c r="DQ17" s="13">
        <f t="shared" si="43"/>
        <v>5.8086823487293593</v>
      </c>
      <c r="DR17" s="20">
        <f t="shared" si="16"/>
        <v>40.76936844468792</v>
      </c>
      <c r="DS17" s="59">
        <f t="shared" si="17"/>
        <v>334.10270177802124</v>
      </c>
      <c r="DT17" s="59">
        <f ca="1">AVERAGE(OFFSET($DS$3,0,0,'Données projet'!$E$14+1,1))-AVERAGE(OFFSET($H$3,0,0,'Données projet'!$E$14+1,1))</f>
        <v>209.93608079129638</v>
      </c>
      <c r="DU17" s="59">
        <f t="shared" si="44"/>
        <v>240.15652428700969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4.55</v>
      </c>
      <c r="EJ17" s="12">
        <f>IF('Données projet'!$A$192&gt;35,EJ16+EI17-ER16,IF(A17&lt;'Données projet'!$A$192,$EG$205^A17,IF(A17='Données projet'!$A$192,'Données projet'!$B$192,EJ16+EI17-ER16)))</f>
        <v>23.514133233434862</v>
      </c>
      <c r="EK17" s="17">
        <f>EJ17*VLOOKUP('Données projet'!$B$15,Paramètres!$A$1:$I$89,3,0)*VLOOKUP('Données projet'!$B$15,Paramètres!$A$1:$I$89,5,0)</f>
        <v>14.061451673594048</v>
      </c>
      <c r="EL17" s="13">
        <f t="shared" si="45"/>
        <v>4.7637779844792423</v>
      </c>
      <c r="EM17" s="20">
        <f t="shared" si="19"/>
        <v>32.787274987810981</v>
      </c>
      <c r="EN17" s="59">
        <f t="shared" si="20"/>
        <v>326.12060832114429</v>
      </c>
      <c r="EO17" s="59">
        <f ca="1">AVERAGE(OFFSET($EN$3,0,0,'Données projet'!$E$15+1,1))-AVERAGE(OFFSET($H$3,0,0,'Données projet'!$E$15+1,1))</f>
        <v>216.94426559495264</v>
      </c>
      <c r="EP17" s="59">
        <f t="shared" si="46"/>
        <v>225.33715877618704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11.25</v>
      </c>
      <c r="FE17" s="12">
        <f>IF('Données projet'!$A$218&gt;35,FE16+FD17-FM16,IF(A17&lt;'Données projet'!$A$218,$FB$205^A17,IF(A17='Données projet'!$A$218,'Données projet'!$B$218,FE16+FD17-FM16)))</f>
        <v>58.5</v>
      </c>
      <c r="FF17" s="17">
        <f>FE17*VLOOKUP('Données projet'!$B$16,Paramètres!$A$1:$I$89,3,0)*VLOOKUP('Données projet'!$B$16,Paramètres!$A$1:$I$89,5,0)</f>
        <v>34.983000000000004</v>
      </c>
      <c r="FG17" s="13">
        <f t="shared" si="47"/>
        <v>10.658697928430266</v>
      </c>
      <c r="FH17" s="20">
        <f t="shared" si="22"/>
        <v>79.492623892016056</v>
      </c>
      <c r="FI17" s="59">
        <f t="shared" si="23"/>
        <v>372.82595722534938</v>
      </c>
      <c r="FJ17" s="59">
        <f ca="1">AVERAGE(OFFSET($FI$3,0,0,'Données projet'!$E$16+1,1))-AVERAGE(OFFSET($H$3,0,0,'Données projet'!$E$16+1,1))</f>
        <v>168.08890945052406</v>
      </c>
      <c r="FK17" s="59">
        <f t="shared" si="48"/>
        <v>182.52462557642343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3.8181818181818183</v>
      </c>
      <c r="FZ17" s="12">
        <f>IF('Données projet'!$A$244&gt;35,FZ16+FY17-GH16,IF(A17&lt;'Données projet'!$A$244,$FW$205^A17,IF(A17='Données projet'!$A$244,'Données projet'!$B$244,FZ16+FY17-GH16)))</f>
        <v>16.770320550510121</v>
      </c>
      <c r="GA17" s="17">
        <f>FZ17*VLOOKUP('Données projet'!$B$17,Paramètres!$A$1:$I$89,3,0)*VLOOKUP('Données projet'!$B$17,Paramètres!$A$1:$I$89,5,0)</f>
        <v>9.5926233548917903</v>
      </c>
      <c r="GB17" s="13">
        <f t="shared" si="49"/>
        <v>3.3977540985660379</v>
      </c>
      <c r="GC17" s="20">
        <f t="shared" si="25"/>
        <v>22.624907398105716</v>
      </c>
      <c r="GD17" s="59">
        <f t="shared" si="26"/>
        <v>315.95824073143905</v>
      </c>
      <c r="GE17" s="59">
        <f ca="1">AVERAGE(OFFSET($GD$3,0,0,'Données projet'!$E$17+1,1))-AVERAGE(OFFSET($H$3,0,0,'Données projet'!$E$17+1,1))</f>
        <v>196.95560009657527</v>
      </c>
      <c r="GF17" s="59">
        <f t="shared" si="50"/>
        <v>168.90186968005662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7.9</v>
      </c>
      <c r="N18" s="13">
        <f>IF('Données projet'!$A$36&gt;35,N17+M18-V17,IF(A18&lt;'Données projet'!$A$36,$K$205^A18,IF(A18='Données projet'!$A$36,'Données projet'!$B$36,N17+M18-V17)))</f>
        <v>44.564887571004775</v>
      </c>
      <c r="O18" s="13">
        <f>N18*VLOOKUP('Données projet'!$B$9,Paramètres!$A$1:$I$89,3,0)*VLOOKUP('Données projet'!$B$9,Paramètres!$A$1:$I$89,5,0)</f>
        <v>20.856367383230236</v>
      </c>
      <c r="P18" s="13">
        <f t="shared" si="33"/>
        <v>6.7488744993944465</v>
      </c>
      <c r="Q18" s="20">
        <f t="shared" si="2"/>
        <v>48.079129612237985</v>
      </c>
      <c r="R18" s="59">
        <f t="shared" si="0"/>
        <v>341.41246294557129</v>
      </c>
      <c r="S18" s="59">
        <f ca="1">AVERAGE(OFFSET($R$3,0,0,'Données projet'!$E$9+1,1))-AVERAGE(OFFSET($H$3,0,0,'Données projet'!$E$9+1,1))</f>
        <v>215.23235148064941</v>
      </c>
      <c r="T18" s="59">
        <f t="shared" si="34"/>
        <v>184.07239726900434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4.75</v>
      </c>
      <c r="AI18" s="13">
        <f>IF('Données projet'!$A$62&gt;35,AI17+AH18-AQ17,IF(A18&lt;'Données projet'!$A$62,$AF$205^A18,IF(A18='Données projet'!$A$62,'Données projet'!$B$62,AI17+AH18-AQ17)))</f>
        <v>30.429351993705815</v>
      </c>
      <c r="AJ18" s="13">
        <f>AI18*VLOOKUP('Données projet'!$B$10,Paramètres!$A$1:$I$89,3,0)*VLOOKUP('Données projet'!$B$10,Paramètres!$A$1:$I$89,5,0)</f>
        <v>22.310800881785102</v>
      </c>
      <c r="AK18" s="13">
        <f t="shared" si="35"/>
        <v>7.1630842705397226</v>
      </c>
      <c r="AL18" s="20">
        <f t="shared" si="4"/>
        <v>51.333683306965732</v>
      </c>
      <c r="AM18" s="59">
        <f t="shared" si="5"/>
        <v>344.66701664029904</v>
      </c>
      <c r="AN18" s="59">
        <f ca="1">AVERAGE(OFFSET($AM$3,0,0,'Données projet'!$E$10+1,1))-AVERAGE(OFFSET($H$3,0,0,'Données projet'!$E$10+1,1))</f>
        <v>178.12968684094687</v>
      </c>
      <c r="AO18" s="59">
        <f t="shared" si="36"/>
        <v>219.36004077210373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4.25</v>
      </c>
      <c r="BD18" s="12">
        <f>IF('Données projet'!$A$88&gt;35,BD17+BC18-BL17,IF(A18&lt;'Données projet'!$A$88,$BA$205^A18,IF(A18='Données projet'!$A$88,'Données projet'!$B$88,BD17+BC18-BL17)))</f>
        <v>27.993950754937995</v>
      </c>
      <c r="BE18" s="13">
        <f>BD18*VLOOKUP('Données projet'!$B$11,Paramètres!$A$1:$I$89,3,0)*VLOOKUP('Données projet'!$B$11,Paramètres!$A$1:$I$89,5,0)</f>
        <v>24.455515379513837</v>
      </c>
      <c r="BF18" s="13">
        <f t="shared" si="37"/>
        <v>7.7682254768381105</v>
      </c>
      <c r="BG18" s="20">
        <f t="shared" si="7"/>
        <v>56.123015324812968</v>
      </c>
      <c r="BH18" s="59">
        <f t="shared" si="8"/>
        <v>349.45634865814628</v>
      </c>
      <c r="BI18" s="59">
        <f ca="1">AVERAGE(OFFSET($BH$3,0,0,'Données projet'!$E$11+1,1))-AVERAGE(OFFSET($H$3,0,0,'Données projet'!$E$11+1,1))</f>
        <v>114.02623091248347</v>
      </c>
      <c r="BJ18" s="59">
        <f t="shared" si="38"/>
        <v>185.51554083721635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2.1</v>
      </c>
      <c r="BY18" s="12">
        <f>IF('Données projet'!$A$114&gt;35,BY17+BX18-CG17,IF(A18&lt;'Données projet'!$A$114,$BV$205^A18,IF(A18='Données projet'!$A$114,'Données projet'!$B$114,BY17+BX18-CG17)))</f>
        <v>16.498215337821566</v>
      </c>
      <c r="BZ18" s="13">
        <f>BY18*VLOOKUP('Données projet'!$B$12,Paramètres!$A$1:$I$89,3,0)*VLOOKUP('Données projet'!$B$12,Paramètres!$A$1:$I$89,5,0)</f>
        <v>14.927585237660953</v>
      </c>
      <c r="CA18" s="13">
        <f t="shared" si="39"/>
        <v>5.0221449106318534</v>
      </c>
      <c r="CB18" s="20">
        <f t="shared" si="10"/>
        <v>34.745780008276633</v>
      </c>
      <c r="CC18" s="59">
        <f t="shared" si="11"/>
        <v>328.07911334160997</v>
      </c>
      <c r="CD18" s="59">
        <f ca="1">AVERAGE(OFFSET($CC$3,0,0,'Données projet'!$E$12+1,1))-AVERAGE(OFFSET($H$3,0,0,'Données projet'!$E$12+1,1))</f>
        <v>237.22177246688199</v>
      </c>
      <c r="CE18" s="59">
        <f t="shared" si="40"/>
        <v>149.27472147904302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15</v>
      </c>
      <c r="CT18" s="12">
        <f>IF('Données projet'!$A$140&gt;35,CT17+CS18-DB17,IF(A18&lt;'Données projet'!$A$140,$CQ$205^A18,IF(A18='Données projet'!$A$140,'Données projet'!$B$140,CT17+CS18-DB17)))</f>
        <v>87</v>
      </c>
      <c r="CU18" s="17">
        <f>CT18*VLOOKUP('Données projet'!$B$13,Paramètres!$A$1:$I$89,3,0)*VLOOKUP('Données projet'!$B$13,Paramètres!$A$1:$I$89,5,0)</f>
        <v>48.632999999999996</v>
      </c>
      <c r="CV18" s="13">
        <f t="shared" si="41"/>
        <v>14.260158409918978</v>
      </c>
      <c r="CW18" s="20">
        <f t="shared" si="13"/>
        <v>109.53891756394221</v>
      </c>
      <c r="CX18" s="59">
        <f t="shared" si="14"/>
        <v>402.87225089727553</v>
      </c>
      <c r="CY18" s="59">
        <f ca="1">AVERAGE(OFFSET($CX$3,0,0,'Données projet'!$E$13+1,1))-AVERAGE(OFFSET($H$3,0,0,'Données projet'!$E$13+1,1))</f>
        <v>326.31232746914907</v>
      </c>
      <c r="CZ18" s="59">
        <f t="shared" si="42"/>
        <v>330.17137761430297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5.9</v>
      </c>
      <c r="DO18" s="12">
        <f>IF('Données projet'!$A$166&gt;35,DO17+DN18-DW17,IF(A18&lt;'Données projet'!$A$166,$DL$205^A18,IF(A18='Données projet'!$A$166,'Données projet'!$B$166,DO17+DN18-DW17)))</f>
        <v>35.802347659917913</v>
      </c>
      <c r="DP18" s="17">
        <f>DO18*VLOOKUP('Données projet'!$B$14,Paramètres!$A$1:$I$89,3,0)*VLOOKUP('Données projet'!$B$14,Paramètres!$A$1:$I$89,5,0)</f>
        <v>22.34066493978878</v>
      </c>
      <c r="DQ18" s="13">
        <f t="shared" si="43"/>
        <v>7.1715556787659356</v>
      </c>
      <c r="DR18" s="20">
        <f t="shared" si="16"/>
        <v>51.400450910649454</v>
      </c>
      <c r="DS18" s="59">
        <f t="shared" si="17"/>
        <v>344.73378424398277</v>
      </c>
      <c r="DT18" s="59">
        <f ca="1">AVERAGE(OFFSET($DS$3,0,0,'Données projet'!$E$14+1,1))-AVERAGE(OFFSET($H$3,0,0,'Données projet'!$E$14+1,1))</f>
        <v>209.93608079129638</v>
      </c>
      <c r="DU18" s="59">
        <f t="shared" si="44"/>
        <v>240.15652428700969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4.55</v>
      </c>
      <c r="EJ18" s="12">
        <f>IF('Données projet'!$A$192&gt;35,EJ17+EI18-ER17,IF(A18&lt;'Données projet'!$A$192,$EG$205^A18,IF(A18='Données projet'!$A$192,'Données projet'!$B$192,EJ17+EI18-ER17)))</f>
        <v>29.463276689625356</v>
      </c>
      <c r="EK18" s="17">
        <f>EJ18*VLOOKUP('Données projet'!$B$15,Paramètres!$A$1:$I$89,3,0)*VLOOKUP('Données projet'!$B$15,Paramètres!$A$1:$I$89,5,0)</f>
        <v>17.619039460395964</v>
      </c>
      <c r="EL18" s="13">
        <f t="shared" si="45"/>
        <v>5.8143605868229411</v>
      </c>
      <c r="EM18" s="20">
        <f t="shared" si="19"/>
        <v>40.81317174890625</v>
      </c>
      <c r="EN18" s="59">
        <f t="shared" si="20"/>
        <v>334.14650508223957</v>
      </c>
      <c r="EO18" s="59">
        <f ca="1">AVERAGE(OFFSET($EN$3,0,0,'Données projet'!$E$15+1,1))-AVERAGE(OFFSET($H$3,0,0,'Données projet'!$E$15+1,1))</f>
        <v>216.94426559495264</v>
      </c>
      <c r="EP18" s="59">
        <f t="shared" si="46"/>
        <v>225.33715877618704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11.25</v>
      </c>
      <c r="FE18" s="12">
        <f>IF('Données projet'!$A$218&gt;35,FE17+FD18-FM17,IF(A18&lt;'Données projet'!$A$218,$FB$205^A18,IF(A18='Données projet'!$A$218,'Données projet'!$B$218,FE17+FD18-FM17)))</f>
        <v>69.75</v>
      </c>
      <c r="FF18" s="17">
        <f>FE18*VLOOKUP('Données projet'!$B$16,Paramètres!$A$1:$I$89,3,0)*VLOOKUP('Données projet'!$B$16,Paramètres!$A$1:$I$89,5,0)</f>
        <v>41.710500000000003</v>
      </c>
      <c r="FG18" s="13">
        <f t="shared" si="47"/>
        <v>12.450904347349248</v>
      </c>
      <c r="FH18" s="20">
        <f t="shared" si="22"/>
        <v>94.331112571633255</v>
      </c>
      <c r="FI18" s="59">
        <f t="shared" si="23"/>
        <v>387.66444590496656</v>
      </c>
      <c r="FJ18" s="59">
        <f ca="1">AVERAGE(OFFSET($FI$3,0,0,'Données projet'!$E$16+1,1))-AVERAGE(OFFSET($H$3,0,0,'Données projet'!$E$16+1,1))</f>
        <v>168.08890945052406</v>
      </c>
      <c r="FK18" s="59">
        <f t="shared" si="48"/>
        <v>182.52462557642343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3.8181818181818183</v>
      </c>
      <c r="FZ18" s="12">
        <f>IF('Données projet'!$A$244&gt;35,FZ17+FY18-GH17,IF(A18&lt;'Données projet'!$A$244,$FW$205^A18,IF(A18='Données projet'!$A$244,'Données projet'!$B$244,FZ17+FY18-GH17)))</f>
        <v>20.512028163375717</v>
      </c>
      <c r="GA18" s="17">
        <f>FZ18*VLOOKUP('Données projet'!$B$17,Paramètres!$A$1:$I$89,3,0)*VLOOKUP('Données projet'!$B$17,Paramètres!$A$1:$I$89,5,0)</f>
        <v>11.73288010945091</v>
      </c>
      <c r="GB18" s="13">
        <f t="shared" si="49"/>
        <v>4.0595509693467333</v>
      </c>
      <c r="GC18" s="20">
        <f t="shared" si="25"/>
        <v>27.505150795572561</v>
      </c>
      <c r="GD18" s="59">
        <f t="shared" si="26"/>
        <v>320.83848412890586</v>
      </c>
      <c r="GE18" s="59">
        <f ca="1">AVERAGE(OFFSET($GD$3,0,0,'Données projet'!$E$17+1,1))-AVERAGE(OFFSET($H$3,0,0,'Données projet'!$E$17+1,1))</f>
        <v>196.95560009657527</v>
      </c>
      <c r="GF18" s="59">
        <f t="shared" si="50"/>
        <v>168.90186968005662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7.9</v>
      </c>
      <c r="N19" s="13">
        <f>IF('Données projet'!$A$36&gt;35,N18+M19-V18,IF(A19&lt;'Données projet'!$A$36,$K$205^A19,IF(A19='Données projet'!$A$36,'Données projet'!$B$36,N18+M19-V18)))</f>
        <v>57.401820934596167</v>
      </c>
      <c r="O19" s="13">
        <f>N19*VLOOKUP('Données projet'!$B$9,Paramètres!$A$1:$I$89,3,0)*VLOOKUP('Données projet'!$B$9,Paramètres!$A$1:$I$89,5,0)</f>
        <v>26.864052197391008</v>
      </c>
      <c r="P19" s="13">
        <f t="shared" si="33"/>
        <v>8.4404970471001413</v>
      </c>
      <c r="Q19" s="20">
        <f t="shared" si="2"/>
        <v>61.488756600822086</v>
      </c>
      <c r="R19" s="59">
        <f t="shared" si="0"/>
        <v>354.82208993415543</v>
      </c>
      <c r="S19" s="59">
        <f ca="1">AVERAGE(OFFSET($R$3,0,0,'Données projet'!$E$9+1,1))-AVERAGE(OFFSET($H$3,0,0,'Données projet'!$E$9+1,1))</f>
        <v>215.23235148064941</v>
      </c>
      <c r="T19" s="59">
        <f t="shared" si="34"/>
        <v>184.07239726900434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4.75</v>
      </c>
      <c r="AI19" s="13">
        <f>IF('Données projet'!$A$62&gt;35,AI18+AH19-AQ18,IF(A19&lt;'Données projet'!$A$62,$AF$205^A19,IF(A19='Données projet'!$A$62,'Données projet'!$B$62,AI18+AH19-AQ18)))</f>
        <v>38.21016246244956</v>
      </c>
      <c r="AJ19" s="13">
        <f>AI19*VLOOKUP('Données projet'!$B$10,Paramètres!$A$1:$I$89,3,0)*VLOOKUP('Données projet'!$B$10,Paramètres!$A$1:$I$89,5,0)</f>
        <v>28.01569111746802</v>
      </c>
      <c r="AK19" s="13">
        <f t="shared" si="35"/>
        <v>8.7594308671400682</v>
      </c>
      <c r="AL19" s="20">
        <f t="shared" si="4"/>
        <v>64.050004123192423</v>
      </c>
      <c r="AM19" s="59">
        <f t="shared" si="5"/>
        <v>357.38333745652574</v>
      </c>
      <c r="AN19" s="59">
        <f ca="1">AVERAGE(OFFSET($AM$3,0,0,'Données projet'!$E$10+1,1))-AVERAGE(OFFSET($H$3,0,0,'Données projet'!$E$10+1,1))</f>
        <v>178.12968684094687</v>
      </c>
      <c r="AO19" s="59">
        <f t="shared" si="36"/>
        <v>219.36004077210373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4.25</v>
      </c>
      <c r="BD19" s="12">
        <f>IF('Données projet'!$A$88&gt;35,BD18+BC19-BL18,IF(A19&lt;'Données projet'!$A$88,$BA$205^A19,IF(A19='Données projet'!$A$88,'Données projet'!$B$88,BD18+BC19-BL18)))</f>
        <v>34.957079368000578</v>
      </c>
      <c r="BE19" s="13">
        <f>BD19*VLOOKUP('Données projet'!$B$11,Paramètres!$A$1:$I$89,3,0)*VLOOKUP('Données projet'!$B$11,Paramètres!$A$1:$I$89,5,0)</f>
        <v>30.538504535885306</v>
      </c>
      <c r="BF19" s="13">
        <f t="shared" si="37"/>
        <v>9.4528670729028743</v>
      </c>
      <c r="BG19" s="20">
        <f t="shared" si="7"/>
        <v>69.65163888530607</v>
      </c>
      <c r="BH19" s="59">
        <f t="shared" si="8"/>
        <v>362.98497221863937</v>
      </c>
      <c r="BI19" s="59">
        <f ca="1">AVERAGE(OFFSET($BH$3,0,0,'Données projet'!$E$11+1,1))-AVERAGE(OFFSET($H$3,0,0,'Données projet'!$E$11+1,1))</f>
        <v>114.02623091248347</v>
      </c>
      <c r="BJ19" s="59">
        <f t="shared" si="38"/>
        <v>185.51554083721635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2.1</v>
      </c>
      <c r="BY19" s="12">
        <f>IF('Données projet'!$A$114&gt;35,BY18+BX19-CG18,IF(A19&lt;'Données projet'!$A$114,$BV$205^A19,IF(A19='Données projet'!$A$114,'Données projet'!$B$114,BY18+BX19-CG18)))</f>
        <v>19.888381054913147</v>
      </c>
      <c r="BZ19" s="13">
        <f>BY19*VLOOKUP('Données projet'!$B$12,Paramètres!$A$1:$I$89,3,0)*VLOOKUP('Données projet'!$B$12,Paramètres!$A$1:$I$89,5,0)</f>
        <v>17.995007178485412</v>
      </c>
      <c r="CA19" s="13">
        <f t="shared" si="39"/>
        <v>5.9238546434872337</v>
      </c>
      <c r="CB19" s="20">
        <f t="shared" si="10"/>
        <v>41.658684339935689</v>
      </c>
      <c r="CC19" s="59">
        <f t="shared" si="11"/>
        <v>334.992017673269</v>
      </c>
      <c r="CD19" s="59">
        <f ca="1">AVERAGE(OFFSET($CC$3,0,0,'Données projet'!$E$12+1,1))-AVERAGE(OFFSET($H$3,0,0,'Données projet'!$E$12+1,1))</f>
        <v>237.22177246688199</v>
      </c>
      <c r="CE19" s="59">
        <f t="shared" si="40"/>
        <v>149.27472147904302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15</v>
      </c>
      <c r="CT19" s="12">
        <f>IF('Données projet'!$A$140&gt;35,CT18+CS19-DB18,IF(A19&lt;'Données projet'!$A$140,$CQ$205^A19,IF(A19='Données projet'!$A$140,'Données projet'!$B$140,CT18+CS19-DB18)))</f>
        <v>102</v>
      </c>
      <c r="CU19" s="17">
        <f>CT19*VLOOKUP('Données projet'!$B$13,Paramètres!$A$1:$I$89,3,0)*VLOOKUP('Données projet'!$B$13,Paramètres!$A$1:$I$89,5,0)</f>
        <v>57.018000000000001</v>
      </c>
      <c r="CV19" s="13">
        <f t="shared" si="41"/>
        <v>16.412103612717626</v>
      </c>
      <c r="CW19" s="20">
        <f t="shared" si="13"/>
        <v>127.89076379214985</v>
      </c>
      <c r="CX19" s="59">
        <f t="shared" si="14"/>
        <v>421.22409712548318</v>
      </c>
      <c r="CY19" s="59">
        <f ca="1">AVERAGE(OFFSET($CX$3,0,0,'Données projet'!$E$13+1,1))-AVERAGE(OFFSET($H$3,0,0,'Données projet'!$E$13+1,1))</f>
        <v>326.31232746914907</v>
      </c>
      <c r="CZ19" s="59">
        <f t="shared" si="42"/>
        <v>330.17137761430297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5.9</v>
      </c>
      <c r="DO19" s="12">
        <f>IF('Données projet'!$A$166&gt;35,DO18+DN19-DW18,IF(A19&lt;'Données projet'!$A$166,$DL$205^A19,IF(A19='Données projet'!$A$166,'Données projet'!$B$166,DO18+DN19-DW18)))</f>
        <v>45.44704034460311</v>
      </c>
      <c r="DP19" s="17">
        <f>DO19*VLOOKUP('Données projet'!$B$14,Paramètres!$A$1:$I$89,3,0)*VLOOKUP('Données projet'!$B$14,Paramètres!$A$1:$I$89,5,0)</f>
        <v>28.35895317503234</v>
      </c>
      <c r="DQ19" s="13">
        <f t="shared" si="43"/>
        <v>8.8541957996533291</v>
      </c>
      <c r="DR19" s="20">
        <f t="shared" si="16"/>
        <v>64.812901130910859</v>
      </c>
      <c r="DS19" s="59">
        <f t="shared" si="17"/>
        <v>358.14623446424417</v>
      </c>
      <c r="DT19" s="59">
        <f ca="1">AVERAGE(OFFSET($DS$3,0,0,'Données projet'!$E$14+1,1))-AVERAGE(OFFSET($H$3,0,0,'Données projet'!$E$14+1,1))</f>
        <v>209.93608079129638</v>
      </c>
      <c r="DU19" s="59">
        <f t="shared" si="44"/>
        <v>240.15652428700969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4.55</v>
      </c>
      <c r="EJ19" s="12">
        <f>IF('Données projet'!$A$192&gt;35,EJ18+EI19-ER18,IF(A19&lt;'Données projet'!$A$192,$EG$205^A19,IF(A19='Données projet'!$A$192,'Données projet'!$B$192,EJ18+EI19-ER18)))</f>
        <v>36.917570580704506</v>
      </c>
      <c r="EK19" s="17">
        <f>EJ19*VLOOKUP('Données projet'!$B$15,Paramètres!$A$1:$I$89,3,0)*VLOOKUP('Données projet'!$B$15,Paramètres!$A$1:$I$89,5,0)</f>
        <v>22.076707207261297</v>
      </c>
      <c r="EL19" s="13">
        <f t="shared" si="45"/>
        <v>7.0966340462853541</v>
      </c>
      <c r="EM19" s="20">
        <f t="shared" si="19"/>
        <v>50.810236016593741</v>
      </c>
      <c r="EN19" s="59">
        <f t="shared" si="20"/>
        <v>344.14356934992708</v>
      </c>
      <c r="EO19" s="59">
        <f ca="1">AVERAGE(OFFSET($EN$3,0,0,'Données projet'!$E$15+1,1))-AVERAGE(OFFSET($H$3,0,0,'Données projet'!$E$15+1,1))</f>
        <v>216.94426559495264</v>
      </c>
      <c r="EP19" s="59">
        <f t="shared" si="46"/>
        <v>225.33715877618704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>
        <f>VLOOKUP(A19,'Données projet'!$A$217:$I$237,2,0)</f>
        <v>81</v>
      </c>
      <c r="FC19" s="12">
        <f>VLOOKUP(A19,'Données projet'!$A$217:$I$237,9,0)</f>
        <v>11.25</v>
      </c>
      <c r="FD19" s="12">
        <f t="array" ref="FD19">INDEX(FC:FC,MIN(IF(ISNUMBER(FC19:FC215),ROW(FC19:FC215),"")))</f>
        <v>11.25</v>
      </c>
      <c r="FE19" s="12">
        <f>IF('Données projet'!$A$218&gt;35,FE18+FD19-FM18,IF(A19&lt;'Données projet'!$A$218,$FB$205^A19,IF(A19='Données projet'!$A$218,'Données projet'!$B$218,FE18+FD19-FM18)))</f>
        <v>81</v>
      </c>
      <c r="FF19" s="17">
        <f>FE19*VLOOKUP('Données projet'!$B$16,Paramètres!$A$1:$I$89,3,0)*VLOOKUP('Données projet'!$B$16,Paramètres!$A$1:$I$89,5,0)</f>
        <v>48.438000000000009</v>
      </c>
      <c r="FG19" s="13">
        <f t="shared" si="47"/>
        <v>14.209624244846971</v>
      </c>
      <c r="FH19" s="20">
        <f t="shared" si="22"/>
        <v>109.11127889310849</v>
      </c>
      <c r="FI19" s="59">
        <f t="shared" si="23"/>
        <v>402.44461222644179</v>
      </c>
      <c r="FJ19" s="59">
        <f ca="1">AVERAGE(OFFSET($FI$3,0,0,'Données projet'!$E$16+1,1))-AVERAGE(OFFSET($H$3,0,0,'Données projet'!$E$16+1,1))</f>
        <v>168.08890945052406</v>
      </c>
      <c r="FK19" s="59">
        <f t="shared" si="48"/>
        <v>182.52462557642343</v>
      </c>
      <c r="FL19" s="15">
        <f>IF(ISNA(VLOOKUP(A19,'Données projet'!$A$217:$I$237,3,0)),0,VLOOKUP(A19,'Données projet'!$A$217:$I$237,3,0))</f>
        <v>1</v>
      </c>
      <c r="FM19" s="15">
        <f>IF(ISNA(VLOOKUP(A19,'Données projet'!$A$217:$I$237,4,0)),0,VLOOKUP(A19,'Données projet'!$A$217:$I$237,4,0))</f>
        <v>15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0.22500000000000001</v>
      </c>
      <c r="FP19" s="16">
        <f>IF(ISNA(VLOOKUP(A19,'Données projet'!$A$217:$I$237,7,0)),0%,VLOOKUP(A19,'Données projet'!$A$217:$I$237,7,0))</f>
        <v>0.5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2.6667970095349296</v>
      </c>
      <c r="FS19" s="21">
        <f>EXP(-LN(2)/2)*FS18+(1-EXP(-LN(2)/2))/(LN(2)/2)*FM19*FP19*VLOOKUP('Données projet'!$B$16,Paramètres!$A$1:$I$89,3,0)*0.475*44/12</f>
        <v>5.0780618544061999</v>
      </c>
      <c r="FT19" s="22">
        <f t="shared" si="24"/>
        <v>7.7448588639411291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3.8181818181818183</v>
      </c>
      <c r="FZ19" s="12">
        <f>IF('Données projet'!$A$244&gt;35,FZ18+FY19-GH18,IF(A19&lt;'Données projet'!$A$244,$FW$205^A19,IF(A19='Données projet'!$A$244,'Données projet'!$B$244,FZ18+FY19-GH18)))</f>
        <v>25.088566322145844</v>
      </c>
      <c r="GA19" s="17">
        <f>FZ19*VLOOKUP('Données projet'!$B$17,Paramètres!$A$1:$I$89,3,0)*VLOOKUP('Données projet'!$B$17,Paramètres!$A$1:$I$89,5,0)</f>
        <v>14.350659936267423</v>
      </c>
      <c r="GB19" s="13">
        <f t="shared" si="49"/>
        <v>4.8502491924530595</v>
      </c>
      <c r="GC19" s="20">
        <f t="shared" si="25"/>
        <v>33.441583399188175</v>
      </c>
      <c r="GD19" s="59">
        <f t="shared" si="26"/>
        <v>326.77491673252149</v>
      </c>
      <c r="GE19" s="59">
        <f ca="1">AVERAGE(OFFSET($GD$3,0,0,'Données projet'!$E$17+1,1))-AVERAGE(OFFSET($H$3,0,0,'Données projet'!$E$17+1,1))</f>
        <v>196.95560009657527</v>
      </c>
      <c r="GF19" s="59">
        <f t="shared" si="50"/>
        <v>168.90186968005662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7.9</v>
      </c>
      <c r="N20" s="13">
        <f>IF('Données projet'!$A$36&gt;35,N19+M20-V19,IF(A20&lt;'Données projet'!$A$36,$K$205^A20,IF(A20='Données projet'!$A$36,'Données projet'!$B$36,N19+M20-V19)))</f>
        <v>73.936437994095741</v>
      </c>
      <c r="O20" s="13">
        <f>N20*VLOOKUP('Données projet'!$B$9,Paramètres!$A$1:$I$89,3,0)*VLOOKUP('Données projet'!$B$9,Paramètres!$A$1:$I$89,5,0)</f>
        <v>34.602252981236802</v>
      </c>
      <c r="P20" s="13">
        <f t="shared" si="33"/>
        <v>10.556129086190376</v>
      </c>
      <c r="Q20" s="20">
        <f t="shared" si="2"/>
        <v>78.650848767435647</v>
      </c>
      <c r="R20" s="59">
        <f t="shared" si="0"/>
        <v>371.98418210076898</v>
      </c>
      <c r="S20" s="59">
        <f ca="1">AVERAGE(OFFSET($R$3,0,0,'Données projet'!$E$9+1,1))-AVERAGE(OFFSET($H$3,0,0,'Données projet'!$E$9+1,1))</f>
        <v>215.23235148064941</v>
      </c>
      <c r="T20" s="59">
        <f t="shared" si="34"/>
        <v>184.07239726900434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4.75</v>
      </c>
      <c r="AI20" s="13">
        <f>IF('Données projet'!$A$62&gt;35,AI19+AH20-AQ19,IF(A20&lt;'Données projet'!$A$62,$AF$205^A20,IF(A20='Données projet'!$A$62,'Données projet'!$B$62,AI19+AH20-AQ19)))</f>
        <v>47.980532602494719</v>
      </c>
      <c r="AJ20" s="13">
        <f>AI20*VLOOKUP('Données projet'!$B$10,Paramètres!$A$1:$I$89,3,0)*VLOOKUP('Données projet'!$B$10,Paramètres!$A$1:$I$89,5,0)</f>
        <v>35.179326504149124</v>
      </c>
      <c r="AK20" s="13">
        <f t="shared" si="35"/>
        <v>10.711535173719932</v>
      </c>
      <c r="AL20" s="20">
        <f t="shared" si="4"/>
        <v>79.926584088955266</v>
      </c>
      <c r="AM20" s="59">
        <f t="shared" si="5"/>
        <v>373.25991742228859</v>
      </c>
      <c r="AN20" s="59">
        <f ca="1">AVERAGE(OFFSET($AM$3,0,0,'Données projet'!$E$10+1,1))-AVERAGE(OFFSET($H$3,0,0,'Données projet'!$E$10+1,1))</f>
        <v>178.12968684094687</v>
      </c>
      <c r="AO20" s="59">
        <f t="shared" si="36"/>
        <v>219.36004077210373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4.25</v>
      </c>
      <c r="BD20" s="12">
        <f>IF('Données projet'!$A$88&gt;35,BD19+BC20-BL19,IF(A20&lt;'Données projet'!$A$88,$BA$205^A20,IF(A20='Données projet'!$A$88,'Données projet'!$B$88,BD19+BC20-BL19)))</f>
        <v>43.652195027353798</v>
      </c>
      <c r="BE20" s="13">
        <f>BD20*VLOOKUP('Données projet'!$B$11,Paramètres!$A$1:$I$89,3,0)*VLOOKUP('Données projet'!$B$11,Paramètres!$A$1:$I$89,5,0)</f>
        <v>38.134557575896281</v>
      </c>
      <c r="BF20" s="13">
        <f t="shared" si="37"/>
        <v>11.502845297732287</v>
      </c>
      <c r="BG20" s="20">
        <f t="shared" si="7"/>
        <v>86.451810004903066</v>
      </c>
      <c r="BH20" s="59">
        <f t="shared" si="8"/>
        <v>379.78514333823637</v>
      </c>
      <c r="BI20" s="59">
        <f ca="1">AVERAGE(OFFSET($BH$3,0,0,'Données projet'!$E$11+1,1))-AVERAGE(OFFSET($H$3,0,0,'Données projet'!$E$11+1,1))</f>
        <v>114.02623091248347</v>
      </c>
      <c r="BJ20" s="59">
        <f t="shared" si="38"/>
        <v>185.51554083721635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2.1</v>
      </c>
      <c r="BY20" s="12">
        <f>IF('Données projet'!$A$114&gt;35,BY19+BX20-CG19,IF(A20&lt;'Données projet'!$A$114,$BV$205^A20,IF(A20='Données projet'!$A$114,'Données projet'!$B$114,BY19+BX20-CG19)))</f>
        <v>23.975181126327602</v>
      </c>
      <c r="BZ20" s="13">
        <f>BY20*VLOOKUP('Données projet'!$B$12,Paramètres!$A$1:$I$89,3,0)*VLOOKUP('Données projet'!$B$12,Paramètres!$A$1:$I$89,5,0)</f>
        <v>21.692743883101215</v>
      </c>
      <c r="CA20" s="13">
        <f t="shared" si="39"/>
        <v>6.98746341685115</v>
      </c>
      <c r="CB20" s="20">
        <f t="shared" si="10"/>
        <v>49.951361047417038</v>
      </c>
      <c r="CC20" s="59">
        <f t="shared" si="11"/>
        <v>343.28469438075035</v>
      </c>
      <c r="CD20" s="59">
        <f ca="1">AVERAGE(OFFSET($CC$3,0,0,'Données projet'!$E$12+1,1))-AVERAGE(OFFSET($H$3,0,0,'Données projet'!$E$12+1,1))</f>
        <v>237.22177246688199</v>
      </c>
      <c r="CE20" s="59">
        <f t="shared" si="40"/>
        <v>149.27472147904302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15</v>
      </c>
      <c r="CT20" s="12">
        <f>IF('Données projet'!$A$140&gt;35,CT19+CS20-DB19,IF(A20&lt;'Données projet'!$A$140,$CQ$205^A20,IF(A20='Données projet'!$A$140,'Données projet'!$B$140,CT19+CS20-DB19)))</f>
        <v>117</v>
      </c>
      <c r="CU20" s="17">
        <f>CT20*VLOOKUP('Données projet'!$B$13,Paramètres!$A$1:$I$89,3,0)*VLOOKUP('Données projet'!$B$13,Paramètres!$A$1:$I$89,5,0)</f>
        <v>65.403000000000006</v>
      </c>
      <c r="CV20" s="13">
        <f t="shared" si="41"/>
        <v>18.527386684584471</v>
      </c>
      <c r="CW20" s="20">
        <f t="shared" si="13"/>
        <v>146.17875680898462</v>
      </c>
      <c r="CX20" s="59">
        <f t="shared" si="14"/>
        <v>439.5120901423179</v>
      </c>
      <c r="CY20" s="59">
        <f ca="1">AVERAGE(OFFSET($CX$3,0,0,'Données projet'!$E$13+1,1))-AVERAGE(OFFSET($H$3,0,0,'Données projet'!$E$13+1,1))</f>
        <v>326.31232746914907</v>
      </c>
      <c r="CZ20" s="59">
        <f t="shared" si="42"/>
        <v>330.17137761430297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5.9</v>
      </c>
      <c r="DO20" s="12">
        <f>IF('Données projet'!$A$166&gt;35,DO19+DN20-DW19,IF(A20&lt;'Données projet'!$A$166,$DL$205^A20,IF(A20='Données projet'!$A$166,'Données projet'!$B$166,DO19+DN20-DW19)))</f>
        <v>57.68988938108977</v>
      </c>
      <c r="DP20" s="17">
        <f>DO20*VLOOKUP('Données projet'!$B$14,Paramètres!$A$1:$I$89,3,0)*VLOOKUP('Données projet'!$B$14,Paramètres!$A$1:$I$89,5,0)</f>
        <v>35.998490973800017</v>
      </c>
      <c r="DQ20" s="13">
        <f t="shared" si="43"/>
        <v>10.931628613122477</v>
      </c>
      <c r="DR20" s="20">
        <f t="shared" si="16"/>
        <v>81.736624947223348</v>
      </c>
      <c r="DS20" s="59">
        <f t="shared" si="17"/>
        <v>375.06995828055665</v>
      </c>
      <c r="DT20" s="59">
        <f ca="1">AVERAGE(OFFSET($DS$3,0,0,'Données projet'!$E$14+1,1))-AVERAGE(OFFSET($H$3,0,0,'Données projet'!$E$14+1,1))</f>
        <v>209.93608079129638</v>
      </c>
      <c r="DU20" s="59">
        <f t="shared" si="44"/>
        <v>240.15652428700969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4.55</v>
      </c>
      <c r="EJ20" s="12">
        <f>IF('Données projet'!$A$192&gt;35,EJ19+EI20-ER19,IF(A20&lt;'Données projet'!$A$192,$EG$205^A20,IF(A20='Données projet'!$A$192,'Données projet'!$B$192,EJ19+EI20-ER19)))</f>
        <v>46.257822303288052</v>
      </c>
      <c r="EK20" s="17">
        <f>EJ20*VLOOKUP('Données projet'!$B$15,Paramètres!$A$1:$I$89,3,0)*VLOOKUP('Données projet'!$B$15,Paramètres!$A$1:$I$89,5,0)</f>
        <v>27.66217773736626</v>
      </c>
      <c r="EL20" s="13">
        <f t="shared" si="45"/>
        <v>8.6616944434151719</v>
      </c>
      <c r="EM20" s="20">
        <f t="shared" si="19"/>
        <v>63.264077381527663</v>
      </c>
      <c r="EN20" s="59">
        <f t="shared" si="20"/>
        <v>356.59741071486098</v>
      </c>
      <c r="EO20" s="59">
        <f ca="1">AVERAGE(OFFSET($EN$3,0,0,'Données projet'!$E$15+1,1))-AVERAGE(OFFSET($H$3,0,0,'Données projet'!$E$15+1,1))</f>
        <v>216.94426559495264</v>
      </c>
      <c r="EP20" s="59">
        <f t="shared" si="46"/>
        <v>225.33715877618704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13.25</v>
      </c>
      <c r="FE20" s="12">
        <f>IF('Données projet'!$A$218&gt;35,FE19+FD20-FM19,IF(A20&lt;'Données projet'!$A$218,$FB$205^A20,IF(A20='Données projet'!$A$218,'Données projet'!$B$218,FE19+FD20-FM19)))</f>
        <v>79.25</v>
      </c>
      <c r="FF20" s="17">
        <f>FE20*VLOOKUP('Données projet'!$B$16,Paramètres!$A$1:$I$89,3,0)*VLOOKUP('Données projet'!$B$16,Paramètres!$A$1:$I$89,5,0)</f>
        <v>47.391500000000001</v>
      </c>
      <c r="FG20" s="13">
        <f t="shared" si="47"/>
        <v>13.938016900926096</v>
      </c>
      <c r="FH20" s="20">
        <f t="shared" si="22"/>
        <v>106.81557526911295</v>
      </c>
      <c r="FI20" s="59">
        <f t="shared" si="23"/>
        <v>400.14890860244628</v>
      </c>
      <c r="FJ20" s="59">
        <f ca="1">AVERAGE(OFFSET($FI$3,0,0,'Données projet'!$E$16+1,1))-AVERAGE(OFFSET($H$3,0,0,'Données projet'!$E$16+1,1))</f>
        <v>168.08890945052406</v>
      </c>
      <c r="FK20" s="59">
        <f t="shared" si="48"/>
        <v>182.52462557642343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2.5938733050684371</v>
      </c>
      <c r="FS20" s="21">
        <f>EXP(-LN(2)/2)*FS19+(1-EXP(-LN(2)/2))/(LN(2)/2)*FM20*FP20*VLOOKUP('Données projet'!$B$16,Paramètres!$A$1:$I$89,3,0)*0.475*44/12</f>
        <v>3.5907319725353588</v>
      </c>
      <c r="FT20" s="22">
        <f t="shared" si="24"/>
        <v>6.1846052776037954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3.8181818181818183</v>
      </c>
      <c r="FZ20" s="12">
        <f>IF('Données projet'!$A$244&gt;35,FZ19+FY20-GH19,IF(A20&lt;'Données projet'!$A$244,$FW$205^A20,IF(A20='Données projet'!$A$244,'Données projet'!$B$244,FZ19+FY20-GH19)))</f>
        <v>30.686198121771824</v>
      </c>
      <c r="GA20" s="17">
        <f>FZ20*VLOOKUP('Données projet'!$B$17,Paramètres!$A$1:$I$89,3,0)*VLOOKUP('Données projet'!$B$17,Paramètres!$A$1:$I$89,5,0)</f>
        <v>17.552505325653485</v>
      </c>
      <c r="GB20" s="13">
        <f t="shared" si="49"/>
        <v>5.7949555028440027</v>
      </c>
      <c r="GC20" s="20">
        <f t="shared" si="25"/>
        <v>40.663494276299794</v>
      </c>
      <c r="GD20" s="59">
        <f t="shared" si="26"/>
        <v>333.9968276096331</v>
      </c>
      <c r="GE20" s="59">
        <f ca="1">AVERAGE(OFFSET($GD$3,0,0,'Données projet'!$E$17+1,1))-AVERAGE(OFFSET($H$3,0,0,'Données projet'!$E$17+1,1))</f>
        <v>196.95560009657527</v>
      </c>
      <c r="GF20" s="59">
        <f t="shared" si="50"/>
        <v>168.90186968005662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7.9</v>
      </c>
      <c r="N21" s="13">
        <f>IF('Données projet'!$A$36&gt;35,N20+M21-V20,IF(A21&lt;'Données projet'!$A$36,$K$205^A21,IF(A21='Données projet'!$A$36,'Données projet'!$B$36,N20+M21-V20)))</f>
        <v>95.233857990035276</v>
      </c>
      <c r="O21" s="13">
        <f>N21*VLOOKUP('Données projet'!$B$9,Paramètres!$A$1:$I$89,3,0)*VLOOKUP('Données projet'!$B$9,Paramètres!$A$1:$I$89,5,0)</f>
        <v>44.569445539336513</v>
      </c>
      <c r="P21" s="13">
        <f t="shared" si="33"/>
        <v>13.202049673437019</v>
      </c>
      <c r="Q21" s="20">
        <f t="shared" si="2"/>
        <v>100.61868749558056</v>
      </c>
      <c r="R21" s="59">
        <f t="shared" si="0"/>
        <v>393.95202082891387</v>
      </c>
      <c r="S21" s="59">
        <f ca="1">AVERAGE(OFFSET($R$3,0,0,'Données projet'!$E$9+1,1))-AVERAGE(OFFSET($H$3,0,0,'Données projet'!$E$9+1,1))</f>
        <v>215.23235148064941</v>
      </c>
      <c r="T21" s="59">
        <f t="shared" si="34"/>
        <v>184.07239726900434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4.75</v>
      </c>
      <c r="AI21" s="13">
        <f>IF('Données projet'!$A$62&gt;35,AI20+AH21-AQ20,IF(A21&lt;'Données projet'!$A$62,$AF$205^A21,IF(A21='Données projet'!$A$62,'Données projet'!$B$62,AI20+AH21-AQ20)))</f>
        <v>60.249194467085609</v>
      </c>
      <c r="AJ21" s="13">
        <f>AI21*VLOOKUP('Données projet'!$B$10,Paramètres!$A$1:$I$89,3,0)*VLOOKUP('Données projet'!$B$10,Paramètres!$A$1:$I$89,5,0)</f>
        <v>44.174709383267164</v>
      </c>
      <c r="AK21" s="13">
        <f t="shared" si="35"/>
        <v>13.098680441472636</v>
      </c>
      <c r="AL21" s="20">
        <f t="shared" si="4"/>
        <v>99.75115394475516</v>
      </c>
      <c r="AM21" s="59">
        <f t="shared" si="5"/>
        <v>393.08448727808849</v>
      </c>
      <c r="AN21" s="59">
        <f ca="1">AVERAGE(OFFSET($AM$3,0,0,'Données projet'!$E$10+1,1))-AVERAGE(OFFSET($H$3,0,0,'Données projet'!$E$10+1,1))</f>
        <v>178.12968684094687</v>
      </c>
      <c r="AO21" s="59">
        <f t="shared" si="36"/>
        <v>219.36004077210373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4.25</v>
      </c>
      <c r="BD21" s="12">
        <f>IF('Données projet'!$A$88&gt;35,BD20+BC21-BL20,IF(A21&lt;'Données projet'!$A$88,$BA$205^A21,IF(A21='Données projet'!$A$88,'Données projet'!$B$88,BD20+BC21-BL20)))</f>
        <v>54.51010682689995</v>
      </c>
      <c r="BE21" s="13">
        <f>BD21*VLOOKUP('Données projet'!$B$11,Paramètres!$A$1:$I$89,3,0)*VLOOKUP('Données projet'!$B$11,Paramètres!$A$1:$I$89,5,0)</f>
        <v>47.6200293239798</v>
      </c>
      <c r="BF21" s="13">
        <f t="shared" si="37"/>
        <v>13.997388191657819</v>
      </c>
      <c r="BG21" s="20">
        <f t="shared" si="7"/>
        <v>107.31700217306884</v>
      </c>
      <c r="BH21" s="59">
        <f t="shared" si="8"/>
        <v>400.65033550640214</v>
      </c>
      <c r="BI21" s="59">
        <f ca="1">AVERAGE(OFFSET($BH$3,0,0,'Données projet'!$E$11+1,1))-AVERAGE(OFFSET($H$3,0,0,'Données projet'!$E$11+1,1))</f>
        <v>114.02623091248347</v>
      </c>
      <c r="BJ21" s="59">
        <f t="shared" si="38"/>
        <v>185.51554083721635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2.1</v>
      </c>
      <c r="BY21" s="12">
        <f>IF('Données projet'!$A$114&gt;35,BY20+BX21-CG20,IF(A21&lt;'Données projet'!$A$114,$BV$205^A21,IF(A21='Données projet'!$A$114,'Données projet'!$B$114,BY20+BX21-CG20)))</f>
        <v>28.901764726506816</v>
      </c>
      <c r="BZ21" s="13">
        <f>BY21*VLOOKUP('Données projet'!$B$12,Paramètres!$A$1:$I$89,3,0)*VLOOKUP('Données projet'!$B$12,Paramètres!$A$1:$I$89,5,0)</f>
        <v>26.150316724543362</v>
      </c>
      <c r="CA21" s="13">
        <f t="shared" si="39"/>
        <v>8.2420396752158016</v>
      </c>
      <c r="CB21" s="20">
        <f t="shared" si="10"/>
        <v>59.900020729580547</v>
      </c>
      <c r="CC21" s="59">
        <f t="shared" si="11"/>
        <v>353.23335406291386</v>
      </c>
      <c r="CD21" s="59">
        <f ca="1">AVERAGE(OFFSET($CC$3,0,0,'Données projet'!$E$12+1,1))-AVERAGE(OFFSET($H$3,0,0,'Données projet'!$E$12+1,1))</f>
        <v>237.22177246688199</v>
      </c>
      <c r="CE21" s="59">
        <f t="shared" si="40"/>
        <v>149.27472147904302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15</v>
      </c>
      <c r="CT21" s="12">
        <f>IF('Données projet'!$A$140&gt;35,CT20+CS21-DB20,IF(A21&lt;'Données projet'!$A$140,$CQ$205^A21,IF(A21='Données projet'!$A$140,'Données projet'!$B$140,CT20+CS21-DB20)))</f>
        <v>132</v>
      </c>
      <c r="CU21" s="17">
        <f>CT21*VLOOKUP('Données projet'!$B$13,Paramètres!$A$1:$I$89,3,0)*VLOOKUP('Données projet'!$B$13,Paramètres!$A$1:$I$89,5,0)</f>
        <v>73.787999999999997</v>
      </c>
      <c r="CV21" s="13">
        <f t="shared" si="41"/>
        <v>20.611246816293939</v>
      </c>
      <c r="CW21" s="20">
        <f t="shared" si="13"/>
        <v>164.41202153837858</v>
      </c>
      <c r="CX21" s="59">
        <f t="shared" si="14"/>
        <v>457.74535487171192</v>
      </c>
      <c r="CY21" s="59">
        <f ca="1">AVERAGE(OFFSET($CX$3,0,0,'Données projet'!$E$13+1,1))-AVERAGE(OFFSET($H$3,0,0,'Données projet'!$E$13+1,1))</f>
        <v>326.31232746914907</v>
      </c>
      <c r="CZ21" s="59">
        <f t="shared" si="42"/>
        <v>330.17137761430297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5.9</v>
      </c>
      <c r="DO21" s="12">
        <f>IF('Données projet'!$A$166&gt;35,DO20+DN21-DW20,IF(A21&lt;'Données projet'!$A$166,$DL$205^A21,IF(A21='Données projet'!$A$166,'Données projet'!$B$166,DO20+DN21-DW20)))</f>
        <v>73.23080472494604</v>
      </c>
      <c r="DP21" s="17">
        <f>DO21*VLOOKUP('Données projet'!$B$14,Paramètres!$A$1:$I$89,3,0)*VLOOKUP('Données projet'!$B$14,Paramètres!$A$1:$I$89,5,0)</f>
        <v>45.696022148366332</v>
      </c>
      <c r="DQ21" s="13">
        <f t="shared" si="43"/>
        <v>13.496483118197693</v>
      </c>
      <c r="DR21" s="20">
        <f t="shared" si="16"/>
        <v>103.09361333926567</v>
      </c>
      <c r="DS21" s="59">
        <f t="shared" si="17"/>
        <v>396.426946672599</v>
      </c>
      <c r="DT21" s="59">
        <f ca="1">AVERAGE(OFFSET($DS$3,0,0,'Données projet'!$E$14+1,1))-AVERAGE(OFFSET($H$3,0,0,'Données projet'!$E$14+1,1))</f>
        <v>209.93608079129638</v>
      </c>
      <c r="DU21" s="59">
        <f t="shared" si="44"/>
        <v>240.15652428700969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4.55</v>
      </c>
      <c r="EJ21" s="12">
        <f>IF('Données projet'!$A$192&gt;35,EJ20+EI21-ER20,IF(A21&lt;'Données projet'!$A$192,$EG$205^A21,IF(A21='Données projet'!$A$192,'Données projet'!$B$192,EJ20+EI21-ER20)))</f>
        <v>57.961184622505009</v>
      </c>
      <c r="EK21" s="17">
        <f>EJ21*VLOOKUP('Données projet'!$B$15,Paramètres!$A$1:$I$89,3,0)*VLOOKUP('Données projet'!$B$15,Paramètres!$A$1:$I$89,5,0)</f>
        <v>34.660788404258</v>
      </c>
      <c r="EL21" s="13">
        <f t="shared" si="45"/>
        <v>10.571906363180744</v>
      </c>
      <c r="EM21" s="20">
        <f t="shared" si="19"/>
        <v>78.780276719955808</v>
      </c>
      <c r="EN21" s="59">
        <f t="shared" si="20"/>
        <v>372.11361005328911</v>
      </c>
      <c r="EO21" s="59">
        <f ca="1">AVERAGE(OFFSET($EN$3,0,0,'Données projet'!$E$15+1,1))-AVERAGE(OFFSET($H$3,0,0,'Données projet'!$E$15+1,1))</f>
        <v>216.94426559495264</v>
      </c>
      <c r="EP21" s="59">
        <f t="shared" si="46"/>
        <v>225.33715877618704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13.25</v>
      </c>
      <c r="FE21" s="12">
        <f>IF('Données projet'!$A$218&gt;35,FE20+FD21-FM20,IF(A21&lt;'Données projet'!$A$218,$FB$205^A21,IF(A21='Données projet'!$A$218,'Données projet'!$B$218,FE20+FD21-FM20)))</f>
        <v>92.5</v>
      </c>
      <c r="FF21" s="17">
        <f>FE21*VLOOKUP('Données projet'!$B$16,Paramètres!$A$1:$I$89,3,0)*VLOOKUP('Données projet'!$B$16,Paramètres!$A$1:$I$89,5,0)</f>
        <v>55.315000000000005</v>
      </c>
      <c r="FG21" s="13">
        <f t="shared" si="47"/>
        <v>15.978207841877614</v>
      </c>
      <c r="FH21" s="20">
        <f t="shared" si="22"/>
        <v>124.16900365793684</v>
      </c>
      <c r="FI21" s="59">
        <f t="shared" si="23"/>
        <v>417.50233699127017</v>
      </c>
      <c r="FJ21" s="59">
        <f ca="1">AVERAGE(OFFSET($FI$3,0,0,'Données projet'!$E$16+1,1))-AVERAGE(OFFSET($H$3,0,0,'Données projet'!$E$16+1,1))</f>
        <v>168.08890945052406</v>
      </c>
      <c r="FK21" s="59">
        <f t="shared" si="48"/>
        <v>182.52462557642343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2.5229437031354718</v>
      </c>
      <c r="FS21" s="21">
        <f>EXP(-LN(2)/2)*FS20+(1-EXP(-LN(2)/2))/(LN(2)/2)*FM21*FP21*VLOOKUP('Données projet'!$B$16,Paramètres!$A$1:$I$89,3,0)*0.475*44/12</f>
        <v>2.5390309272031004</v>
      </c>
      <c r="FT21" s="22">
        <f t="shared" si="24"/>
        <v>5.0619746303385718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3.8181818181818183</v>
      </c>
      <c r="FZ21" s="12">
        <f>IF('Données projet'!$A$244&gt;35,FZ20+FY21-GH20,IF(A21&lt;'Données projet'!$A$244,$FW$205^A21,IF(A21='Données projet'!$A$244,'Données projet'!$B$244,FZ20+FY21-GH20)))</f>
        <v>37.532744720348504</v>
      </c>
      <c r="GA21" s="17">
        <f>FZ21*VLOOKUP('Données projet'!$B$17,Paramètres!$A$1:$I$89,3,0)*VLOOKUP('Données projet'!$B$17,Paramètres!$A$1:$I$89,5,0)</f>
        <v>21.468729980039349</v>
      </c>
      <c r="GB21" s="13">
        <f t="shared" si="49"/>
        <v>6.9236667947276818</v>
      </c>
      <c r="GC21" s="20">
        <f t="shared" si="25"/>
        <v>49.450091049385911</v>
      </c>
      <c r="GD21" s="59">
        <f t="shared" si="26"/>
        <v>342.7834243827192</v>
      </c>
      <c r="GE21" s="59">
        <f ca="1">AVERAGE(OFFSET($GD$3,0,0,'Données projet'!$E$17+1,1))-AVERAGE(OFFSET($H$3,0,0,'Données projet'!$E$17+1,1))</f>
        <v>196.95560009657527</v>
      </c>
      <c r="GF21" s="59">
        <f t="shared" si="50"/>
        <v>168.90186968005662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7.9</v>
      </c>
      <c r="N22" s="13">
        <f>IF('Données projet'!$A$36&gt;35,N21+M22-V21,IF(A22&lt;'Données projet'!$A$36,$K$205^A22,IF(A22='Données projet'!$A$36,'Données projet'!$B$36,N21+M22-V21)))</f>
        <v>122.66600817840934</v>
      </c>
      <c r="O22" s="13">
        <f>N22*VLOOKUP('Données projet'!$B$9,Paramètres!$A$1:$I$89,3,0)*VLOOKUP('Données projet'!$B$9,Paramètres!$A$1:$I$89,5,0)</f>
        <v>57.407691827495569</v>
      </c>
      <c r="P22" s="13">
        <f t="shared" si="33"/>
        <v>16.511176981334152</v>
      </c>
      <c r="Q22" s="20">
        <f t="shared" si="2"/>
        <v>128.7420298420451</v>
      </c>
      <c r="R22" s="59">
        <f t="shared" si="0"/>
        <v>422.07536317537841</v>
      </c>
      <c r="S22" s="59">
        <f ca="1">AVERAGE(OFFSET($R$3,0,0,'Données projet'!$E$9+1,1))-AVERAGE(OFFSET($H$3,0,0,'Données projet'!$E$9+1,1))</f>
        <v>215.23235148064941</v>
      </c>
      <c r="T22" s="59">
        <f t="shared" si="34"/>
        <v>184.07239726900434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4.75</v>
      </c>
      <c r="AI22" s="13">
        <f>IF('Données projet'!$A$62&gt;35,AI21+AH22-AQ21,IF(A22&lt;'Données projet'!$A$62,$AF$205^A22,IF(A22='Données projet'!$A$62,'Données projet'!$B$62,AI21+AH22-AQ21)))</f>
        <v>75.65496331618381</v>
      </c>
      <c r="AJ22" s="13">
        <f>AI22*VLOOKUP('Données projet'!$B$10,Paramètres!$A$1:$I$89,3,0)*VLOOKUP('Données projet'!$B$10,Paramètres!$A$1:$I$89,5,0)</f>
        <v>55.470219103425968</v>
      </c>
      <c r="AK22" s="13">
        <f t="shared" si="35"/>
        <v>16.017818783694715</v>
      </c>
      <c r="AL22" s="20">
        <f t="shared" si="4"/>
        <v>124.50833265340184</v>
      </c>
      <c r="AM22" s="59">
        <f t="shared" si="5"/>
        <v>417.84166598673517</v>
      </c>
      <c r="AN22" s="59">
        <f ca="1">AVERAGE(OFFSET($AM$3,0,0,'Données projet'!$E$10+1,1))-AVERAGE(OFFSET($H$3,0,0,'Données projet'!$E$10+1,1))</f>
        <v>178.12968684094687</v>
      </c>
      <c r="AO22" s="59">
        <f t="shared" si="36"/>
        <v>219.36004077210373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4.25</v>
      </c>
      <c r="BD22" s="12">
        <f>IF('Données projet'!$A$88&gt;35,BD21+BC22-BL21,IF(A22&lt;'Données projet'!$A$88,$BA$205^A22,IF(A22='Données projet'!$A$88,'Données projet'!$B$88,BD21+BC22-BL21)))</f>
        <v>68.068781980335814</v>
      </c>
      <c r="BE22" s="13">
        <f>BD22*VLOOKUP('Données projet'!$B$11,Paramètres!$A$1:$I$89,3,0)*VLOOKUP('Données projet'!$B$11,Paramètres!$A$1:$I$89,5,0)</f>
        <v>59.464887938021377</v>
      </c>
      <c r="BF22" s="13">
        <f t="shared" si="37"/>
        <v>17.032905434848157</v>
      </c>
      <c r="BG22" s="20">
        <f t="shared" si="7"/>
        <v>133.2336567910811</v>
      </c>
      <c r="BH22" s="59">
        <f t="shared" si="8"/>
        <v>426.56699012441442</v>
      </c>
      <c r="BI22" s="59">
        <f ca="1">AVERAGE(OFFSET($BH$3,0,0,'Données projet'!$E$11+1,1))-AVERAGE(OFFSET($H$3,0,0,'Données projet'!$E$11+1,1))</f>
        <v>114.02623091248347</v>
      </c>
      <c r="BJ22" s="59">
        <f t="shared" si="38"/>
        <v>185.51554083721635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2.1</v>
      </c>
      <c r="BY22" s="12">
        <f>IF('Données projet'!$A$114&gt;35,BY21+BX22-CG21,IF(A22&lt;'Données projet'!$A$114,$BV$205^A22,IF(A22='Données projet'!$A$114,'Données projet'!$B$114,BY21+BX22-CG21)))</f>
        <v>34.840696297767764</v>
      </c>
      <c r="BZ22" s="13">
        <f>BY22*VLOOKUP('Données projet'!$B$12,Paramètres!$A$1:$I$89,3,0)*VLOOKUP('Données projet'!$B$12,Paramètres!$A$1:$I$89,5,0)</f>
        <v>31.52386201022027</v>
      </c>
      <c r="CA22" s="13">
        <f t="shared" si="39"/>
        <v>9.7218710074397983</v>
      </c>
      <c r="CB22" s="20">
        <f t="shared" si="10"/>
        <v>71.836318339091292</v>
      </c>
      <c r="CC22" s="59">
        <f t="shared" si="11"/>
        <v>365.16965167242461</v>
      </c>
      <c r="CD22" s="59">
        <f ca="1">AVERAGE(OFFSET($CC$3,0,0,'Données projet'!$E$12+1,1))-AVERAGE(OFFSET($H$3,0,0,'Données projet'!$E$12+1,1))</f>
        <v>237.22177246688199</v>
      </c>
      <c r="CE22" s="59">
        <f t="shared" si="40"/>
        <v>149.27472147904302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15</v>
      </c>
      <c r="CT22" s="12">
        <f>IF('Données projet'!$A$140&gt;35,CT21+CS22-DB21,IF(A22&lt;'Données projet'!$A$140,$CQ$205^A22,IF(A22='Données projet'!$A$140,'Données projet'!$B$140,CT21+CS22-DB21)))</f>
        <v>147</v>
      </c>
      <c r="CU22" s="17">
        <f>CT22*VLOOKUP('Données projet'!$B$13,Paramètres!$A$1:$I$89,3,0)*VLOOKUP('Données projet'!$B$13,Paramètres!$A$1:$I$89,5,0)</f>
        <v>82.173000000000002</v>
      </c>
      <c r="CV22" s="13">
        <f t="shared" si="41"/>
        <v>22.667662370396656</v>
      </c>
      <c r="CW22" s="20">
        <f t="shared" si="13"/>
        <v>182.59748696177417</v>
      </c>
      <c r="CX22" s="59">
        <f t="shared" si="14"/>
        <v>475.93082029510748</v>
      </c>
      <c r="CY22" s="59">
        <f ca="1">AVERAGE(OFFSET($CX$3,0,0,'Données projet'!$E$13+1,1))-AVERAGE(OFFSET($H$3,0,0,'Données projet'!$E$13+1,1))</f>
        <v>326.31232746914907</v>
      </c>
      <c r="CZ22" s="59">
        <f t="shared" si="42"/>
        <v>330.17137761430297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5.9</v>
      </c>
      <c r="DO22" s="12">
        <f>IF('Données projet'!$A$166&gt;35,DO21+DN22-DW21,IF(A22&lt;'Données projet'!$A$166,$DL$205^A22,IF(A22='Données projet'!$A$166,'Données projet'!$B$166,DO21+DN22-DW21)))</f>
        <v>92.958243085503995</v>
      </c>
      <c r="DP22" s="17">
        <f>DO22*VLOOKUP('Données projet'!$B$14,Paramètres!$A$1:$I$89,3,0)*VLOOKUP('Données projet'!$B$14,Paramètres!$A$1:$I$89,5,0)</f>
        <v>58.005943685354488</v>
      </c>
      <c r="DQ22" s="13">
        <f t="shared" si="43"/>
        <v>16.663121571943435</v>
      </c>
      <c r="DR22" s="20">
        <f t="shared" si="16"/>
        <v>130.04862198979387</v>
      </c>
      <c r="DS22" s="59">
        <f t="shared" si="17"/>
        <v>423.38195532312716</v>
      </c>
      <c r="DT22" s="59">
        <f ca="1">AVERAGE(OFFSET($DS$3,0,0,'Données projet'!$E$14+1,1))-AVERAGE(OFFSET($H$3,0,0,'Données projet'!$E$14+1,1))</f>
        <v>209.93608079129638</v>
      </c>
      <c r="DU22" s="59">
        <f t="shared" si="44"/>
        <v>240.15652428700969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4.55</v>
      </c>
      <c r="EJ22" s="12">
        <f>IF('Données projet'!$A$192&gt;35,EJ21+EI22-ER21,IF(A22&lt;'Données projet'!$A$192,$EG$205^A22,IF(A22='Données projet'!$A$192,'Données projet'!$B$192,EJ21+EI22-ER21)))</f>
        <v>72.625531327818578</v>
      </c>
      <c r="EK22" s="17">
        <f>EJ22*VLOOKUP('Données projet'!$B$15,Paramètres!$A$1:$I$89,3,0)*VLOOKUP('Données projet'!$B$15,Paramètres!$A$1:$I$89,5,0)</f>
        <v>43.430067734035511</v>
      </c>
      <c r="EL22" s="13">
        <f t="shared" si="45"/>
        <v>12.903388001273598</v>
      </c>
      <c r="EM22" s="20">
        <f t="shared" si="19"/>
        <v>98.114102072330027</v>
      </c>
      <c r="EN22" s="59">
        <f t="shared" si="20"/>
        <v>391.44743540566333</v>
      </c>
      <c r="EO22" s="59">
        <f ca="1">AVERAGE(OFFSET($EN$3,0,0,'Données projet'!$E$15+1,1))-AVERAGE(OFFSET($H$3,0,0,'Données projet'!$E$15+1,1))</f>
        <v>216.94426559495264</v>
      </c>
      <c r="EP22" s="59">
        <f t="shared" si="46"/>
        <v>225.33715877618704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13.25</v>
      </c>
      <c r="FE22" s="12">
        <f>IF('Données projet'!$A$218&gt;35,FE21+FD22-FM21,IF(A22&lt;'Données projet'!$A$218,$FB$205^A22,IF(A22='Données projet'!$A$218,'Données projet'!$B$218,FE21+FD22-FM21)))</f>
        <v>105.75</v>
      </c>
      <c r="FF22" s="17">
        <f>FE22*VLOOKUP('Données projet'!$B$16,Paramètres!$A$1:$I$89,3,0)*VLOOKUP('Données projet'!$B$16,Paramètres!$A$1:$I$89,5,0)</f>
        <v>63.238500000000009</v>
      </c>
      <c r="FG22" s="13">
        <f t="shared" si="47"/>
        <v>17.984541540394584</v>
      </c>
      <c r="FH22" s="20">
        <f t="shared" si="22"/>
        <v>141.46346401618726</v>
      </c>
      <c r="FI22" s="59">
        <f t="shared" si="23"/>
        <v>434.7967973495206</v>
      </c>
      <c r="FJ22" s="59">
        <f ca="1">AVERAGE(OFFSET($FI$3,0,0,'Données projet'!$E$16+1,1))-AVERAGE(OFFSET($H$3,0,0,'Données projet'!$E$16+1,1))</f>
        <v>168.08890945052406</v>
      </c>
      <c r="FK22" s="59">
        <f t="shared" si="48"/>
        <v>182.52462557642343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2.4539536748973894</v>
      </c>
      <c r="FS22" s="21">
        <f>EXP(-LN(2)/2)*FS21+(1-EXP(-LN(2)/2))/(LN(2)/2)*FM22*FP22*VLOOKUP('Données projet'!$B$16,Paramètres!$A$1:$I$89,3,0)*0.475*44/12</f>
        <v>1.7953659862676796</v>
      </c>
      <c r="FT22" s="22">
        <f t="shared" si="24"/>
        <v>4.2493196611650692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3.8181818181818183</v>
      </c>
      <c r="FZ22" s="12">
        <f>IF('Données projet'!$A$244&gt;35,FZ21+FY22-GH21,IF(A22&lt;'Données projet'!$A$244,$FW$205^A22,IF(A22='Données projet'!$A$244,'Données projet'!$B$244,FZ21+FY22-GH21)))</f>
        <v>45.906857560284479</v>
      </c>
      <c r="GA22" s="17">
        <f>FZ22*VLOOKUP('Données projet'!$B$17,Paramètres!$A$1:$I$89,3,0)*VLOOKUP('Données projet'!$B$17,Paramètres!$A$1:$I$89,5,0)</f>
        <v>26.258722524482721</v>
      </c>
      <c r="GB22" s="13">
        <f t="shared" si="49"/>
        <v>8.2722226013449838</v>
      </c>
      <c r="GC22" s="20">
        <f t="shared" si="25"/>
        <v>60.141396094149911</v>
      </c>
      <c r="GD22" s="59">
        <f t="shared" si="26"/>
        <v>353.47472942748323</v>
      </c>
      <c r="GE22" s="59">
        <f ca="1">AVERAGE(OFFSET($GD$3,0,0,'Données projet'!$E$17+1,1))-AVERAGE(OFFSET($H$3,0,0,'Données projet'!$E$17+1,1))</f>
        <v>196.95560009657527</v>
      </c>
      <c r="GF22" s="59">
        <f t="shared" si="50"/>
        <v>168.90186968005662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158</v>
      </c>
      <c r="L23" s="12">
        <f>VLOOKUP(A23,'Données projet'!$A$35:$I$55,9,0)</f>
        <v>7.9</v>
      </c>
      <c r="M23" s="12">
        <f t="array" ref="M23">INDEX(L:L,MIN(IF(ISNUMBER(L23:L219),ROW(L23:L219),"")))</f>
        <v>7.9</v>
      </c>
      <c r="N23" s="13">
        <f>IF('Données projet'!$A$36&gt;35,N22+M23-V22,IF(A23&lt;'Données projet'!$A$36,$K$205^A23,IF(A23='Données projet'!$A$36,'Données projet'!$B$36,N22+M23-V22)))</f>
        <v>158</v>
      </c>
      <c r="O23" s="13">
        <f>N23*VLOOKUP('Données projet'!$B$9,Paramètres!$A$1:$I$89,3,0)*VLOOKUP('Données projet'!$B$9,Paramètres!$A$1:$I$89,5,0)</f>
        <v>73.944000000000003</v>
      </c>
      <c r="P23" s="13">
        <f t="shared" si="33"/>
        <v>20.649745460165708</v>
      </c>
      <c r="Q23" s="20">
        <f t="shared" si="2"/>
        <v>164.75077334312192</v>
      </c>
      <c r="R23" s="59">
        <f t="shared" si="0"/>
        <v>458.08410667645524</v>
      </c>
      <c r="S23" s="59">
        <f ca="1">AVERAGE(OFFSET($R$3,0,0,'Données projet'!$E$9+1,1))-AVERAGE(OFFSET($H$3,0,0,'Données projet'!$E$9+1,1))</f>
        <v>215.23235148064941</v>
      </c>
      <c r="T23" s="59">
        <f t="shared" si="34"/>
        <v>184.07239726900434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12.5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0.27500000000000002</v>
      </c>
      <c r="Y23" s="16">
        <f>IF(ISNA(VLOOKUP(A23,'Données projet'!$A$35:$I$55,7,0)),0%,VLOOKUP(A23,'Données projet'!$A$35:$I$55,7,0))</f>
        <v>0.5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2.1257077612234943</v>
      </c>
      <c r="AB23" s="21">
        <f>EXP(-LN(2)/2)*AB22+(1-EXP(-LN(2)/2))/(LN(2)/2)*V23*Y23*VLOOKUP('Données projet'!$B$9,Paramètres!$A$1:$I$89,3,0)*0.475*44/12</f>
        <v>3.3117794702649124</v>
      </c>
      <c r="AC23" s="22">
        <f t="shared" si="3"/>
        <v>5.4374872314884062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95</v>
      </c>
      <c r="AG23" s="12">
        <f>VLOOKUP(A23,'Données projet'!$A$61:$I$81,9,0)</f>
        <v>4.75</v>
      </c>
      <c r="AH23" s="12">
        <f t="array" ref="AH23">INDEX(AG:AG,MIN(IF(ISNUMBER(AG23:AG219),ROW(AG23:AG219),"")))</f>
        <v>4.75</v>
      </c>
      <c r="AI23" s="13">
        <f>IF('Données projet'!$A$62&gt;35,AI22+AH23-AQ22,IF(A23&lt;'Données projet'!$A$62,$AF$205^A23,IF(A23='Données projet'!$A$62,'Données projet'!$B$62,AI22+AH23-AQ22)))</f>
        <v>95</v>
      </c>
      <c r="AJ23" s="13">
        <f>AI23*VLOOKUP('Données projet'!$B$10,Paramètres!$A$1:$I$89,3,0)*VLOOKUP('Données projet'!$B$10,Paramètres!$A$1:$I$89,5,0)</f>
        <v>69.653999999999996</v>
      </c>
      <c r="AK23" s="13">
        <f t="shared" si="35"/>
        <v>19.587508813096782</v>
      </c>
      <c r="AL23" s="20">
        <f t="shared" si="4"/>
        <v>155.42896118281021</v>
      </c>
      <c r="AM23" s="59">
        <f t="shared" si="5"/>
        <v>448.76229451614353</v>
      </c>
      <c r="AN23" s="59">
        <f ca="1">AVERAGE(OFFSET($AM$3,0,0,'Données projet'!$E$10+1,1))-AVERAGE(OFFSET($H$3,0,0,'Données projet'!$E$10+1,1))</f>
        <v>178.12968684094687</v>
      </c>
      <c r="AO23" s="59">
        <f t="shared" si="36"/>
        <v>219.36004077210373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43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0.1075</v>
      </c>
      <c r="AT23" s="16">
        <f>IF(ISNA(VLOOKUP(A23,'Données projet'!$A$61:$I$81,7,0)),0%,VLOOKUP(A23,'Données projet'!$A$61:$I$81,7,0))</f>
        <v>0.25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3.7319269004768749</v>
      </c>
      <c r="AW23" s="21">
        <f>EXP(-LN(2)/2)*AW22+(1-EXP(-LN(2)/2))/(LN(2)/2)*AQ23*AT23*VLOOKUP('Données projet'!$B$10,Paramètres!$A$1:$I$89,3,0)*0.475*44/12</f>
        <v>7.4367847882282083</v>
      </c>
      <c r="AX23" s="21">
        <f t="shared" si="6"/>
        <v>11.168711688705084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85</v>
      </c>
      <c r="BB23" s="12">
        <f>VLOOKUP(A23,'Données projet'!$A$87:$I$107,9,0)</f>
        <v>4.25</v>
      </c>
      <c r="BC23" s="12">
        <f t="array" ref="BC23">INDEX(BB:BB,MIN(IF(ISNUMBER(BB23:BB219),ROW(BB23:BB219),"")))</f>
        <v>4.25</v>
      </c>
      <c r="BD23" s="12">
        <f>IF('Données projet'!$A$88&gt;35,BD22+BC23-BL22,IF(A23&lt;'Données projet'!$A$88,$BA$205^A23,IF(A23='Données projet'!$A$88,'Données projet'!$B$88,BD22+BC23-BL22)))</f>
        <v>85</v>
      </c>
      <c r="BE23" s="13">
        <f>BD23*VLOOKUP('Données projet'!$B$11,Paramètres!$A$1:$I$89,3,0)*VLOOKUP('Données projet'!$B$11,Paramètres!$A$1:$I$89,5,0)</f>
        <v>74.256</v>
      </c>
      <c r="BF23" s="13">
        <f t="shared" si="37"/>
        <v>20.726714411291823</v>
      </c>
      <c r="BG23" s="20">
        <f t="shared" si="7"/>
        <v>165.4282275996666</v>
      </c>
      <c r="BH23" s="59">
        <f t="shared" si="8"/>
        <v>458.76156093299994</v>
      </c>
      <c r="BI23" s="59">
        <f ca="1">AVERAGE(OFFSET($BH$3,0,0,'Données projet'!$E$11+1,1))-AVERAGE(OFFSET($H$3,0,0,'Données projet'!$E$11+1,1))</f>
        <v>114.02623091248347</v>
      </c>
      <c r="BJ23" s="59">
        <f t="shared" si="38"/>
        <v>185.51554083721635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32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0.1075</v>
      </c>
      <c r="BO23" s="16">
        <f>IF(ISNA(VLOOKUP(A23,'Données projet'!$A$87:$I$107,7,0)),0%,VLOOKUP(A23,'Données projet'!$A$87:$I$107,7,0))</f>
        <v>0.25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3.3090613585623756</v>
      </c>
      <c r="BR23" s="21">
        <f>EXP(-LN(2)/2)*BR22+(1-EXP(-LN(2)/2))/(LN(2)/2)*BL23*BO23*VLOOKUP('Données projet'!$B$11,Paramètres!$A$1:$I$89,3,0)*0.475*44/12</f>
        <v>6.5941209007941382</v>
      </c>
      <c r="BS23" s="22">
        <f t="shared" si="9"/>
        <v>9.9031822593565142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42</v>
      </c>
      <c r="BW23" s="12">
        <f>VLOOKUP(A23,'Données projet'!$A$113:$I$133,9,0)</f>
        <v>2.1</v>
      </c>
      <c r="BX23" s="12">
        <f t="array" ref="BX23">INDEX(BW:BW,MIN(IF(ISNUMBER(BW23:BW219),ROW(BW23:BW219),"")))</f>
        <v>2.1</v>
      </c>
      <c r="BY23" s="12">
        <f>IF('Données projet'!$A$114&gt;35,BY22+BX23-CG22,IF(A23&lt;'Données projet'!$A$114,$BV$205^A23,IF(A23='Données projet'!$A$114,'Données projet'!$B$114,BY22+BX23-CG22)))</f>
        <v>42</v>
      </c>
      <c r="BZ23" s="13">
        <f>BY23*VLOOKUP('Données projet'!$B$12,Paramètres!$A$1:$I$89,3,0)*VLOOKUP('Données projet'!$B$12,Paramètres!$A$1:$I$89,5,0)</f>
        <v>38.001600000000003</v>
      </c>
      <c r="CA23" s="13">
        <f t="shared" si="39"/>
        <v>11.467401227090512</v>
      </c>
      <c r="CB23" s="20">
        <f t="shared" si="10"/>
        <v>86.158510470515978</v>
      </c>
      <c r="CC23" s="59">
        <f t="shared" si="11"/>
        <v>379.49184380384929</v>
      </c>
      <c r="CD23" s="59">
        <f ca="1">AVERAGE(OFFSET($CC$3,0,0,'Données projet'!$E$12+1,1))-AVERAGE(OFFSET($H$3,0,0,'Données projet'!$E$12+1,1))</f>
        <v>237.22177246688199</v>
      </c>
      <c r="CE23" s="59">
        <f t="shared" si="40"/>
        <v>149.27472147904302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162</v>
      </c>
      <c r="CR23" s="12">
        <f>VLOOKUP(A23,'Données projet'!$A$139:$I$159,9,0)</f>
        <v>15</v>
      </c>
      <c r="CS23" s="12">
        <f t="array" ref="CS23">INDEX(CR:CR,MIN(IF(ISNUMBER(CR23:CR219),ROW(CR23:CR219),"")))</f>
        <v>15</v>
      </c>
      <c r="CT23" s="12">
        <f>IF('Données projet'!$A$140&gt;35,CT22+CS23-DB22,IF(A23&lt;'Données projet'!$A$140,$CQ$205^A23,IF(A23='Données projet'!$A$140,'Données projet'!$B$140,CT22+CS23-DB22)))</f>
        <v>162</v>
      </c>
      <c r="CU23" s="17">
        <f>CT23*VLOOKUP('Données projet'!$B$13,Paramètres!$A$1:$I$89,3,0)*VLOOKUP('Données projet'!$B$13,Paramètres!$A$1:$I$89,5,0)</f>
        <v>90.557999999999993</v>
      </c>
      <c r="CV23" s="13">
        <f t="shared" si="41"/>
        <v>24.699752708509138</v>
      </c>
      <c r="CW23" s="20">
        <f t="shared" si="13"/>
        <v>200.74058596732007</v>
      </c>
      <c r="CX23" s="59">
        <f t="shared" si="14"/>
        <v>494.07391930065342</v>
      </c>
      <c r="CY23" s="59">
        <f ca="1">AVERAGE(OFFSET($CX$3,0,0,'Données projet'!$E$13+1,1))-AVERAGE(OFFSET($H$3,0,0,'Données projet'!$E$13+1,1))</f>
        <v>326.31232746914907</v>
      </c>
      <c r="CZ23" s="59">
        <f t="shared" si="42"/>
        <v>330.17137761430297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63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0.27500000000000002</v>
      </c>
      <c r="DE23" s="16">
        <f>IF(ISNA(VLOOKUP(A23,'Données projet'!$A$139:$I$159,7,0)),0%,VLOOKUP(A23,'Données projet'!$A$139:$I$159,7,0))</f>
        <v>0.5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12.796760722565436</v>
      </c>
      <c r="DH23" s="21">
        <f>EXP(-LN(2)/2)*DH22+(1-EXP(-LN(2)/2))/(LN(2)/2)*DB23*DE23*VLOOKUP('Données projet'!$B$13,Paramètres!$A$1:$I$89,3,0)*0.475*44/12</f>
        <v>19.936912410994776</v>
      </c>
      <c r="DI23" s="22">
        <f t="shared" si="15"/>
        <v>32.73367313356021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118</v>
      </c>
      <c r="DM23" s="12">
        <f>VLOOKUP(A23,'Données projet'!$A$165:$I$185,9,0)</f>
        <v>5.9</v>
      </c>
      <c r="DN23" s="12">
        <f t="array" ref="DN23">INDEX(DM:DM,MIN(IF(ISNUMBER(DM23:DM219),ROW(DM23:DM219),"")))</f>
        <v>5.9</v>
      </c>
      <c r="DO23" s="12">
        <f>IF('Données projet'!$A$166&gt;35,DO22+DN23-DW22,IF(A23&lt;'Données projet'!$A$166,$DL$205^A23,IF(A23='Données projet'!$A$166,'Données projet'!$B$166,DO22+DN23-DW22)))</f>
        <v>118</v>
      </c>
      <c r="DP23" s="17">
        <f>DO23*VLOOKUP('Données projet'!$B$14,Paramètres!$A$1:$I$89,3,0)*VLOOKUP('Données projet'!$B$14,Paramètres!$A$1:$I$89,5,0)</f>
        <v>73.632000000000005</v>
      </c>
      <c r="DQ23" s="13">
        <f t="shared" si="43"/>
        <v>20.572738697163981</v>
      </c>
      <c r="DR23" s="20">
        <f t="shared" si="16"/>
        <v>164.07325323089393</v>
      </c>
      <c r="DS23" s="59">
        <f t="shared" si="17"/>
        <v>457.40658656422727</v>
      </c>
      <c r="DT23" s="59">
        <f ca="1">AVERAGE(OFFSET($DS$3,0,0,'Données projet'!$E$14+1,1))-AVERAGE(OFFSET($H$3,0,0,'Données projet'!$E$14+1,1))</f>
        <v>209.93608079129638</v>
      </c>
      <c r="DU23" s="59">
        <f t="shared" si="44"/>
        <v>240.15652428700969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37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0.3</v>
      </c>
      <c r="DZ23" s="16">
        <f>IF(ISNA(VLOOKUP(A23,'Données projet'!$A$165:$I$185,7,0)),0%,VLOOKUP(A23,'Données projet'!$A$165:$I$185,7,0))</f>
        <v>0.5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9.1521381428676971</v>
      </c>
      <c r="EC23" s="21">
        <f>EXP(-LN(2)/2)*EC22+(1-EXP(-LN(2)/2))/(LN(2)/2)*DW23*DZ23*VLOOKUP('Données projet'!$B$14,Paramètres!$A$1:$I$89,3,0)*0.475*44/12</f>
        <v>13.070489642645519</v>
      </c>
      <c r="ED23" s="22">
        <f t="shared" si="18"/>
        <v>22.222627785513218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>
        <f>VLOOKUP(A23,'Données projet'!$A$191:$I$211,2,0)</f>
        <v>91</v>
      </c>
      <c r="EH23" s="12">
        <f>VLOOKUP(A23,'Données projet'!$A$191:$I$211,9,0)</f>
        <v>4.55</v>
      </c>
      <c r="EI23" s="12">
        <f t="array" ref="EI23">INDEX(EH:EH,MIN(IF(ISNUMBER(EH23:EH219),ROW(EH23:EH219),"")))</f>
        <v>4.55</v>
      </c>
      <c r="EJ23" s="12">
        <f>IF('Données projet'!$A$192&gt;35,EJ22+EI23-ER22,IF(A23&lt;'Données projet'!$A$192,$EG$205^A23,IF(A23='Données projet'!$A$192,'Données projet'!$B$192,EJ22+EI23-ER22)))</f>
        <v>91</v>
      </c>
      <c r="EK23" s="17">
        <f>EJ23*VLOOKUP('Données projet'!$B$15,Paramètres!$A$1:$I$89,3,0)*VLOOKUP('Données projet'!$B$15,Paramètres!$A$1:$I$89,5,0)</f>
        <v>54.417999999999999</v>
      </c>
      <c r="EL23" s="13">
        <f t="shared" si="45"/>
        <v>15.749044324804036</v>
      </c>
      <c r="EM23" s="20">
        <f t="shared" si="19"/>
        <v>122.20760219903367</v>
      </c>
      <c r="EN23" s="59">
        <f t="shared" si="20"/>
        <v>415.54093553236697</v>
      </c>
      <c r="EO23" s="59">
        <f ca="1">AVERAGE(OFFSET($EN$3,0,0,'Données projet'!$E$15+1,1))-AVERAGE(OFFSET($H$3,0,0,'Données projet'!$E$15+1,1))</f>
        <v>216.94426559495264</v>
      </c>
      <c r="EP23" s="59">
        <f t="shared" si="46"/>
        <v>225.33715877618704</v>
      </c>
      <c r="EQ23" s="15">
        <f>IF(ISNA(VLOOKUP(A23,'Données projet'!$A$191:$I$211,3,0)),0,VLOOKUP(A23,'Données projet'!$A$191:$I$211,3,0))</f>
        <v>1</v>
      </c>
      <c r="ER23" s="15">
        <f>IF(ISNA(VLOOKUP(A23,'Données projet'!$A$191:$I$211,4,0)),0,VLOOKUP(A23,'Données projet'!$A$191:$I$211,4,0))</f>
        <v>3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0.22500000000000001</v>
      </c>
      <c r="EU23" s="16">
        <f>IF(ISNA(VLOOKUP(A23,'Données projet'!$A$191:$I$211,7,0)),0%,VLOOKUP(A23,'Données projet'!$A$191:$I$211,7,0))</f>
        <v>0.5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0.53335940190698583</v>
      </c>
      <c r="EX23" s="21">
        <f>EXP(-LN(2)/2)*EX22+(1-EXP(-LN(2)/2))/(LN(2)/2)*ER23*EU23*VLOOKUP('Données projet'!$B$15,Paramètres!$A$1:$I$89,3,0)*0.475*44/12</f>
        <v>1.0156123708812399</v>
      </c>
      <c r="EY23" s="22">
        <f t="shared" si="21"/>
        <v>1.5489717727882257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>
        <f>VLOOKUP(A23,'Données projet'!$A$217:$I$237,2,0)</f>
        <v>119</v>
      </c>
      <c r="FC23" s="12">
        <f>VLOOKUP(A23,'Données projet'!$A$217:$I$237,9,0)</f>
        <v>13.25</v>
      </c>
      <c r="FD23" s="12">
        <f t="array" ref="FD23">INDEX(FC:FC,MIN(IF(ISNUMBER(FC23:FC219),ROW(FC23:FC219),"")))</f>
        <v>13.25</v>
      </c>
      <c r="FE23" s="12">
        <f>IF('Données projet'!$A$218&gt;35,FE22+FD23-FM22,IF(A23&lt;'Données projet'!$A$218,$FB$205^A23,IF(A23='Données projet'!$A$218,'Données projet'!$B$218,FE22+FD23-FM22)))</f>
        <v>119</v>
      </c>
      <c r="FF23" s="17">
        <f>FE23*VLOOKUP('Données projet'!$B$16,Paramètres!$A$1:$I$89,3,0)*VLOOKUP('Données projet'!$B$16,Paramètres!$A$1:$I$89,5,0)</f>
        <v>71.162000000000006</v>
      </c>
      <c r="FG23" s="13">
        <f t="shared" si="47"/>
        <v>19.961746043676346</v>
      </c>
      <c r="FH23" s="20">
        <f t="shared" si="22"/>
        <v>158.70719102606964</v>
      </c>
      <c r="FI23" s="59">
        <f t="shared" si="23"/>
        <v>452.04052435940298</v>
      </c>
      <c r="FJ23" s="59">
        <f ca="1">AVERAGE(OFFSET($FI$3,0,0,'Données projet'!$E$16+1,1))-AVERAGE(OFFSET($H$3,0,0,'Données projet'!$E$16+1,1))</f>
        <v>168.08890945052406</v>
      </c>
      <c r="FK23" s="59">
        <f t="shared" si="48"/>
        <v>182.52462557642343</v>
      </c>
      <c r="FL23" s="15">
        <f>IF(ISNA(VLOOKUP(A23,'Données projet'!$A$217:$I$237,3,0)),0,VLOOKUP(A23,'Données projet'!$A$217:$I$237,3,0))</f>
        <v>2</v>
      </c>
      <c r="FM23" s="15">
        <f>IF(ISNA(VLOOKUP(A23,'Données projet'!$A$217:$I$237,4,0)),0,VLOOKUP(A23,'Données projet'!$A$217:$I$237,4,0))</f>
        <v>22</v>
      </c>
      <c r="FN23" s="16">
        <f>IF(ISNA(VLOOKUP(A23,'Données projet'!$A$217:$I$237,5,0)),0%,VLOOKUP(A23,'Données projet'!$A$217:$I$237,5,0)*VLOOKUP('Données projet'!$B$16,Paramètres!$A$1:$I$89,7,0))</f>
        <v>4.5000000000000005E-2</v>
      </c>
      <c r="FO23" s="16">
        <f>IF(ISNA(VLOOKUP(A23,'Données projet'!$A$217:$I$237,6,0)),0%,VLOOKUP(A23,'Données projet'!$A$217:$I$237,6,0)*VLOOKUP('Données projet'!$B$16,Paramètres!$A$1:$I$89,7,0))</f>
        <v>0.20250000000000001</v>
      </c>
      <c r="FP23" s="16">
        <f>IF(ISNA(VLOOKUP(A23,'Données projet'!$A$217:$I$237,7,0)),0%,VLOOKUP(A23,'Données projet'!$A$217:$I$237,7,0))</f>
        <v>0.45</v>
      </c>
      <c r="FQ23" s="21">
        <f>EXP(-LN(2)/35)*FQ22+(1-EXP(-LN(2)/35))/(LN(2)/35)*FM23*FN23*VLOOKUP('Données projet'!$B$16,Paramètres!$A$1:$I$89,3,0)*0.475*44/12</f>
        <v>0.78535268890931675</v>
      </c>
      <c r="FR23" s="21">
        <f>EXP(-LN(2)/25)*FR22+(1-EXP(-LN(2)/25))/(LN(2)/25)*Calculateur!FM23*Calculateur!FO23*VLOOKUP('Données projet'!$B$16,Paramètres!$A$1:$I$89,3,0)*0.475*44/12</f>
        <v>5.9070222351956119</v>
      </c>
      <c r="FS23" s="21">
        <f>EXP(-LN(2)/2)*FS22+(1-EXP(-LN(2)/2))/(LN(2)/2)*FM23*FP23*VLOOKUP('Données projet'!$B$16,Paramètres!$A$1:$I$89,3,0)*0.475*44/12</f>
        <v>7.9725571114177329</v>
      </c>
      <c r="FT23" s="22">
        <f t="shared" si="24"/>
        <v>14.664932035522661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3.8181818181818183</v>
      </c>
      <c r="FZ23" s="12">
        <f>IF('Données projet'!$A$244&gt;35,FZ22+FY23-GH22,IF(A23&lt;'Données projet'!$A$244,$FW$205^A23,IF(A23='Données projet'!$A$244,'Données projet'!$B$244,FZ22+FY23-GH22)))</f>
        <v>56.14935935974043</v>
      </c>
      <c r="GA23" s="17">
        <f>FZ23*VLOOKUP('Données projet'!$B$17,Paramètres!$A$1:$I$89,3,0)*VLOOKUP('Données projet'!$B$17,Paramètres!$A$1:$I$89,5,0)</f>
        <v>32.117433553771527</v>
      </c>
      <c r="GB23" s="13">
        <f t="shared" si="49"/>
        <v>9.8834430938114259</v>
      </c>
      <c r="GC23" s="20">
        <f t="shared" si="25"/>
        <v>73.151526827873639</v>
      </c>
      <c r="GD23" s="59">
        <f t="shared" si="26"/>
        <v>366.48486016120694</v>
      </c>
      <c r="GE23" s="59">
        <f ca="1">AVERAGE(OFFSET($GD$3,0,0,'Données projet'!$E$17+1,1))-AVERAGE(OFFSET($H$3,0,0,'Données projet'!$E$17+1,1))</f>
        <v>196.95560009657527</v>
      </c>
      <c r="GF23" s="59">
        <f t="shared" si="50"/>
        <v>168.90186968005662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9.1999999999999993</v>
      </c>
      <c r="N24" s="13">
        <f>IF('Données projet'!$A$36&gt;35,N23+M24-V23,IF(A24&lt;'Données projet'!$A$36,$K$205^A24,IF(A24='Données projet'!$A$36,'Données projet'!$B$36,N23+M24-V23)))</f>
        <v>154.69999999999999</v>
      </c>
      <c r="O24" s="13">
        <f>N24*VLOOKUP('Données projet'!$B$9,Paramètres!$A$1:$I$89,3,0)*VLOOKUP('Données projet'!$B$9,Paramètres!$A$1:$I$89,5,0)</f>
        <v>72.399599999999992</v>
      </c>
      <c r="P24" s="13">
        <f t="shared" si="33"/>
        <v>20.268188832715463</v>
      </c>
      <c r="Q24" s="20">
        <f t="shared" si="2"/>
        <v>161.3963988836461</v>
      </c>
      <c r="R24" s="59">
        <f t="shared" si="0"/>
        <v>454.72973221697941</v>
      </c>
      <c r="S24" s="59">
        <f ca="1">AVERAGE(OFFSET($R$3,0,0,'Données projet'!$E$9+1,1))-AVERAGE(OFFSET($H$3,0,0,'Données projet'!$E$9+1,1))</f>
        <v>215.23235148064941</v>
      </c>
      <c r="T24" s="59">
        <f t="shared" si="34"/>
        <v>184.07239726900434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2.0675801707067252</v>
      </c>
      <c r="AB24" s="21">
        <f>EXP(-LN(2)/2)*AB23+(1-EXP(-LN(2)/2))/(LN(2)/2)*V24*Y24*VLOOKUP('Données projet'!$B$9,Paramètres!$A$1:$I$89,3,0)*0.475*44/12</f>
        <v>2.341781721218712</v>
      </c>
      <c r="AC24" s="22">
        <f t="shared" si="3"/>
        <v>4.4093618919254371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12.2</v>
      </c>
      <c r="AI24" s="13">
        <f>IF('Données projet'!$A$62&gt;35,AI23+AH24-AQ23,IF(A24&lt;'Données projet'!$A$62,$AF$205^A24,IF(A24='Données projet'!$A$62,'Données projet'!$B$62,AI23+AH24-AQ23)))</f>
        <v>64.2</v>
      </c>
      <c r="AJ24" s="13">
        <f>AI24*VLOOKUP('Données projet'!$B$10,Paramètres!$A$1:$I$89,3,0)*VLOOKUP('Données projet'!$B$10,Paramètres!$A$1:$I$89,5,0)</f>
        <v>47.071440000000003</v>
      </c>
      <c r="AK24" s="13">
        <f t="shared" si="35"/>
        <v>13.854810116510471</v>
      </c>
      <c r="AL24" s="20">
        <f t="shared" si="4"/>
        <v>106.11321895292241</v>
      </c>
      <c r="AM24" s="59">
        <f t="shared" si="5"/>
        <v>399.44655228625572</v>
      </c>
      <c r="AN24" s="59">
        <f ca="1">AVERAGE(OFFSET($AM$3,0,0,'Données projet'!$E$10+1,1))-AVERAGE(OFFSET($H$3,0,0,'Données projet'!$E$10+1,1))</f>
        <v>178.12968684094687</v>
      </c>
      <c r="AO24" s="59">
        <f t="shared" si="36"/>
        <v>219.36004077210373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3.6298771631298283</v>
      </c>
      <c r="AW24" s="21">
        <f>EXP(-LN(2)/2)*AW23+(1-EXP(-LN(2)/2))/(LN(2)/2)*AQ24*AT24*VLOOKUP('Données projet'!$B$10,Paramètres!$A$1:$I$89,3,0)*0.475*44/12</f>
        <v>5.2586009539811291</v>
      </c>
      <c r="AX24" s="21">
        <f t="shared" si="6"/>
        <v>8.8884781171109566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7.5</v>
      </c>
      <c r="BD24" s="12">
        <f>IF('Données projet'!$A$88&gt;35,BD23+BC24-BL23,IF(A24&lt;'Données projet'!$A$88,$BA$205^A24,IF(A24='Données projet'!$A$88,'Données projet'!$B$88,BD23+BC24-BL23)))</f>
        <v>60.5</v>
      </c>
      <c r="BE24" s="13">
        <f>BD24*VLOOKUP('Données projet'!$B$11,Paramètres!$A$1:$I$89,3,0)*VLOOKUP('Données projet'!$B$11,Paramètres!$A$1:$I$89,5,0)</f>
        <v>52.852800000000009</v>
      </c>
      <c r="BF24" s="13">
        <f t="shared" si="37"/>
        <v>15.348111645179451</v>
      </c>
      <c r="BG24" s="20">
        <f t="shared" si="7"/>
        <v>118.78325444868756</v>
      </c>
      <c r="BH24" s="59">
        <f t="shared" si="8"/>
        <v>412.11658778202087</v>
      </c>
      <c r="BI24" s="59">
        <f ca="1">AVERAGE(OFFSET($BH$3,0,0,'Données projet'!$E$11+1,1))-AVERAGE(OFFSET($H$3,0,0,'Données projet'!$E$11+1,1))</f>
        <v>114.02623091248347</v>
      </c>
      <c r="BJ24" s="59">
        <f t="shared" si="38"/>
        <v>185.51554083721635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3.2185749016965137</v>
      </c>
      <c r="BR24" s="21">
        <f>EXP(-LN(2)/2)*BR23+(1-EXP(-LN(2)/2))/(LN(2)/2)*BL24*BO24*VLOOKUP('Données projet'!$B$11,Paramètres!$A$1:$I$89,3,0)*0.475*44/12</f>
        <v>4.6627476049154808</v>
      </c>
      <c r="BS24" s="22">
        <f t="shared" si="9"/>
        <v>7.8813225066119941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6.3</v>
      </c>
      <c r="BY24" s="12">
        <f>IF('Données projet'!$A$114&gt;35,BY23+BX24-CG23,IF(A24&lt;'Données projet'!$A$114,$BV$205^A24,IF(A24='Données projet'!$A$114,'Données projet'!$B$114,BY23+BX24-CG23)))</f>
        <v>48.3</v>
      </c>
      <c r="BZ24" s="13">
        <f>BY24*VLOOKUP('Données projet'!$B$12,Paramètres!$A$1:$I$89,3,0)*VLOOKUP('Données projet'!$B$12,Paramètres!$A$1:$I$89,5,0)</f>
        <v>43.701839999999997</v>
      </c>
      <c r="CA24" s="13">
        <f t="shared" si="39"/>
        <v>12.974708810432297</v>
      </c>
      <c r="CB24" s="20">
        <f t="shared" si="10"/>
        <v>98.711655844836244</v>
      </c>
      <c r="CC24" s="59">
        <f t="shared" si="11"/>
        <v>392.04498917816954</v>
      </c>
      <c r="CD24" s="59">
        <f ca="1">AVERAGE(OFFSET($CC$3,0,0,'Données projet'!$E$12+1,1))-AVERAGE(OFFSET($H$3,0,0,'Données projet'!$E$12+1,1))</f>
        <v>237.22177246688199</v>
      </c>
      <c r="CE24" s="59">
        <f t="shared" si="40"/>
        <v>149.27472147904302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22.2</v>
      </c>
      <c r="CT24" s="12">
        <f>IF('Données projet'!$A$140&gt;35,CT23+CS24-DB23,IF(A24&lt;'Données projet'!$A$140,$CQ$205^A24,IF(A24='Données projet'!$A$140,'Données projet'!$B$140,CT23+CS24-DB23)))</f>
        <v>121.19999999999999</v>
      </c>
      <c r="CU24" s="17">
        <f>CT24*VLOOKUP('Données projet'!$B$13,Paramètres!$A$1:$I$89,3,0)*VLOOKUP('Données projet'!$B$13,Paramètres!$A$1:$I$89,5,0)</f>
        <v>67.750799999999998</v>
      </c>
      <c r="CV24" s="13">
        <f t="shared" si="41"/>
        <v>19.113844706860473</v>
      </c>
      <c r="CW24" s="20">
        <f t="shared" si="13"/>
        <v>151.28925619778201</v>
      </c>
      <c r="CX24" s="59">
        <f t="shared" si="14"/>
        <v>444.6225895311153</v>
      </c>
      <c r="CY24" s="59">
        <f ca="1">AVERAGE(OFFSET($CX$3,0,0,'Données projet'!$E$13+1,1))-AVERAGE(OFFSET($H$3,0,0,'Données projet'!$E$13+1,1))</f>
        <v>326.31232746914907</v>
      </c>
      <c r="CZ24" s="59">
        <f t="shared" si="42"/>
        <v>330.17137761430297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12.446832627654485</v>
      </c>
      <c r="DH24" s="21">
        <f>EXP(-LN(2)/2)*DH23+(1-EXP(-LN(2)/2))/(LN(2)/2)*DB24*DE24*VLOOKUP('Données projet'!$B$13,Paramètres!$A$1:$I$89,3,0)*0.475*44/12</f>
        <v>14.097525961736647</v>
      </c>
      <c r="DI24" s="22">
        <f t="shared" si="15"/>
        <v>26.54435858939113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13.9</v>
      </c>
      <c r="DO24" s="12">
        <f>IF('Données projet'!$A$166&gt;35,DO23+DN24-DW23,IF(A24&lt;'Données projet'!$A$166,$DL$205^A24,IF(A24='Données projet'!$A$166,'Données projet'!$B$166,DO23+DN24-DW23)))</f>
        <v>94.9</v>
      </c>
      <c r="DP24" s="17">
        <f>DO24*VLOOKUP('Données projet'!$B$14,Paramètres!$A$1:$I$89,3,0)*VLOOKUP('Données projet'!$B$14,Paramètres!$A$1:$I$89,5,0)</f>
        <v>59.217600000000004</v>
      </c>
      <c r="DQ24" s="13">
        <f t="shared" si="43"/>
        <v>16.970302883579741</v>
      </c>
      <c r="DR24" s="20">
        <f t="shared" si="16"/>
        <v>132.69393085556803</v>
      </c>
      <c r="DS24" s="59">
        <f t="shared" si="17"/>
        <v>426.02726418890131</v>
      </c>
      <c r="DT24" s="59">
        <f ca="1">AVERAGE(OFFSET($DS$3,0,0,'Données projet'!$E$14+1,1))-AVERAGE(OFFSET($H$3,0,0,'Données projet'!$E$14+1,1))</f>
        <v>209.93608079129638</v>
      </c>
      <c r="DU24" s="59">
        <f t="shared" si="44"/>
        <v>240.15652428700969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8.9018724440609525</v>
      </c>
      <c r="EC24" s="21">
        <f>EXP(-LN(2)/2)*EC23+(1-EXP(-LN(2)/2))/(LN(2)/2)*DW24*DZ24*VLOOKUP('Données projet'!$B$14,Paramètres!$A$1:$I$89,3,0)*0.475*44/12</f>
        <v>9.2422318597431818</v>
      </c>
      <c r="ED24" s="22">
        <f t="shared" si="18"/>
        <v>18.144104303804134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13</v>
      </c>
      <c r="EJ24" s="12">
        <f>IF('Données projet'!$A$192&gt;35,EJ23+EI24-ER23,IF(A24&lt;'Données projet'!$A$192,$EG$205^A24,IF(A24='Données projet'!$A$192,'Données projet'!$B$192,EJ23+EI24-ER23)))</f>
        <v>101</v>
      </c>
      <c r="EK24" s="17">
        <f>EJ24*VLOOKUP('Données projet'!$B$15,Paramètres!$A$1:$I$89,3,0)*VLOOKUP('Données projet'!$B$15,Paramètres!$A$1:$I$89,5,0)</f>
        <v>60.398000000000003</v>
      </c>
      <c r="EL24" s="13">
        <f t="shared" si="45"/>
        <v>17.26885714728807</v>
      </c>
      <c r="EM24" s="20">
        <f t="shared" si="19"/>
        <v>135.26977619819337</v>
      </c>
      <c r="EN24" s="59">
        <f t="shared" si="20"/>
        <v>428.60310953152668</v>
      </c>
      <c r="EO24" s="59">
        <f ca="1">AVERAGE(OFFSET($EN$3,0,0,'Données projet'!$E$15+1,1))-AVERAGE(OFFSET($H$3,0,0,'Données projet'!$E$15+1,1))</f>
        <v>216.94426559495264</v>
      </c>
      <c r="EP24" s="59">
        <f t="shared" si="46"/>
        <v>225.33715877618704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0.51877466101368741</v>
      </c>
      <c r="EX24" s="21">
        <f>EXP(-LN(2)/2)*EX23+(1-EXP(-LN(2)/2))/(LN(2)/2)*ER24*EU24*VLOOKUP('Données projet'!$B$15,Paramètres!$A$1:$I$89,3,0)*0.475*44/12</f>
        <v>0.71814639450707174</v>
      </c>
      <c r="EY24" s="22">
        <f t="shared" si="21"/>
        <v>1.2369210555207593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15</v>
      </c>
      <c r="FE24" s="12">
        <f>IF('Données projet'!$A$218&gt;35,FE23+FD24-FM23,IF(A24&lt;'Données projet'!$A$218,$FB$205^A24,IF(A24='Données projet'!$A$218,'Données projet'!$B$218,FE23+FD24-FM23)))</f>
        <v>112</v>
      </c>
      <c r="FF24" s="17">
        <f>FE24*VLOOKUP('Données projet'!$B$16,Paramètres!$A$1:$I$89,3,0)*VLOOKUP('Données projet'!$B$16,Paramètres!$A$1:$I$89,5,0)</f>
        <v>66.976000000000013</v>
      </c>
      <c r="FG24" s="13">
        <f t="shared" si="47"/>
        <v>18.920572617446965</v>
      </c>
      <c r="FH24" s="20">
        <f t="shared" si="22"/>
        <v>149.60319730872013</v>
      </c>
      <c r="FI24" s="59">
        <f t="shared" si="23"/>
        <v>442.93653064205341</v>
      </c>
      <c r="FJ24" s="59">
        <f ca="1">AVERAGE(OFFSET($FI$3,0,0,'Données projet'!$E$16+1,1))-AVERAGE(OFFSET($H$3,0,0,'Données projet'!$E$16+1,1))</f>
        <v>168.08890945052406</v>
      </c>
      <c r="FK24" s="59">
        <f t="shared" si="48"/>
        <v>182.52462557642343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0.76995240169764623</v>
      </c>
      <c r="FR24" s="21">
        <f>EXP(-LN(2)/25)*FR23+(1-EXP(-LN(2)/25))/(LN(2)/25)*Calculateur!FM24*Calculateur!FO24*VLOOKUP('Données projet'!$B$16,Paramètres!$A$1:$I$89,3,0)*0.475*44/12</f>
        <v>5.745494401537389</v>
      </c>
      <c r="FS24" s="21">
        <f>EXP(-LN(2)/2)*FS23+(1-EXP(-LN(2)/2))/(LN(2)/2)*FM24*FP24*VLOOKUP('Données projet'!$B$16,Paramètres!$A$1:$I$89,3,0)*0.475*44/12</f>
        <v>5.6374491968805129</v>
      </c>
      <c r="FT24" s="22">
        <f t="shared" si="24"/>
        <v>12.152896000115547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3.8181818181818183</v>
      </c>
      <c r="FZ24" s="12">
        <f>IF('Données projet'!$A$244&gt;35,FZ23+FY24-GH23,IF(A24&lt;'Données projet'!$A$244,$FW$205^A24,IF(A24='Données projet'!$A$244,'Données projet'!$B$244,FZ23+FY24-GH23)))</f>
        <v>68.677115447710747</v>
      </c>
      <c r="GA24" s="17">
        <f>FZ24*VLOOKUP('Données projet'!$B$17,Paramètres!$A$1:$I$89,3,0)*VLOOKUP('Données projet'!$B$17,Paramètres!$A$1:$I$89,5,0)</f>
        <v>39.283310036090548</v>
      </c>
      <c r="GB24" s="13">
        <f t="shared" si="49"/>
        <v>11.808488733454363</v>
      </c>
      <c r="GC24" s="20">
        <f t="shared" si="25"/>
        <v>88.98488285695737</v>
      </c>
      <c r="GD24" s="59">
        <f t="shared" si="26"/>
        <v>382.31821619029068</v>
      </c>
      <c r="GE24" s="59">
        <f ca="1">AVERAGE(OFFSET($GD$3,0,0,'Données projet'!$E$17+1,1))-AVERAGE(OFFSET($H$3,0,0,'Données projet'!$E$17+1,1))</f>
        <v>196.95560009657527</v>
      </c>
      <c r="GF24" s="59">
        <f t="shared" si="50"/>
        <v>168.90186968005662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9.1999999999999993</v>
      </c>
      <c r="N25" s="13">
        <f>IF('Données projet'!$A$36&gt;35,N24+M25-V24,IF(A25&lt;'Données projet'!$A$36,$K$205^A25,IF(A25='Données projet'!$A$36,'Données projet'!$B$36,N24+M25-V24)))</f>
        <v>163.89999999999998</v>
      </c>
      <c r="O25" s="13">
        <f>N25*VLOOKUP('Données projet'!$B$9,Paramètres!$A$1:$I$89,3,0)*VLOOKUP('Données projet'!$B$9,Paramètres!$A$1:$I$89,5,0)</f>
        <v>76.705199999999991</v>
      </c>
      <c r="P25" s="13">
        <f t="shared" si="33"/>
        <v>21.32962715676695</v>
      </c>
      <c r="Q25" s="20">
        <f t="shared" si="2"/>
        <v>170.74399063136909</v>
      </c>
      <c r="R25" s="59">
        <f t="shared" si="0"/>
        <v>464.07732396470237</v>
      </c>
      <c r="S25" s="59">
        <f ca="1">AVERAGE(OFFSET($R$3,0,0,'Données projet'!$E$9+1,1))-AVERAGE(OFFSET($H$3,0,0,'Données projet'!$E$9+1,1))</f>
        <v>215.23235148064941</v>
      </c>
      <c r="T25" s="59">
        <f t="shared" si="34"/>
        <v>184.07239726900434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2.0110420822094341</v>
      </c>
      <c r="AB25" s="21">
        <f>EXP(-LN(2)/2)*AB24+(1-EXP(-LN(2)/2))/(LN(2)/2)*V25*Y25*VLOOKUP('Données projet'!$B$9,Paramètres!$A$1:$I$89,3,0)*0.475*44/12</f>
        <v>1.6558897351324564</v>
      </c>
      <c r="AC25" s="22">
        <f t="shared" si="3"/>
        <v>3.6669318173418906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12.2</v>
      </c>
      <c r="AI25" s="13">
        <f>IF('Données projet'!$A$62&gt;35,AI24+AH25-AQ24,IF(A25&lt;'Données projet'!$A$62,$AF$205^A25,IF(A25='Données projet'!$A$62,'Données projet'!$B$62,AI24+AH25-AQ24)))</f>
        <v>76.400000000000006</v>
      </c>
      <c r="AJ25" s="13">
        <f>AI25*VLOOKUP('Données projet'!$B$10,Paramètres!$A$1:$I$89,3,0)*VLOOKUP('Données projet'!$B$10,Paramètres!$A$1:$I$89,5,0)</f>
        <v>56.016480000000001</v>
      </c>
      <c r="AK25" s="13">
        <f t="shared" si="35"/>
        <v>16.157118822922481</v>
      </c>
      <c r="AL25" s="20">
        <f t="shared" si="4"/>
        <v>125.70235128325668</v>
      </c>
      <c r="AM25" s="59">
        <f t="shared" si="5"/>
        <v>419.03568461659</v>
      </c>
      <c r="AN25" s="59">
        <f ca="1">AVERAGE(OFFSET($AM$3,0,0,'Données projet'!$E$10+1,1))-AVERAGE(OFFSET($H$3,0,0,'Données projet'!$E$10+1,1))</f>
        <v>178.12968684094687</v>
      </c>
      <c r="AO25" s="59">
        <f t="shared" si="36"/>
        <v>219.36004077210373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3.5306179812170995</v>
      </c>
      <c r="AW25" s="21">
        <f>EXP(-LN(2)/2)*AW24+(1-EXP(-LN(2)/2))/(LN(2)/2)*AQ25*AT25*VLOOKUP('Données projet'!$B$10,Paramètres!$A$1:$I$89,3,0)*0.475*44/12</f>
        <v>3.7183923941141046</v>
      </c>
      <c r="AX25" s="21">
        <f t="shared" si="6"/>
        <v>7.2490103753312045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7.5</v>
      </c>
      <c r="BD25" s="12">
        <f>IF('Données projet'!$A$88&gt;35,BD24+BC25-BL24,IF(A25&lt;'Données projet'!$A$88,$BA$205^A25,IF(A25='Données projet'!$A$88,'Données projet'!$B$88,BD24+BC25-BL24)))</f>
        <v>68</v>
      </c>
      <c r="BE25" s="13">
        <f>BD25*VLOOKUP('Données projet'!$B$11,Paramètres!$A$1:$I$89,3,0)*VLOOKUP('Données projet'!$B$11,Paramètres!$A$1:$I$89,5,0)</f>
        <v>59.404800000000009</v>
      </c>
      <c r="BF25" s="13">
        <f t="shared" si="37"/>
        <v>17.017696573932373</v>
      </c>
      <c r="BG25" s="20">
        <f t="shared" si="7"/>
        <v>133.10251486626555</v>
      </c>
      <c r="BH25" s="59">
        <f t="shared" si="8"/>
        <v>426.43584819959887</v>
      </c>
      <c r="BI25" s="59">
        <f ca="1">AVERAGE(OFFSET($BH$3,0,0,'Données projet'!$E$11+1,1))-AVERAGE(OFFSET($H$3,0,0,'Données projet'!$E$11+1,1))</f>
        <v>114.02623091248347</v>
      </c>
      <c r="BJ25" s="59">
        <f t="shared" si="38"/>
        <v>185.51554083721635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3.1305628017521245</v>
      </c>
      <c r="BR25" s="21">
        <f>EXP(-LN(2)/2)*BR24+(1-EXP(-LN(2)/2))/(LN(2)/2)*BL25*BO25*VLOOKUP('Données projet'!$B$11,Paramètres!$A$1:$I$89,3,0)*0.475*44/12</f>
        <v>3.2970604503970695</v>
      </c>
      <c r="BS25" s="22">
        <f t="shared" si="9"/>
        <v>6.4276232521491945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6.3</v>
      </c>
      <c r="BY25" s="12">
        <f>IF('Données projet'!$A$114&gt;35,BY24+BX25-CG24,IF(A25&lt;'Données projet'!$A$114,$BV$205^A25,IF(A25='Données projet'!$A$114,'Données projet'!$B$114,BY24+BX25-CG24)))</f>
        <v>54.599999999999994</v>
      </c>
      <c r="BZ25" s="13">
        <f>BY25*VLOOKUP('Données projet'!$B$12,Paramètres!$A$1:$I$89,3,0)*VLOOKUP('Données projet'!$B$12,Paramètres!$A$1:$I$89,5,0)</f>
        <v>49.402079999999998</v>
      </c>
      <c r="CA25" s="13">
        <f t="shared" si="39"/>
        <v>14.459236264867963</v>
      </c>
      <c r="CB25" s="20">
        <f t="shared" si="10"/>
        <v>111.22512582797835</v>
      </c>
      <c r="CC25" s="59">
        <f t="shared" si="11"/>
        <v>404.55845916131165</v>
      </c>
      <c r="CD25" s="59">
        <f ca="1">AVERAGE(OFFSET($CC$3,0,0,'Données projet'!$E$12+1,1))-AVERAGE(OFFSET($H$3,0,0,'Données projet'!$E$12+1,1))</f>
        <v>237.22177246688199</v>
      </c>
      <c r="CE25" s="59">
        <f t="shared" si="40"/>
        <v>149.27472147904302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22.2</v>
      </c>
      <c r="CT25" s="12">
        <f>IF('Données projet'!$A$140&gt;35,CT24+CS25-DB24,IF(A25&lt;'Données projet'!$A$140,$CQ$205^A25,IF(A25='Données projet'!$A$140,'Données projet'!$B$140,CT24+CS25-DB24)))</f>
        <v>143.39999999999998</v>
      </c>
      <c r="CU25" s="17">
        <f>CT25*VLOOKUP('Données projet'!$B$13,Paramètres!$A$1:$I$89,3,0)*VLOOKUP('Données projet'!$B$13,Paramètres!$A$1:$I$89,5,0)</f>
        <v>80.160599999999988</v>
      </c>
      <c r="CV25" s="13">
        <f t="shared" si="41"/>
        <v>22.176447079115164</v>
      </c>
      <c r="CW25" s="20">
        <f t="shared" si="13"/>
        <v>178.23702366279221</v>
      </c>
      <c r="CX25" s="59">
        <f t="shared" si="14"/>
        <v>471.5703569961255</v>
      </c>
      <c r="CY25" s="59">
        <f ca="1">AVERAGE(OFFSET($CX$3,0,0,'Données projet'!$E$13+1,1))-AVERAGE(OFFSET($H$3,0,0,'Données projet'!$E$13+1,1))</f>
        <v>326.31232746914907</v>
      </c>
      <c r="CZ25" s="59">
        <f t="shared" si="42"/>
        <v>330.17137761430297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12.106473334900793</v>
      </c>
      <c r="DH25" s="21">
        <f>EXP(-LN(2)/2)*DH24+(1-EXP(-LN(2)/2))/(LN(2)/2)*DB25*DE25*VLOOKUP('Données projet'!$B$13,Paramètres!$A$1:$I$89,3,0)*0.475*44/12</f>
        <v>9.9684562054973895</v>
      </c>
      <c r="DI25" s="22">
        <f t="shared" si="15"/>
        <v>22.07492954039818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13.9</v>
      </c>
      <c r="DO25" s="12">
        <f>IF('Données projet'!$A$166&gt;35,DO24+DN25-DW24,IF(A25&lt;'Données projet'!$A$166,$DL$205^A25,IF(A25='Données projet'!$A$166,'Données projet'!$B$166,DO24+DN25-DW24)))</f>
        <v>108.80000000000001</v>
      </c>
      <c r="DP25" s="17">
        <f>DO25*VLOOKUP('Données projet'!$B$14,Paramètres!$A$1:$I$89,3,0)*VLOOKUP('Données projet'!$B$14,Paramètres!$A$1:$I$89,5,0)</f>
        <v>67.891200000000012</v>
      </c>
      <c r="DQ25" s="13">
        <f t="shared" si="43"/>
        <v>19.148839553800077</v>
      </c>
      <c r="DR25" s="20">
        <f t="shared" si="16"/>
        <v>151.59473555620181</v>
      </c>
      <c r="DS25" s="59">
        <f t="shared" si="17"/>
        <v>444.9280688895351</v>
      </c>
      <c r="DT25" s="59">
        <f ca="1">AVERAGE(OFFSET($DS$3,0,0,'Données projet'!$E$14+1,1))-AVERAGE(OFFSET($H$3,0,0,'Données projet'!$E$14+1,1))</f>
        <v>209.93608079129638</v>
      </c>
      <c r="DU25" s="59">
        <f t="shared" si="44"/>
        <v>240.15652428700969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8.6584502739489793</v>
      </c>
      <c r="EC25" s="21">
        <f>EXP(-LN(2)/2)*EC24+(1-EXP(-LN(2)/2))/(LN(2)/2)*DW25*DZ25*VLOOKUP('Données projet'!$B$14,Paramètres!$A$1:$I$89,3,0)*0.475*44/12</f>
        <v>6.5352448213227605</v>
      </c>
      <c r="ED25" s="22">
        <f t="shared" si="18"/>
        <v>15.193695095271739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13</v>
      </c>
      <c r="EJ25" s="12">
        <f>IF('Données projet'!$A$192&gt;35,EJ24+EI25-ER24,IF(A25&lt;'Données projet'!$A$192,$EG$205^A25,IF(A25='Données projet'!$A$192,'Données projet'!$B$192,EJ24+EI25-ER24)))</f>
        <v>114</v>
      </c>
      <c r="EK25" s="17">
        <f>EJ25*VLOOKUP('Données projet'!$B$15,Paramètres!$A$1:$I$89,3,0)*VLOOKUP('Données projet'!$B$15,Paramètres!$A$1:$I$89,5,0)</f>
        <v>68.172000000000011</v>
      </c>
      <c r="EL25" s="13">
        <f t="shared" si="45"/>
        <v>19.21880399855084</v>
      </c>
      <c r="EM25" s="20">
        <f t="shared" si="19"/>
        <v>152.20565029747607</v>
      </c>
      <c r="EN25" s="59">
        <f t="shared" si="20"/>
        <v>445.53898363080941</v>
      </c>
      <c r="EO25" s="59">
        <f ca="1">AVERAGE(OFFSET($EN$3,0,0,'Données projet'!$E$15+1,1))-AVERAGE(OFFSET($H$3,0,0,'Données projet'!$E$15+1,1))</f>
        <v>216.94426559495264</v>
      </c>
      <c r="EP25" s="59">
        <f t="shared" si="46"/>
        <v>225.33715877618704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0.50458874062709436</v>
      </c>
      <c r="EX25" s="21">
        <f>EXP(-LN(2)/2)*EX24+(1-EXP(-LN(2)/2))/(LN(2)/2)*ER25*EU25*VLOOKUP('Données projet'!$B$15,Paramètres!$A$1:$I$89,3,0)*0.475*44/12</f>
        <v>0.50780618544062006</v>
      </c>
      <c r="EY25" s="22">
        <f t="shared" si="21"/>
        <v>1.0123949260677145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15</v>
      </c>
      <c r="FE25" s="12">
        <f>IF('Données projet'!$A$218&gt;35,FE24+FD25-FM24,IF(A25&lt;'Données projet'!$A$218,$FB$205^A25,IF(A25='Données projet'!$A$218,'Données projet'!$B$218,FE24+FD25-FM24)))</f>
        <v>127</v>
      </c>
      <c r="FF25" s="17">
        <f>FE25*VLOOKUP('Données projet'!$B$16,Paramètres!$A$1:$I$89,3,0)*VLOOKUP('Données projet'!$B$16,Paramètres!$A$1:$I$89,5,0)</f>
        <v>75.945999999999998</v>
      </c>
      <c r="FG25" s="13">
        <f t="shared" si="47"/>
        <v>21.142979995226831</v>
      </c>
      <c r="FH25" s="20">
        <f t="shared" si="22"/>
        <v>169.09664015835338</v>
      </c>
      <c r="FI25" s="59">
        <f t="shared" si="23"/>
        <v>462.42997349168672</v>
      </c>
      <c r="FJ25" s="59">
        <f ca="1">AVERAGE(OFFSET($FI$3,0,0,'Données projet'!$E$16+1,1))-AVERAGE(OFFSET($H$3,0,0,'Données projet'!$E$16+1,1))</f>
        <v>168.08890945052406</v>
      </c>
      <c r="FK25" s="59">
        <f t="shared" si="48"/>
        <v>182.52462557642343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0.75485410472494885</v>
      </c>
      <c r="FR25" s="21">
        <f>EXP(-LN(2)/25)*FR24+(1-EXP(-LN(2)/25))/(LN(2)/25)*Calculateur!FM25*Calculateur!FO25*VLOOKUP('Données projet'!$B$16,Paramètres!$A$1:$I$89,3,0)*0.475*44/12</f>
        <v>5.5883835549849303</v>
      </c>
      <c r="FS25" s="21">
        <f>EXP(-LN(2)/2)*FS24+(1-EXP(-LN(2)/2))/(LN(2)/2)*FM25*FP25*VLOOKUP('Données projet'!$B$16,Paramètres!$A$1:$I$89,3,0)*0.475*44/12</f>
        <v>3.9862785557088674</v>
      </c>
      <c r="FT25" s="22">
        <f t="shared" si="24"/>
        <v>10.329516215418746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>
        <f>VLOOKUP(A25,'Données projet'!$A$243:$I$263,2,0)</f>
        <v>84</v>
      </c>
      <c r="FX25" s="12">
        <f>VLOOKUP(A25,'Données projet'!$A$243:$I$263,9,0)</f>
        <v>3.8181818181818183</v>
      </c>
      <c r="FY25" s="12">
        <f t="array" ref="FY25">INDEX(FX:FX,MIN(IF(ISNUMBER(FX25:FX221),ROW(FX25:FX221),"")))</f>
        <v>3.8181818181818183</v>
      </c>
      <c r="FZ25" s="12">
        <f>IF('Données projet'!$A$244&gt;35,FZ24+FY25-GH24,IF(A25&lt;'Données projet'!$A$244,$FW$205^A25,IF(A25='Données projet'!$A$244,'Données projet'!$B$244,FZ24+FY25-GH24)))</f>
        <v>84</v>
      </c>
      <c r="GA25" s="17">
        <f>FZ25*VLOOKUP('Données projet'!$B$17,Paramètres!$A$1:$I$89,3,0)*VLOOKUP('Données projet'!$B$17,Paramètres!$A$1:$I$89,5,0)</f>
        <v>48.048000000000002</v>
      </c>
      <c r="GB25" s="13">
        <f t="shared" si="49"/>
        <v>14.108484750160615</v>
      </c>
      <c r="GC25" s="20">
        <f t="shared" si="25"/>
        <v>108.25587760652974</v>
      </c>
      <c r="GD25" s="59">
        <f t="shared" si="26"/>
        <v>401.58921093986305</v>
      </c>
      <c r="GE25" s="59">
        <f ca="1">AVERAGE(OFFSET($GD$3,0,0,'Données projet'!$E$17+1,1))-AVERAGE(OFFSET($H$3,0,0,'Données projet'!$E$17+1,1))</f>
        <v>196.95560009657527</v>
      </c>
      <c r="GF25" s="59">
        <f t="shared" si="50"/>
        <v>168.90186968005662</v>
      </c>
      <c r="GG25" s="15">
        <f>IF(ISNA(VLOOKUP(A25,'Données projet'!$A$243:$I$263,3,0)),0,VLOOKUP(A25,'Données projet'!$A$243:$I$263,3,0))</f>
        <v>1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9.1999999999999993</v>
      </c>
      <c r="N26" s="13">
        <f>IF('Données projet'!$A$36&gt;35,N25+M26-V25,IF(A26&lt;'Données projet'!$A$36,$K$205^A26,IF(A26='Données projet'!$A$36,'Données projet'!$B$36,N25+M26-V25)))</f>
        <v>173.09999999999997</v>
      </c>
      <c r="O26" s="13">
        <f>N26*VLOOKUP('Données projet'!$B$9,Paramètres!$A$1:$I$89,3,0)*VLOOKUP('Données projet'!$B$9,Paramètres!$A$1:$I$89,5,0)</f>
        <v>81.010799999999989</v>
      </c>
      <c r="P26" s="13">
        <f t="shared" si="33"/>
        <v>22.384149091932141</v>
      </c>
      <c r="Q26" s="20">
        <f t="shared" si="2"/>
        <v>180.07953633511511</v>
      </c>
      <c r="R26" s="59">
        <f t="shared" si="0"/>
        <v>473.41286966844842</v>
      </c>
      <c r="S26" s="59">
        <f ca="1">AVERAGE(OFFSET($R$3,0,0,'Données projet'!$E$9+1,1))-AVERAGE(OFFSET($H$3,0,0,'Données projet'!$E$9+1,1))</f>
        <v>215.23235148064941</v>
      </c>
      <c r="T26" s="59">
        <f t="shared" si="34"/>
        <v>184.07239726900434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1.9560500307153104</v>
      </c>
      <c r="AB26" s="21">
        <f>EXP(-LN(2)/2)*AB25+(1-EXP(-LN(2)/2))/(LN(2)/2)*V26*Y26*VLOOKUP('Données projet'!$B$9,Paramètres!$A$1:$I$89,3,0)*0.475*44/12</f>
        <v>1.170890860609356</v>
      </c>
      <c r="AC26" s="22">
        <f t="shared" si="3"/>
        <v>3.1269408913246663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12.2</v>
      </c>
      <c r="AI26" s="13">
        <f>IF('Données projet'!$A$62&gt;35,AI25+AH26-AQ25,IF(A26&lt;'Données projet'!$A$62,$AF$205^A26,IF(A26='Données projet'!$A$62,'Données projet'!$B$62,AI25+AH26-AQ25)))</f>
        <v>88.600000000000009</v>
      </c>
      <c r="AJ26" s="13">
        <f>AI26*VLOOKUP('Données projet'!$B$10,Paramètres!$A$1:$I$89,3,0)*VLOOKUP('Données projet'!$B$10,Paramètres!$A$1:$I$89,5,0)</f>
        <v>64.961520000000007</v>
      </c>
      <c r="AK26" s="13">
        <f t="shared" si="35"/>
        <v>18.416837829271401</v>
      </c>
      <c r="AL26" s="20">
        <f t="shared" si="4"/>
        <v>145.21730655264767</v>
      </c>
      <c r="AM26" s="59">
        <f t="shared" si="5"/>
        <v>438.55063988598101</v>
      </c>
      <c r="AN26" s="59">
        <f ca="1">AVERAGE(OFFSET($AM$3,0,0,'Données projet'!$E$10+1,1))-AVERAGE(OFFSET($H$3,0,0,'Données projet'!$E$10+1,1))</f>
        <v>178.12968684094687</v>
      </c>
      <c r="AO26" s="59">
        <f t="shared" si="36"/>
        <v>219.36004077210373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3.4340730468535874</v>
      </c>
      <c r="AW26" s="21">
        <f>EXP(-LN(2)/2)*AW25+(1-EXP(-LN(2)/2))/(LN(2)/2)*AQ26*AT26*VLOOKUP('Données projet'!$B$10,Paramètres!$A$1:$I$89,3,0)*0.475*44/12</f>
        <v>2.629300476990565</v>
      </c>
      <c r="AX26" s="21">
        <f t="shared" si="6"/>
        <v>6.0633735238441524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7.5</v>
      </c>
      <c r="BD26" s="12">
        <f>IF('Données projet'!$A$88&gt;35,BD25+BC26-BL25,IF(A26&lt;'Données projet'!$A$88,$BA$205^A26,IF(A26='Données projet'!$A$88,'Données projet'!$B$88,BD25+BC26-BL25)))</f>
        <v>75.5</v>
      </c>
      <c r="BE26" s="13">
        <f>BD26*VLOOKUP('Données projet'!$B$11,Paramètres!$A$1:$I$89,3,0)*VLOOKUP('Données projet'!$B$11,Paramètres!$A$1:$I$89,5,0)</f>
        <v>65.956800000000001</v>
      </c>
      <c r="BF26" s="13">
        <f t="shared" si="37"/>
        <v>18.665938349746916</v>
      </c>
      <c r="BG26" s="20">
        <f t="shared" si="7"/>
        <v>147.38460262580921</v>
      </c>
      <c r="BH26" s="59">
        <f t="shared" si="8"/>
        <v>440.71793595914255</v>
      </c>
      <c r="BI26" s="59">
        <f ca="1">AVERAGE(OFFSET($BH$3,0,0,'Données projet'!$E$11+1,1))-AVERAGE(OFFSET($H$3,0,0,'Données projet'!$E$11+1,1))</f>
        <v>114.02623091248347</v>
      </c>
      <c r="BJ26" s="59">
        <f t="shared" si="38"/>
        <v>185.51554083721635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3.0449573973090698</v>
      </c>
      <c r="BR26" s="21">
        <f>EXP(-LN(2)/2)*BR25+(1-EXP(-LN(2)/2))/(LN(2)/2)*BL26*BO26*VLOOKUP('Données projet'!$B$11,Paramètres!$A$1:$I$89,3,0)*0.475*44/12</f>
        <v>2.3313738024577408</v>
      </c>
      <c r="BS26" s="22">
        <f t="shared" si="9"/>
        <v>5.3763311997668106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6.3</v>
      </c>
      <c r="BY26" s="12">
        <f>IF('Données projet'!$A$114&gt;35,BY25+BX26-CG25,IF(A26&lt;'Données projet'!$A$114,$BV$205^A26,IF(A26='Données projet'!$A$114,'Données projet'!$B$114,BY25+BX26-CG25)))</f>
        <v>60.899999999999991</v>
      </c>
      <c r="BZ26" s="13">
        <f>BY26*VLOOKUP('Données projet'!$B$12,Paramètres!$A$1:$I$89,3,0)*VLOOKUP('Données projet'!$B$12,Paramètres!$A$1:$I$89,5,0)</f>
        <v>55.102319999999992</v>
      </c>
      <c r="CA26" s="13">
        <f t="shared" si="39"/>
        <v>15.923912218988239</v>
      </c>
      <c r="CB26" s="20">
        <f t="shared" si="10"/>
        <v>123.70402111473783</v>
      </c>
      <c r="CC26" s="59">
        <f t="shared" si="11"/>
        <v>417.03735444807114</v>
      </c>
      <c r="CD26" s="59">
        <f ca="1">AVERAGE(OFFSET($CC$3,0,0,'Données projet'!$E$12+1,1))-AVERAGE(OFFSET($H$3,0,0,'Données projet'!$E$12+1,1))</f>
        <v>237.22177246688199</v>
      </c>
      <c r="CE26" s="59">
        <f t="shared" si="40"/>
        <v>149.27472147904302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22.2</v>
      </c>
      <c r="CT26" s="12">
        <f>IF('Données projet'!$A$140&gt;35,CT25+CS26-DB25,IF(A26&lt;'Données projet'!$A$140,$CQ$205^A26,IF(A26='Données projet'!$A$140,'Données projet'!$B$140,CT25+CS26-DB25)))</f>
        <v>165.59999999999997</v>
      </c>
      <c r="CU26" s="17">
        <f>CT26*VLOOKUP('Données projet'!$B$13,Paramètres!$A$1:$I$89,3,0)*VLOOKUP('Données projet'!$B$13,Paramètres!$A$1:$I$89,5,0)</f>
        <v>92.570399999999978</v>
      </c>
      <c r="CV26" s="13">
        <f t="shared" si="41"/>
        <v>25.184123943972491</v>
      </c>
      <c r="CW26" s="20">
        <f t="shared" si="13"/>
        <v>205.08912920241869</v>
      </c>
      <c r="CX26" s="59">
        <f t="shared" si="14"/>
        <v>498.422462535752</v>
      </c>
      <c r="CY26" s="59">
        <f ca="1">AVERAGE(OFFSET($CX$3,0,0,'Données projet'!$E$13+1,1))-AVERAGE(OFFSET($H$3,0,0,'Données projet'!$E$13+1,1))</f>
        <v>326.31232746914907</v>
      </c>
      <c r="CZ26" s="59">
        <f t="shared" si="42"/>
        <v>330.17137761430297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11.775421184906168</v>
      </c>
      <c r="DH26" s="21">
        <f>EXP(-LN(2)/2)*DH25+(1-EXP(-LN(2)/2))/(LN(2)/2)*DB26*DE26*VLOOKUP('Données projet'!$B$13,Paramètres!$A$1:$I$89,3,0)*0.475*44/12</f>
        <v>7.0487629808683252</v>
      </c>
      <c r="DI26" s="22">
        <f t="shared" si="15"/>
        <v>18.824184165774493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13.9</v>
      </c>
      <c r="DO26" s="12">
        <f>IF('Données projet'!$A$166&gt;35,DO25+DN26-DW25,IF(A26&lt;'Données projet'!$A$166,$DL$205^A26,IF(A26='Données projet'!$A$166,'Données projet'!$B$166,DO25+DN26-DW25)))</f>
        <v>122.70000000000002</v>
      </c>
      <c r="DP26" s="17">
        <f>DO26*VLOOKUP('Données projet'!$B$14,Paramètres!$A$1:$I$89,3,0)*VLOOKUP('Données projet'!$B$14,Paramètres!$A$1:$I$89,5,0)</f>
        <v>76.56480000000002</v>
      </c>
      <c r="DQ26" s="13">
        <f t="shared" si="43"/>
        <v>21.295126483826621</v>
      </c>
      <c r="DR26" s="20">
        <f t="shared" si="16"/>
        <v>170.4393719593314</v>
      </c>
      <c r="DS26" s="59">
        <f t="shared" si="17"/>
        <v>463.77270529266468</v>
      </c>
      <c r="DT26" s="59">
        <f ca="1">AVERAGE(OFFSET($DS$3,0,0,'Données projet'!$E$14+1,1))-AVERAGE(OFFSET($H$3,0,0,'Données projet'!$E$14+1,1))</f>
        <v>209.93608079129638</v>
      </c>
      <c r="DU26" s="59">
        <f t="shared" si="44"/>
        <v>240.15652428700969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8.4216844958797346</v>
      </c>
      <c r="EC26" s="21">
        <f>EXP(-LN(2)/2)*EC25+(1-EXP(-LN(2)/2))/(LN(2)/2)*DW26*DZ26*VLOOKUP('Données projet'!$B$14,Paramètres!$A$1:$I$89,3,0)*0.475*44/12</f>
        <v>4.6211159298715918</v>
      </c>
      <c r="ED26" s="22">
        <f t="shared" si="18"/>
        <v>13.042800425751327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13</v>
      </c>
      <c r="EJ26" s="12">
        <f>IF('Données projet'!$A$192&gt;35,EJ25+EI26-ER25,IF(A26&lt;'Données projet'!$A$192,$EG$205^A26,IF(A26='Données projet'!$A$192,'Données projet'!$B$192,EJ25+EI26-ER25)))</f>
        <v>127</v>
      </c>
      <c r="EK26" s="17">
        <f>EJ26*VLOOKUP('Données projet'!$B$15,Paramètres!$A$1:$I$89,3,0)*VLOOKUP('Données projet'!$B$15,Paramètres!$A$1:$I$89,5,0)</f>
        <v>75.945999999999998</v>
      </c>
      <c r="EL26" s="13">
        <f t="shared" si="45"/>
        <v>21.142979995226831</v>
      </c>
      <c r="EM26" s="20">
        <f t="shared" si="19"/>
        <v>169.09664015835338</v>
      </c>
      <c r="EN26" s="59">
        <f t="shared" si="20"/>
        <v>462.42997349168672</v>
      </c>
      <c r="EO26" s="59">
        <f ca="1">AVERAGE(OFFSET($EN$3,0,0,'Données projet'!$E$15+1,1))-AVERAGE(OFFSET($H$3,0,0,'Données projet'!$E$15+1,1))</f>
        <v>216.94426559495264</v>
      </c>
      <c r="EP26" s="59">
        <f t="shared" si="46"/>
        <v>225.33715877618704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0.49079073497947784</v>
      </c>
      <c r="EX26" s="21">
        <f>EXP(-LN(2)/2)*EX25+(1-EXP(-LN(2)/2))/(LN(2)/2)*ER26*EU26*VLOOKUP('Données projet'!$B$15,Paramètres!$A$1:$I$89,3,0)*0.475*44/12</f>
        <v>0.35907319725353593</v>
      </c>
      <c r="EY26" s="22">
        <f t="shared" si="21"/>
        <v>0.84986393223301371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15</v>
      </c>
      <c r="FE26" s="12">
        <f>IF('Données projet'!$A$218&gt;35,FE25+FD26-FM25,IF(A26&lt;'Données projet'!$A$218,$FB$205^A26,IF(A26='Données projet'!$A$218,'Données projet'!$B$218,FE25+FD26-FM25)))</f>
        <v>142</v>
      </c>
      <c r="FF26" s="17">
        <f>FE26*VLOOKUP('Données projet'!$B$16,Paramètres!$A$1:$I$89,3,0)*VLOOKUP('Données projet'!$B$16,Paramètres!$A$1:$I$89,5,0)</f>
        <v>84.916000000000011</v>
      </c>
      <c r="FG26" s="13">
        <f t="shared" si="47"/>
        <v>23.33496813320572</v>
      </c>
      <c r="FH26" s="20">
        <f t="shared" si="22"/>
        <v>188.53710283199996</v>
      </c>
      <c r="FI26" s="59">
        <f t="shared" si="23"/>
        <v>481.87043616533327</v>
      </c>
      <c r="FJ26" s="59">
        <f ca="1">AVERAGE(OFFSET($FI$3,0,0,'Données projet'!$E$16+1,1))-AVERAGE(OFFSET($H$3,0,0,'Données projet'!$E$16+1,1))</f>
        <v>168.08890945052406</v>
      </c>
      <c r="FK26" s="59">
        <f t="shared" si="48"/>
        <v>182.52462557642343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0.74005187614683421</v>
      </c>
      <c r="FR26" s="21">
        <f>EXP(-LN(2)/25)*FR25+(1-EXP(-LN(2)/25))/(LN(2)/25)*Calculateur!FM26*Calculateur!FO26*VLOOKUP('Données projet'!$B$16,Paramètres!$A$1:$I$89,3,0)*0.475*44/12</f>
        <v>5.4355689127935483</v>
      </c>
      <c r="FS26" s="21">
        <f>EXP(-LN(2)/2)*FS25+(1-EXP(-LN(2)/2))/(LN(2)/2)*FM26*FP26*VLOOKUP('Données projet'!$B$16,Paramètres!$A$1:$I$89,3,0)*0.475*44/12</f>
        <v>2.8187245984402569</v>
      </c>
      <c r="FT26" s="22">
        <f t="shared" si="24"/>
        <v>8.9943453873806405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15.666666666666666</v>
      </c>
      <c r="FZ26" s="12">
        <f>IF('Données projet'!$A$244&gt;35,FZ25+FY26-GH25,IF(A26&lt;'Données projet'!$A$244,$FW$205^A26,IF(A26='Données projet'!$A$244,'Données projet'!$B$244,FZ25+FY26-GH25)))</f>
        <v>99.666666666666671</v>
      </c>
      <c r="GA26" s="17">
        <f>FZ26*VLOOKUP('Données projet'!$B$17,Paramètres!$A$1:$I$89,3,0)*VLOOKUP('Données projet'!$B$17,Paramètres!$A$1:$I$89,5,0)</f>
        <v>57.009333333333345</v>
      </c>
      <c r="GB26" s="13">
        <f t="shared" si="49"/>
        <v>16.409899347168675</v>
      </c>
      <c r="GC26" s="20">
        <f t="shared" si="25"/>
        <v>127.87183025187436</v>
      </c>
      <c r="GD26" s="59">
        <f t="shared" si="26"/>
        <v>421.20516358520769</v>
      </c>
      <c r="GE26" s="59">
        <f ca="1">AVERAGE(OFFSET($GD$3,0,0,'Données projet'!$E$17+1,1))-AVERAGE(OFFSET($H$3,0,0,'Données projet'!$E$17+1,1))</f>
        <v>196.95560009657527</v>
      </c>
      <c r="GF26" s="59">
        <f t="shared" si="50"/>
        <v>168.90186968005662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9.1999999999999993</v>
      </c>
      <c r="N27" s="13">
        <f>IF('Données projet'!$A$36&gt;35,N26+M27-V26,IF(A27&lt;'Données projet'!$A$36,$K$205^A27,IF(A27='Données projet'!$A$36,'Données projet'!$B$36,N26+M27-V26)))</f>
        <v>182.29999999999995</v>
      </c>
      <c r="O27" s="13">
        <f>N27*VLOOKUP('Données projet'!$B$9,Paramètres!$A$1:$I$89,3,0)*VLOOKUP('Données projet'!$B$9,Paramètres!$A$1:$I$89,5,0)</f>
        <v>85.316399999999987</v>
      </c>
      <c r="P27" s="13">
        <f t="shared" si="33"/>
        <v>23.432164150529264</v>
      </c>
      <c r="Q27" s="20">
        <f t="shared" si="2"/>
        <v>189.40374922883845</v>
      </c>
      <c r="R27" s="59">
        <f t="shared" si="0"/>
        <v>482.73708256217174</v>
      </c>
      <c r="S27" s="59">
        <f ca="1">AVERAGE(OFFSET($R$3,0,0,'Données projet'!$E$9+1,1))-AVERAGE(OFFSET($H$3,0,0,'Données projet'!$E$9+1,1))</f>
        <v>215.23235148064941</v>
      </c>
      <c r="T27" s="59">
        <f t="shared" si="34"/>
        <v>184.07239726900434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1.9025617397611998</v>
      </c>
      <c r="AB27" s="21">
        <f>EXP(-LN(2)/2)*AB26+(1-EXP(-LN(2)/2))/(LN(2)/2)*V27*Y27*VLOOKUP('Données projet'!$B$9,Paramètres!$A$1:$I$89,3,0)*0.475*44/12</f>
        <v>0.8279448675662282</v>
      </c>
      <c r="AC27" s="22">
        <f t="shared" si="3"/>
        <v>2.730506607327428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12.2</v>
      </c>
      <c r="AI27" s="13">
        <f>IF('Données projet'!$A$62&gt;35,AI26+AH27-AQ26,IF(A27&lt;'Données projet'!$A$62,$AF$205^A27,IF(A27='Données projet'!$A$62,'Données projet'!$B$62,AI26+AH27-AQ26)))</f>
        <v>100.80000000000001</v>
      </c>
      <c r="AJ27" s="13">
        <f>AI27*VLOOKUP('Données projet'!$B$10,Paramètres!$A$1:$I$89,3,0)*VLOOKUP('Données projet'!$B$10,Paramètres!$A$1:$I$89,5,0)</f>
        <v>73.906560000000013</v>
      </c>
      <c r="AK27" s="13">
        <f t="shared" si="35"/>
        <v>20.640506648584481</v>
      </c>
      <c r="AL27" s="20">
        <f t="shared" si="4"/>
        <v>164.6694744129513</v>
      </c>
      <c r="AM27" s="59">
        <f t="shared" si="5"/>
        <v>458.00280774628459</v>
      </c>
      <c r="AN27" s="59">
        <f ca="1">AVERAGE(OFFSET($AM$3,0,0,'Données projet'!$E$10+1,1))-AVERAGE(OFFSET($H$3,0,0,'Données projet'!$E$10+1,1))</f>
        <v>178.12968684094687</v>
      </c>
      <c r="AO27" s="59">
        <f t="shared" si="36"/>
        <v>219.36004077210373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3.3401681387973232</v>
      </c>
      <c r="AW27" s="21">
        <f>EXP(-LN(2)/2)*AW26+(1-EXP(-LN(2)/2))/(LN(2)/2)*AQ27*AT27*VLOOKUP('Données projet'!$B$10,Paramètres!$A$1:$I$89,3,0)*0.475*44/12</f>
        <v>1.8591961970570525</v>
      </c>
      <c r="AX27" s="21">
        <f t="shared" si="6"/>
        <v>5.1993643358543755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7.5</v>
      </c>
      <c r="BD27" s="12">
        <f>IF('Données projet'!$A$88&gt;35,BD26+BC27-BL26,IF(A27&lt;'Données projet'!$A$88,$BA$205^A27,IF(A27='Données projet'!$A$88,'Données projet'!$B$88,BD26+BC27-BL26)))</f>
        <v>83</v>
      </c>
      <c r="BE27" s="13">
        <f>BD27*VLOOKUP('Données projet'!$B$11,Paramètres!$A$1:$I$89,3,0)*VLOOKUP('Données projet'!$B$11,Paramètres!$A$1:$I$89,5,0)</f>
        <v>72.508800000000008</v>
      </c>
      <c r="BF27" s="13">
        <f t="shared" si="37"/>
        <v>20.295198486462837</v>
      </c>
      <c r="BG27" s="20">
        <f t="shared" si="7"/>
        <v>161.63363069725611</v>
      </c>
      <c r="BH27" s="59">
        <f t="shared" si="8"/>
        <v>454.96696403058945</v>
      </c>
      <c r="BI27" s="59">
        <f ca="1">AVERAGE(OFFSET($BH$3,0,0,'Données projet'!$E$11+1,1))-AVERAGE(OFFSET($H$3,0,0,'Données projet'!$E$11+1,1))</f>
        <v>114.02623091248347</v>
      </c>
      <c r="BJ27" s="59">
        <f t="shared" si="38"/>
        <v>185.51554083721635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2.961692877152303</v>
      </c>
      <c r="BR27" s="21">
        <f>EXP(-LN(2)/2)*BR26+(1-EXP(-LN(2)/2))/(LN(2)/2)*BL27*BO27*VLOOKUP('Données projet'!$B$11,Paramètres!$A$1:$I$89,3,0)*0.475*44/12</f>
        <v>1.6485302251985352</v>
      </c>
      <c r="BS27" s="22">
        <f t="shared" si="9"/>
        <v>4.6102231023508384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6.3</v>
      </c>
      <c r="BY27" s="12">
        <f>IF('Données projet'!$A$114&gt;35,BY26+BX27-CG26,IF(A27&lt;'Données projet'!$A$114,$BV$205^A27,IF(A27='Données projet'!$A$114,'Données projet'!$B$114,BY26+BX27-CG26)))</f>
        <v>67.199999999999989</v>
      </c>
      <c r="BZ27" s="13">
        <f>BY27*VLOOKUP('Données projet'!$B$12,Paramètres!$A$1:$I$89,3,0)*VLOOKUP('Données projet'!$B$12,Paramètres!$A$1:$I$89,5,0)</f>
        <v>60.802559999999993</v>
      </c>
      <c r="CA27" s="13">
        <f t="shared" si="39"/>
        <v>17.371024177726472</v>
      </c>
      <c r="CB27" s="20">
        <f t="shared" si="10"/>
        <v>136.15232577620694</v>
      </c>
      <c r="CC27" s="59">
        <f t="shared" si="11"/>
        <v>429.48565910954028</v>
      </c>
      <c r="CD27" s="59">
        <f ca="1">AVERAGE(OFFSET($CC$3,0,0,'Données projet'!$E$12+1,1))-AVERAGE(OFFSET($H$3,0,0,'Données projet'!$E$12+1,1))</f>
        <v>237.22177246688199</v>
      </c>
      <c r="CE27" s="59">
        <f t="shared" si="40"/>
        <v>149.27472147904302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22.2</v>
      </c>
      <c r="CT27" s="12">
        <f>IF('Données projet'!$A$140&gt;35,CT26+CS27-DB26,IF(A27&lt;'Données projet'!$A$140,$CQ$205^A27,IF(A27='Données projet'!$A$140,'Données projet'!$B$140,CT26+CS27-DB26)))</f>
        <v>187.79999999999995</v>
      </c>
      <c r="CU27" s="17">
        <f>CT27*VLOOKUP('Données projet'!$B$13,Paramètres!$A$1:$I$89,3,0)*VLOOKUP('Données projet'!$B$13,Paramètres!$A$1:$I$89,5,0)</f>
        <v>104.98019999999997</v>
      </c>
      <c r="CV27" s="13">
        <f t="shared" si="41"/>
        <v>28.145084690033578</v>
      </c>
      <c r="CW27" s="20">
        <f t="shared" si="13"/>
        <v>231.85987083514172</v>
      </c>
      <c r="CX27" s="59">
        <f t="shared" si="14"/>
        <v>525.19320416847506</v>
      </c>
      <c r="CY27" s="59">
        <f ca="1">AVERAGE(OFFSET($CX$3,0,0,'Données projet'!$E$13+1,1))-AVERAGE(OFFSET($H$3,0,0,'Données projet'!$E$13+1,1))</f>
        <v>326.31232746914907</v>
      </c>
      <c r="CZ27" s="59">
        <f t="shared" si="42"/>
        <v>330.17137761430297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11.453421673362422</v>
      </c>
      <c r="DH27" s="21">
        <f>EXP(-LN(2)/2)*DH26+(1-EXP(-LN(2)/2))/(LN(2)/2)*DB27*DE27*VLOOKUP('Données projet'!$B$13,Paramètres!$A$1:$I$89,3,0)*0.475*44/12</f>
        <v>4.9842281027486957</v>
      </c>
      <c r="DI27" s="22">
        <f t="shared" si="15"/>
        <v>16.437649776111119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13.9</v>
      </c>
      <c r="DO27" s="12">
        <f>IF('Données projet'!$A$166&gt;35,DO26+DN27-DW26,IF(A27&lt;'Données projet'!$A$166,$DL$205^A27,IF(A27='Données projet'!$A$166,'Données projet'!$B$166,DO26+DN27-DW26)))</f>
        <v>136.60000000000002</v>
      </c>
      <c r="DP27" s="17">
        <f>DO27*VLOOKUP('Données projet'!$B$14,Paramètres!$A$1:$I$89,3,0)*VLOOKUP('Données projet'!$B$14,Paramètres!$A$1:$I$89,5,0)</f>
        <v>85.238400000000013</v>
      </c>
      <c r="DQ27" s="13">
        <f t="shared" si="43"/>
        <v>23.413234033238567</v>
      </c>
      <c r="DR27" s="20">
        <f t="shared" si="16"/>
        <v>189.2349292745572</v>
      </c>
      <c r="DS27" s="59">
        <f t="shared" si="17"/>
        <v>482.56826260789052</v>
      </c>
      <c r="DT27" s="59">
        <f ca="1">AVERAGE(OFFSET($DS$3,0,0,'Données projet'!$E$14+1,1))-AVERAGE(OFFSET($H$3,0,0,'Données projet'!$E$14+1,1))</f>
        <v>209.93608079129638</v>
      </c>
      <c r="DU27" s="59">
        <f t="shared" si="44"/>
        <v>240.15652428700969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8.1913930904627641</v>
      </c>
      <c r="EC27" s="21">
        <f>EXP(-LN(2)/2)*EC26+(1-EXP(-LN(2)/2))/(LN(2)/2)*DW27*DZ27*VLOOKUP('Données projet'!$B$14,Paramètres!$A$1:$I$89,3,0)*0.475*44/12</f>
        <v>3.2676224106613811</v>
      </c>
      <c r="ED27" s="22">
        <f t="shared" si="18"/>
        <v>11.459015501124146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13</v>
      </c>
      <c r="EJ27" s="12">
        <f>IF('Données projet'!$A$192&gt;35,EJ26+EI27-ER26,IF(A27&lt;'Données projet'!$A$192,$EG$205^A27,IF(A27='Données projet'!$A$192,'Données projet'!$B$192,EJ26+EI27-ER26)))</f>
        <v>140</v>
      </c>
      <c r="EK27" s="17">
        <f>EJ27*VLOOKUP('Données projet'!$B$15,Paramètres!$A$1:$I$89,3,0)*VLOOKUP('Données projet'!$B$15,Paramètres!$A$1:$I$89,5,0)</f>
        <v>83.720000000000013</v>
      </c>
      <c r="EL27" s="13">
        <f t="shared" si="45"/>
        <v>23.044323503842598</v>
      </c>
      <c r="EM27" s="20">
        <f t="shared" si="19"/>
        <v>185.9478634358592</v>
      </c>
      <c r="EN27" s="59">
        <f t="shared" si="20"/>
        <v>479.28119676919255</v>
      </c>
      <c r="EO27" s="59">
        <f ca="1">AVERAGE(OFFSET($EN$3,0,0,'Données projet'!$E$15+1,1))-AVERAGE(OFFSET($H$3,0,0,'Données projet'!$E$15+1,1))</f>
        <v>216.94426559495264</v>
      </c>
      <c r="EP27" s="59">
        <f t="shared" si="46"/>
        <v>225.33715877618704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0.47737003652190096</v>
      </c>
      <c r="EX27" s="21">
        <f>EXP(-LN(2)/2)*EX26+(1-EXP(-LN(2)/2))/(LN(2)/2)*ER27*EU27*VLOOKUP('Données projet'!$B$15,Paramètres!$A$1:$I$89,3,0)*0.475*44/12</f>
        <v>0.25390309272031009</v>
      </c>
      <c r="EY27" s="22">
        <f t="shared" si="21"/>
        <v>0.731273129242211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>
        <f>VLOOKUP(A27,'Données projet'!$A$217:$I$237,2,0)</f>
        <v>157</v>
      </c>
      <c r="FC27" s="12">
        <f>VLOOKUP(A27,'Données projet'!$A$217:$I$237,9,0)</f>
        <v>15</v>
      </c>
      <c r="FD27" s="12">
        <f t="array" ref="FD27">INDEX(FC:FC,MIN(IF(ISNUMBER(FC27:FC223),ROW(FC27:FC223),"")))</f>
        <v>15</v>
      </c>
      <c r="FE27" s="12">
        <f>IF('Données projet'!$A$218&gt;35,FE26+FD27-FM26,IF(A27&lt;'Données projet'!$A$218,$FB$205^A27,IF(A27='Données projet'!$A$218,'Données projet'!$B$218,FE26+FD27-FM26)))</f>
        <v>157</v>
      </c>
      <c r="FF27" s="17">
        <f>FE27*VLOOKUP('Données projet'!$B$16,Paramètres!$A$1:$I$89,3,0)*VLOOKUP('Données projet'!$B$16,Paramètres!$A$1:$I$89,5,0)</f>
        <v>93.885999999999996</v>
      </c>
      <c r="FG27" s="13">
        <f t="shared" si="47"/>
        <v>25.500116461916402</v>
      </c>
      <c r="FH27" s="20">
        <f t="shared" si="22"/>
        <v>207.9308195045044</v>
      </c>
      <c r="FI27" s="59">
        <f t="shared" si="23"/>
        <v>501.26415283783774</v>
      </c>
      <c r="FJ27" s="59">
        <f ca="1">AVERAGE(OFFSET($FI$3,0,0,'Données projet'!$E$16+1,1))-AVERAGE(OFFSET($H$3,0,0,'Données projet'!$E$16+1,1))</f>
        <v>168.08890945052406</v>
      </c>
      <c r="FK27" s="59">
        <f t="shared" si="48"/>
        <v>182.52462557642343</v>
      </c>
      <c r="FL27" s="15">
        <f>IF(ISNA(VLOOKUP(A27,'Données projet'!$A$217:$I$237,3,0)),0,VLOOKUP(A27,'Données projet'!$A$217:$I$237,3,0))</f>
        <v>3</v>
      </c>
      <c r="FM27" s="15">
        <f>IF(ISNA(VLOOKUP(A27,'Données projet'!$A$217:$I$237,4,0)),0,VLOOKUP(A27,'Données projet'!$A$217:$I$237,4,0))</f>
        <v>31</v>
      </c>
      <c r="FN27" s="16">
        <f>IF(ISNA(VLOOKUP(A27,'Données projet'!$A$217:$I$237,5,0)),0%,VLOOKUP(A27,'Données projet'!$A$217:$I$237,5,0)*VLOOKUP('Données projet'!$B$16,Paramètres!$A$1:$I$89,7,0))</f>
        <v>9.0000000000000011E-2</v>
      </c>
      <c r="FO27" s="16">
        <f>IF(ISNA(VLOOKUP(A27,'Données projet'!$A$217:$I$237,6,0)),0%,VLOOKUP(A27,'Données projet'!$A$217:$I$237,6,0)*VLOOKUP('Données projet'!$B$16,Paramètres!$A$1:$I$89,7,0))</f>
        <v>0.18000000000000002</v>
      </c>
      <c r="FP27" s="16">
        <f>IF(ISNA(VLOOKUP(A27,'Données projet'!$A$217:$I$237,7,0)),0%,VLOOKUP(A27,'Données projet'!$A$217:$I$237,7,0))</f>
        <v>0.4</v>
      </c>
      <c r="FQ27" s="21">
        <f>EXP(-LN(2)/35)*FQ26+(1-EXP(-LN(2)/35))/(LN(2)/35)*FM27*FN27*VLOOKUP('Données projet'!$B$16,Paramètres!$A$1:$I$89,3,0)*0.475*44/12</f>
        <v>2.9388065789871067</v>
      </c>
      <c r="FR27" s="21">
        <f>EXP(-LN(2)/25)*FR26+(1-EXP(-LN(2)/25))/(LN(2)/25)*Calculateur!FM27*Calculateur!FO27*VLOOKUP('Données projet'!$B$16,Paramètres!$A$1:$I$89,3,0)*0.475*44/12</f>
        <v>9.6960373841268126</v>
      </c>
      <c r="FS27" s="21">
        <f>EXP(-LN(2)/2)*FS26+(1-EXP(-LN(2)/2))/(LN(2)/2)*FM27*FP27*VLOOKUP('Données projet'!$B$16,Paramètres!$A$1:$I$89,3,0)*0.475*44/12</f>
        <v>10.388868210472685</v>
      </c>
      <c r="FT27" s="22">
        <f t="shared" si="24"/>
        <v>23.023712173586603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15.666666666666666</v>
      </c>
      <c r="FZ27" s="12">
        <f>IF('Données projet'!$A$244&gt;35,FZ26+FY27-GH26,IF(A27&lt;'Données projet'!$A$244,$FW$205^A27,IF(A27='Données projet'!$A$244,'Données projet'!$B$244,FZ26+FY27-GH26)))</f>
        <v>115.33333333333334</v>
      </c>
      <c r="GA27" s="17">
        <f>FZ27*VLOOKUP('Données projet'!$B$17,Paramètres!$A$1:$I$89,3,0)*VLOOKUP('Données projet'!$B$17,Paramètres!$A$1:$I$89,5,0)</f>
        <v>65.970666666666673</v>
      </c>
      <c r="GB27" s="13">
        <f t="shared" si="49"/>
        <v>18.669405819805228</v>
      </c>
      <c r="GC27" s="20">
        <f t="shared" si="25"/>
        <v>147.41479291393856</v>
      </c>
      <c r="GD27" s="59">
        <f t="shared" si="26"/>
        <v>440.7481262472719</v>
      </c>
      <c r="GE27" s="59">
        <f ca="1">AVERAGE(OFFSET($GD$3,0,0,'Données projet'!$E$17+1,1))-AVERAGE(OFFSET($H$3,0,0,'Données projet'!$E$17+1,1))</f>
        <v>196.95560009657527</v>
      </c>
      <c r="GF27" s="59">
        <f t="shared" si="50"/>
        <v>168.90186968005662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9.1999999999999993</v>
      </c>
      <c r="N28" s="13">
        <f>IF('Données projet'!$A$36&gt;35,N27+M28-V27,IF(A28&lt;'Données projet'!$A$36,$K$205^A28,IF(A28='Données projet'!$A$36,'Données projet'!$B$36,N27+M28-V27)))</f>
        <v>191.49999999999994</v>
      </c>
      <c r="O28" s="13">
        <f>N28*VLOOKUP('Données projet'!$B$9,Paramètres!$A$1:$I$89,3,0)*VLOOKUP('Données projet'!$B$9,Paramètres!$A$1:$I$89,5,0)</f>
        <v>89.621999999999986</v>
      </c>
      <c r="P28" s="13">
        <f t="shared" si="33"/>
        <v>24.47403817697321</v>
      </c>
      <c r="Q28" s="20">
        <f t="shared" si="2"/>
        <v>198.71726649156165</v>
      </c>
      <c r="R28" s="59">
        <f t="shared" si="0"/>
        <v>492.05059982489496</v>
      </c>
      <c r="S28" s="59">
        <f ca="1">AVERAGE(OFFSET($R$3,0,0,'Données projet'!$E$9+1,1))-AVERAGE(OFFSET($H$3,0,0,'Données projet'!$E$9+1,1))</f>
        <v>215.23235148064941</v>
      </c>
      <c r="T28" s="59">
        <f t="shared" si="34"/>
        <v>184.07239726900434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1.8505360889360563</v>
      </c>
      <c r="AB28" s="21">
        <f>EXP(-LN(2)/2)*AB27+(1-EXP(-LN(2)/2))/(LN(2)/2)*V28*Y28*VLOOKUP('Données projet'!$B$9,Paramètres!$A$1:$I$89,3,0)*0.475*44/12</f>
        <v>0.58544543030467799</v>
      </c>
      <c r="AC28" s="22">
        <f t="shared" si="3"/>
        <v>2.4359815192407344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12.2</v>
      </c>
      <c r="AI28" s="13">
        <f>IF('Données projet'!$A$62&gt;35,AI27+AH28-AQ27,IF(A28&lt;'Données projet'!$A$62,$AF$205^A28,IF(A28='Données projet'!$A$62,'Données projet'!$B$62,AI27+AH28-AQ27)))</f>
        <v>113.00000000000001</v>
      </c>
      <c r="AJ28" s="13">
        <f>AI28*VLOOKUP('Données projet'!$B$10,Paramètres!$A$1:$I$89,3,0)*VLOOKUP('Données projet'!$B$10,Paramètres!$A$1:$I$89,5,0)</f>
        <v>82.851600000000019</v>
      </c>
      <c r="AK28" s="13">
        <f t="shared" si="35"/>
        <v>22.832987552808163</v>
      </c>
      <c r="AL28" s="20">
        <f t="shared" si="4"/>
        <v>184.06732332114089</v>
      </c>
      <c r="AM28" s="59">
        <f t="shared" si="5"/>
        <v>477.40065665447423</v>
      </c>
      <c r="AN28" s="59">
        <f ca="1">AVERAGE(OFFSET($AM$3,0,0,'Données projet'!$E$10+1,1))-AVERAGE(OFFSET($H$3,0,0,'Données projet'!$E$10+1,1))</f>
        <v>178.12968684094687</v>
      </c>
      <c r="AO28" s="59">
        <f t="shared" si="36"/>
        <v>219.36004077210373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3.2488310653901022</v>
      </c>
      <c r="AW28" s="21">
        <f>EXP(-LN(2)/2)*AW27+(1-EXP(-LN(2)/2))/(LN(2)/2)*AQ28*AT28*VLOOKUP('Données projet'!$B$10,Paramètres!$A$1:$I$89,3,0)*0.475*44/12</f>
        <v>1.3146502384952827</v>
      </c>
      <c r="AX28" s="21">
        <f t="shared" si="6"/>
        <v>4.5634813038853848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7.5</v>
      </c>
      <c r="BD28" s="12">
        <f>IF('Données projet'!$A$88&gt;35,BD27+BC28-BL27,IF(A28&lt;'Données projet'!$A$88,$BA$205^A28,IF(A28='Données projet'!$A$88,'Données projet'!$B$88,BD27+BC28-BL27)))</f>
        <v>90.5</v>
      </c>
      <c r="BE28" s="13">
        <f>BD28*VLOOKUP('Données projet'!$B$11,Paramètres!$A$1:$I$89,3,0)*VLOOKUP('Données projet'!$B$11,Paramètres!$A$1:$I$89,5,0)</f>
        <v>79.060800000000015</v>
      </c>
      <c r="BF28" s="13">
        <f t="shared" si="37"/>
        <v>21.907387251084057</v>
      </c>
      <c r="BG28" s="20">
        <f t="shared" si="7"/>
        <v>175.8529261289714</v>
      </c>
      <c r="BH28" s="59">
        <f t="shared" si="8"/>
        <v>469.18625946230475</v>
      </c>
      <c r="BI28" s="59">
        <f ca="1">AVERAGE(OFFSET($BH$3,0,0,'Données projet'!$E$11+1,1))-AVERAGE(OFFSET($H$3,0,0,'Données projet'!$E$11+1,1))</f>
        <v>114.02623091248347</v>
      </c>
      <c r="BJ28" s="59">
        <f t="shared" si="38"/>
        <v>185.51554083721635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2.8807052296779139</v>
      </c>
      <c r="BR28" s="21">
        <f>EXP(-LN(2)/2)*BR27+(1-EXP(-LN(2)/2))/(LN(2)/2)*BL28*BO28*VLOOKUP('Données projet'!$B$11,Paramètres!$A$1:$I$89,3,0)*0.475*44/12</f>
        <v>1.1656869012288706</v>
      </c>
      <c r="BS28" s="22">
        <f t="shared" si="9"/>
        <v>4.046392130906785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6.3</v>
      </c>
      <c r="BY28" s="12">
        <f>IF('Données projet'!$A$114&gt;35,BY27+BX28-CG27,IF(A28&lt;'Données projet'!$A$114,$BV$205^A28,IF(A28='Données projet'!$A$114,'Données projet'!$B$114,BY27+BX28-CG27)))</f>
        <v>73.499999999999986</v>
      </c>
      <c r="BZ28" s="13">
        <f>BY28*VLOOKUP('Données projet'!$B$12,Paramètres!$A$1:$I$89,3,0)*VLOOKUP('Données projet'!$B$12,Paramètres!$A$1:$I$89,5,0)</f>
        <v>66.502799999999979</v>
      </c>
      <c r="CA28" s="13">
        <f t="shared" si="39"/>
        <v>18.802406075407909</v>
      </c>
      <c r="CB28" s="20">
        <f t="shared" si="10"/>
        <v>148.57323391466869</v>
      </c>
      <c r="CC28" s="59">
        <f t="shared" si="11"/>
        <v>441.90656724800203</v>
      </c>
      <c r="CD28" s="59">
        <f ca="1">AVERAGE(OFFSET($CC$3,0,0,'Données projet'!$E$12+1,1))-AVERAGE(OFFSET($H$3,0,0,'Données projet'!$E$12+1,1))</f>
        <v>237.22177246688199</v>
      </c>
      <c r="CE28" s="59">
        <f t="shared" si="40"/>
        <v>149.27472147904302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22.2</v>
      </c>
      <c r="CT28" s="12">
        <f>IF('Données projet'!$A$140&gt;35,CT27+CS28-DB27,IF(A28&lt;'Données projet'!$A$140,$CQ$205^A28,IF(A28='Données projet'!$A$140,'Données projet'!$B$140,CT27+CS28-DB27)))</f>
        <v>209.99999999999994</v>
      </c>
      <c r="CU28" s="17">
        <f>CT28*VLOOKUP('Données projet'!$B$13,Paramètres!$A$1:$I$89,3,0)*VLOOKUP('Données projet'!$B$13,Paramètres!$A$1:$I$89,5,0)</f>
        <v>117.38999999999996</v>
      </c>
      <c r="CV28" s="13">
        <f t="shared" si="41"/>
        <v>31.065482772413461</v>
      </c>
      <c r="CW28" s="20">
        <f t="shared" si="13"/>
        <v>258.55996582862002</v>
      </c>
      <c r="CX28" s="59">
        <f t="shared" si="14"/>
        <v>551.89329916195334</v>
      </c>
      <c r="CY28" s="59">
        <f ca="1">AVERAGE(OFFSET($CX$3,0,0,'Données projet'!$E$13+1,1))-AVERAGE(OFFSET($H$3,0,0,'Données projet'!$E$13+1,1))</f>
        <v>326.31232746914907</v>
      </c>
      <c r="CZ28" s="59">
        <f t="shared" si="42"/>
        <v>330.17137761430297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11.140227255395057</v>
      </c>
      <c r="DH28" s="21">
        <f>EXP(-LN(2)/2)*DH27+(1-EXP(-LN(2)/2))/(LN(2)/2)*DB28*DE28*VLOOKUP('Données projet'!$B$13,Paramètres!$A$1:$I$89,3,0)*0.475*44/12</f>
        <v>3.524381490434163</v>
      </c>
      <c r="DI28" s="22">
        <f t="shared" si="15"/>
        <v>14.66460874582922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13.9</v>
      </c>
      <c r="DO28" s="12">
        <f>IF('Données projet'!$A$166&gt;35,DO27+DN28-DW27,IF(A28&lt;'Données projet'!$A$166,$DL$205^A28,IF(A28='Données projet'!$A$166,'Données projet'!$B$166,DO27+DN28-DW27)))</f>
        <v>150.50000000000003</v>
      </c>
      <c r="DP28" s="17">
        <f>DO28*VLOOKUP('Données projet'!$B$14,Paramètres!$A$1:$I$89,3,0)*VLOOKUP('Données projet'!$B$14,Paramètres!$A$1:$I$89,5,0)</f>
        <v>93.91200000000002</v>
      </c>
      <c r="DQ28" s="13">
        <f t="shared" si="43"/>
        <v>25.506356157232645</v>
      </c>
      <c r="DR28" s="20">
        <f t="shared" si="16"/>
        <v>207.9869703071802</v>
      </c>
      <c r="DS28" s="59">
        <f t="shared" si="17"/>
        <v>501.32030364051354</v>
      </c>
      <c r="DT28" s="59">
        <f ca="1">AVERAGE(OFFSET($DS$3,0,0,'Données projet'!$E$14+1,1))-AVERAGE(OFFSET($H$3,0,0,'Données projet'!$E$14+1,1))</f>
        <v>209.93608079129638</v>
      </c>
      <c r="DU28" s="59">
        <f t="shared" si="44"/>
        <v>240.15652428700969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7.9673990156374188</v>
      </c>
      <c r="EC28" s="21">
        <f>EXP(-LN(2)/2)*EC27+(1-EXP(-LN(2)/2))/(LN(2)/2)*DW28*DZ28*VLOOKUP('Données projet'!$B$14,Paramètres!$A$1:$I$89,3,0)*0.475*44/12</f>
        <v>2.3105579649357963</v>
      </c>
      <c r="ED28" s="22">
        <f t="shared" si="18"/>
        <v>10.277956980573215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13</v>
      </c>
      <c r="EJ28" s="12">
        <f>IF('Données projet'!$A$192&gt;35,EJ27+EI28-ER27,IF(A28&lt;'Données projet'!$A$192,$EG$205^A28,IF(A28='Données projet'!$A$192,'Données projet'!$B$192,EJ27+EI28-ER27)))</f>
        <v>153</v>
      </c>
      <c r="EK28" s="17">
        <f>EJ28*VLOOKUP('Données projet'!$B$15,Paramètres!$A$1:$I$89,3,0)*VLOOKUP('Données projet'!$B$15,Paramètres!$A$1:$I$89,5,0)</f>
        <v>91.494000000000014</v>
      </c>
      <c r="EL28" s="13">
        <f t="shared" si="45"/>
        <v>24.925195840896542</v>
      </c>
      <c r="EM28" s="20">
        <f t="shared" si="19"/>
        <v>202.76343275622813</v>
      </c>
      <c r="EN28" s="59">
        <f t="shared" si="20"/>
        <v>496.09676608956147</v>
      </c>
      <c r="EO28" s="59">
        <f ca="1">AVERAGE(OFFSET($EN$3,0,0,'Données projet'!$E$15+1,1))-AVERAGE(OFFSET($H$3,0,0,'Données projet'!$E$15+1,1))</f>
        <v>216.94426559495264</v>
      </c>
      <c r="EP28" s="59">
        <f t="shared" si="46"/>
        <v>225.33715877618704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0.4643163277694104</v>
      </c>
      <c r="EX28" s="21">
        <f>EXP(-LN(2)/2)*EX27+(1-EXP(-LN(2)/2))/(LN(2)/2)*ER28*EU28*VLOOKUP('Données projet'!$B$15,Paramètres!$A$1:$I$89,3,0)*0.475*44/12</f>
        <v>0.17953659862676799</v>
      </c>
      <c r="EY28" s="22">
        <f t="shared" si="21"/>
        <v>0.64385292639617842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16</v>
      </c>
      <c r="FE28" s="12">
        <f>IF('Données projet'!$A$218&gt;35,FE27+FD28-FM27,IF(A28&lt;'Données projet'!$A$218,$FB$205^A28,IF(A28='Données projet'!$A$218,'Données projet'!$B$218,FE27+FD28-FM27)))</f>
        <v>142</v>
      </c>
      <c r="FF28" s="17">
        <f>FE28*VLOOKUP('Données projet'!$B$16,Paramètres!$A$1:$I$89,3,0)*VLOOKUP('Données projet'!$B$16,Paramètres!$A$1:$I$89,5,0)</f>
        <v>84.916000000000011</v>
      </c>
      <c r="FG28" s="13">
        <f t="shared" si="47"/>
        <v>23.33496813320572</v>
      </c>
      <c r="FH28" s="20">
        <f t="shared" si="22"/>
        <v>188.53710283199996</v>
      </c>
      <c r="FI28" s="59">
        <f t="shared" si="23"/>
        <v>481.87043616533327</v>
      </c>
      <c r="FJ28" s="59">
        <f ca="1">AVERAGE(OFFSET($FI$3,0,0,'Données projet'!$E$16+1,1))-AVERAGE(OFFSET($H$3,0,0,'Données projet'!$E$16+1,1))</f>
        <v>168.08890945052406</v>
      </c>
      <c r="FK28" s="59">
        <f t="shared" si="48"/>
        <v>182.52462557642343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2.8811783744681887</v>
      </c>
      <c r="FR28" s="21">
        <f>EXP(-LN(2)/25)*FR27+(1-EXP(-LN(2)/25))/(LN(2)/25)*Calculateur!FM28*Calculateur!FO28*VLOOKUP('Données projet'!$B$16,Paramètres!$A$1:$I$89,3,0)*0.475*44/12</f>
        <v>9.4308987319654189</v>
      </c>
      <c r="FS28" s="21">
        <f>EXP(-LN(2)/2)*FS27+(1-EXP(-LN(2)/2))/(LN(2)/2)*FM28*FP28*VLOOKUP('Données projet'!$B$16,Paramètres!$A$1:$I$89,3,0)*0.475*44/12</f>
        <v>7.3460391604785888</v>
      </c>
      <c r="FT28" s="22">
        <f t="shared" si="24"/>
        <v>19.658116266912195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>
        <f>VLOOKUP(A28,'Données projet'!$A$243:$I$263,2,0)</f>
        <v>131</v>
      </c>
      <c r="FX28" s="12">
        <f>VLOOKUP(A28,'Données projet'!$A$243:$I$263,9,0)</f>
        <v>15.666666666666666</v>
      </c>
      <c r="FY28" s="12">
        <f t="array" ref="FY28">INDEX(FX:FX,MIN(IF(ISNUMBER(FX28:FX224),ROW(FX28:FX224),"")))</f>
        <v>15.666666666666666</v>
      </c>
      <c r="FZ28" s="12">
        <f>IF('Données projet'!$A$244&gt;35,FZ27+FY28-GH27,IF(A28&lt;'Données projet'!$A$244,$FW$205^A28,IF(A28='Données projet'!$A$244,'Données projet'!$B$244,FZ27+FY28-GH27)))</f>
        <v>131</v>
      </c>
      <c r="GA28" s="17">
        <f>FZ28*VLOOKUP('Données projet'!$B$17,Paramètres!$A$1:$I$89,3,0)*VLOOKUP('Données projet'!$B$17,Paramètres!$A$1:$I$89,5,0)</f>
        <v>74.932000000000002</v>
      </c>
      <c r="GB28" s="13">
        <f t="shared" si="49"/>
        <v>20.89335159903294</v>
      </c>
      <c r="GC28" s="20">
        <f t="shared" si="25"/>
        <v>166.89582070164903</v>
      </c>
      <c r="GD28" s="59">
        <f t="shared" si="26"/>
        <v>460.22915403498234</v>
      </c>
      <c r="GE28" s="59">
        <f ca="1">AVERAGE(OFFSET($GD$3,0,0,'Données projet'!$E$17+1,1))-AVERAGE(OFFSET($H$3,0,0,'Données projet'!$E$17+1,1))</f>
        <v>196.95560009657527</v>
      </c>
      <c r="GF28" s="59">
        <f t="shared" si="50"/>
        <v>168.90186968005662</v>
      </c>
      <c r="GG28" s="15">
        <f>IF(ISNA(VLOOKUP(A28,'Données projet'!$A$243:$I$263,3,0)),0,VLOOKUP(A28,'Données projet'!$A$243:$I$263,3,0))</f>
        <v>2</v>
      </c>
      <c r="GH28" s="15">
        <f>IF(ISNA(VLOOKUP(A28,'Données projet'!$A$243:$I$263,4,0)),0,VLOOKUP(A28,'Données projet'!$A$243:$I$263,4,0))</f>
        <v>21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0.22500000000000001</v>
      </c>
      <c r="GK28" s="16">
        <f>IF(ISNA(VLOOKUP(A28,'Données projet'!$A$243:$I$263,7,0)),0%,VLOOKUP(A28,'Données projet'!$A$243:$I$263,7,0))</f>
        <v>0.5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3.5711890388554708</v>
      </c>
      <c r="GN28" s="21">
        <f>EXP(-LN(2)/2)*GN27+(1-EXP(-LN(2)/2))/(LN(2)/2)*GH28*GK28*VLOOKUP('Données projet'!$B$17,Paramètres!$A$1:$I$89,3,0)*0.475*44/12</f>
        <v>6.8001871789439541</v>
      </c>
      <c r="GO28" s="21">
        <f t="shared" si="27"/>
        <v>10.371376217799424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9.1999999999999993</v>
      </c>
      <c r="N29" s="13">
        <f>IF('Données projet'!$A$36&gt;35,N28+M29-V28,IF(A29&lt;'Données projet'!$A$36,$K$205^A29,IF(A29='Données projet'!$A$36,'Données projet'!$B$36,N28+M29-V28)))</f>
        <v>200.69999999999993</v>
      </c>
      <c r="O29" s="13">
        <f>N29*VLOOKUP('Données projet'!$B$9,Paramètres!$A$1:$I$89,3,0)*VLOOKUP('Données projet'!$B$9,Paramètres!$A$1:$I$89,5,0)</f>
        <v>93.927599999999956</v>
      </c>
      <c r="P29" s="13">
        <f t="shared" si="33"/>
        <v>25.510099877901624</v>
      </c>
      <c r="Q29" s="20">
        <f t="shared" si="2"/>
        <v>208.02066062067857</v>
      </c>
      <c r="R29" s="59">
        <f t="shared" si="0"/>
        <v>501.35399395401191</v>
      </c>
      <c r="S29" s="59">
        <f ca="1">AVERAGE(OFFSET($R$3,0,0,'Données projet'!$E$9+1,1))-AVERAGE(OFFSET($H$3,0,0,'Données projet'!$E$9+1,1))</f>
        <v>215.23235148064941</v>
      </c>
      <c r="T29" s="59">
        <f t="shared" si="34"/>
        <v>184.07239726900434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1.7999330822686364</v>
      </c>
      <c r="AB29" s="21">
        <f>EXP(-LN(2)/2)*AB28+(1-EXP(-LN(2)/2))/(LN(2)/2)*V29*Y29*VLOOKUP('Données projet'!$B$9,Paramètres!$A$1:$I$89,3,0)*0.475*44/12</f>
        <v>0.4139724337831141</v>
      </c>
      <c r="AC29" s="22">
        <f t="shared" si="3"/>
        <v>2.2139055160517502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12.2</v>
      </c>
      <c r="AI29" s="13">
        <f>IF('Données projet'!$A$62&gt;35,AI28+AH29-AQ28,IF(A29&lt;'Données projet'!$A$62,$AF$205^A29,IF(A29='Données projet'!$A$62,'Données projet'!$B$62,AI28+AH29-AQ28)))</f>
        <v>125.20000000000002</v>
      </c>
      <c r="AJ29" s="13">
        <f>AI29*VLOOKUP('Données projet'!$B$10,Paramètres!$A$1:$I$89,3,0)*VLOOKUP('Données projet'!$B$10,Paramètres!$A$1:$I$89,5,0)</f>
        <v>91.796640000000011</v>
      </c>
      <c r="AK29" s="13">
        <f t="shared" si="35"/>
        <v>24.998031572688671</v>
      </c>
      <c r="AL29" s="20">
        <f t="shared" si="4"/>
        <v>203.41738632243278</v>
      </c>
      <c r="AM29" s="59">
        <f t="shared" si="5"/>
        <v>496.75071965576609</v>
      </c>
      <c r="AN29" s="59">
        <f ca="1">AVERAGE(OFFSET($AM$3,0,0,'Données projet'!$E$10+1,1))-AVERAGE(OFFSET($H$3,0,0,'Données projet'!$E$10+1,1))</f>
        <v>178.12968684094687</v>
      </c>
      <c r="AO29" s="59">
        <f t="shared" si="36"/>
        <v>219.36004077210373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3.1599916090584093</v>
      </c>
      <c r="AW29" s="21">
        <f>EXP(-LN(2)/2)*AW28+(1-EXP(-LN(2)/2))/(LN(2)/2)*AQ29*AT29*VLOOKUP('Données projet'!$B$10,Paramètres!$A$1:$I$89,3,0)*0.475*44/12</f>
        <v>0.92959809852852648</v>
      </c>
      <c r="AX29" s="21">
        <f t="shared" si="6"/>
        <v>4.0895897075869359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7.5</v>
      </c>
      <c r="BD29" s="12">
        <f>IF('Données projet'!$A$88&gt;35,BD28+BC29-BL28,IF(A29&lt;'Données projet'!$A$88,$BA$205^A29,IF(A29='Données projet'!$A$88,'Données projet'!$B$88,BD28+BC29-BL28)))</f>
        <v>98</v>
      </c>
      <c r="BE29" s="13">
        <f>BD29*VLOOKUP('Données projet'!$B$11,Paramètres!$A$1:$I$89,3,0)*VLOOKUP('Données projet'!$B$11,Paramètres!$A$1:$I$89,5,0)</f>
        <v>85.612800000000007</v>
      </c>
      <c r="BF29" s="13">
        <f t="shared" si="37"/>
        <v>23.504080242391282</v>
      </c>
      <c r="BG29" s="20">
        <f t="shared" si="7"/>
        <v>190.04523308883151</v>
      </c>
      <c r="BH29" s="59">
        <f t="shared" si="8"/>
        <v>483.37856642216479</v>
      </c>
      <c r="BI29" s="59">
        <f ca="1">AVERAGE(OFFSET($BH$3,0,0,'Données projet'!$E$11+1,1))-AVERAGE(OFFSET($H$3,0,0,'Données projet'!$E$11+1,1))</f>
        <v>114.02623091248347</v>
      </c>
      <c r="BJ29" s="59">
        <f t="shared" si="38"/>
        <v>185.51554083721635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2.8019321936826671</v>
      </c>
      <c r="BR29" s="21">
        <f>EXP(-LN(2)/2)*BR28+(1-EXP(-LN(2)/2))/(LN(2)/2)*BL29*BO29*VLOOKUP('Données projet'!$B$11,Paramètres!$A$1:$I$89,3,0)*0.475*44/12</f>
        <v>0.82426511259926771</v>
      </c>
      <c r="BS29" s="22">
        <f t="shared" si="9"/>
        <v>3.6261973062819348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6.3</v>
      </c>
      <c r="BY29" s="12">
        <f>IF('Données projet'!$A$114&gt;35,BY28+BX29-CG28,IF(A29&lt;'Données projet'!$A$114,$BV$205^A29,IF(A29='Données projet'!$A$114,'Données projet'!$B$114,BY28+BX29-CG28)))</f>
        <v>79.799999999999983</v>
      </c>
      <c r="BZ29" s="13">
        <f>BY29*VLOOKUP('Données projet'!$B$12,Paramètres!$A$1:$I$89,3,0)*VLOOKUP('Données projet'!$B$12,Paramètres!$A$1:$I$89,5,0)</f>
        <v>72.203039999999973</v>
      </c>
      <c r="CA29" s="13">
        <f t="shared" si="39"/>
        <v>20.219559499787128</v>
      </c>
      <c r="CB29" s="20">
        <f t="shared" si="10"/>
        <v>160.96936079546251</v>
      </c>
      <c r="CC29" s="59">
        <f t="shared" si="11"/>
        <v>454.30269412879579</v>
      </c>
      <c r="CD29" s="59">
        <f ca="1">AVERAGE(OFFSET($CC$3,0,0,'Données projet'!$E$12+1,1))-AVERAGE(OFFSET($H$3,0,0,'Données projet'!$E$12+1,1))</f>
        <v>237.22177246688199</v>
      </c>
      <c r="CE29" s="59">
        <f t="shared" si="40"/>
        <v>149.27472147904302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22.2</v>
      </c>
      <c r="CT29" s="12">
        <f>IF('Données projet'!$A$140&gt;35,CT28+CS29-DB28,IF(A29&lt;'Données projet'!$A$140,$CQ$205^A29,IF(A29='Données projet'!$A$140,'Données projet'!$B$140,CT28+CS29-DB28)))</f>
        <v>232.19999999999993</v>
      </c>
      <c r="CU29" s="17">
        <f>CT29*VLOOKUP('Données projet'!$B$13,Paramètres!$A$1:$I$89,3,0)*VLOOKUP('Données projet'!$B$13,Paramètres!$A$1:$I$89,5,0)</f>
        <v>129.79979999999998</v>
      </c>
      <c r="CV29" s="13">
        <f t="shared" si="41"/>
        <v>33.950094841766401</v>
      </c>
      <c r="CW29" s="20">
        <f t="shared" si="13"/>
        <v>285.19773351607643</v>
      </c>
      <c r="CX29" s="59">
        <f t="shared" si="14"/>
        <v>578.53106684940974</v>
      </c>
      <c r="CY29" s="59">
        <f ca="1">AVERAGE(OFFSET($CX$3,0,0,'Données projet'!$E$13+1,1))-AVERAGE(OFFSET($H$3,0,0,'Données projet'!$E$13+1,1))</f>
        <v>326.31232746914907</v>
      </c>
      <c r="CZ29" s="59">
        <f t="shared" si="42"/>
        <v>330.17137761430297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10.83559715525719</v>
      </c>
      <c r="DH29" s="21">
        <f>EXP(-LN(2)/2)*DH28+(1-EXP(-LN(2)/2))/(LN(2)/2)*DB29*DE29*VLOOKUP('Données projet'!$B$13,Paramètres!$A$1:$I$89,3,0)*0.475*44/12</f>
        <v>2.4921140513743483</v>
      </c>
      <c r="DI29" s="22">
        <f t="shared" si="15"/>
        <v>13.327711206631538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13.9</v>
      </c>
      <c r="DO29" s="12">
        <f>IF('Données projet'!$A$166&gt;35,DO28+DN29-DW28,IF(A29&lt;'Données projet'!$A$166,$DL$205^A29,IF(A29='Données projet'!$A$166,'Données projet'!$B$166,DO28+DN29-DW28)))</f>
        <v>164.40000000000003</v>
      </c>
      <c r="DP29" s="17">
        <f>DO29*VLOOKUP('Données projet'!$B$14,Paramètres!$A$1:$I$89,3,0)*VLOOKUP('Données projet'!$B$14,Paramètres!$A$1:$I$89,5,0)</f>
        <v>102.58560000000003</v>
      </c>
      <c r="DQ29" s="13">
        <f t="shared" si="43"/>
        <v>27.577062948792328</v>
      </c>
      <c r="DR29" s="20">
        <f t="shared" si="16"/>
        <v>226.69997130248001</v>
      </c>
      <c r="DS29" s="59">
        <f t="shared" si="17"/>
        <v>520.03330463581335</v>
      </c>
      <c r="DT29" s="59">
        <f ca="1">AVERAGE(OFFSET($DS$3,0,0,'Données projet'!$E$14+1,1))-AVERAGE(OFFSET($H$3,0,0,'Données projet'!$E$14+1,1))</f>
        <v>209.93608079129638</v>
      </c>
      <c r="DU29" s="59">
        <f t="shared" si="44"/>
        <v>240.15652428700969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7.7495300705675092</v>
      </c>
      <c r="EC29" s="21">
        <f>EXP(-LN(2)/2)*EC28+(1-EXP(-LN(2)/2))/(LN(2)/2)*DW29*DZ29*VLOOKUP('Données projet'!$B$14,Paramètres!$A$1:$I$89,3,0)*0.475*44/12</f>
        <v>1.6338112053306908</v>
      </c>
      <c r="ED29" s="22">
        <f t="shared" si="18"/>
        <v>9.3833412758982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13</v>
      </c>
      <c r="EJ29" s="12">
        <f>IF('Données projet'!$A$192&gt;35,EJ28+EI29-ER28,IF(A29&lt;'Données projet'!$A$192,$EG$205^A29,IF(A29='Données projet'!$A$192,'Données projet'!$B$192,EJ28+EI29-ER28)))</f>
        <v>166</v>
      </c>
      <c r="EK29" s="17">
        <f>EJ29*VLOOKUP('Données projet'!$B$15,Paramètres!$A$1:$I$89,3,0)*VLOOKUP('Données projet'!$B$15,Paramètres!$A$1:$I$89,5,0)</f>
        <v>99.268000000000001</v>
      </c>
      <c r="EL29" s="13">
        <f t="shared" si="45"/>
        <v>26.78753414535981</v>
      </c>
      <c r="EM29" s="20">
        <f t="shared" si="19"/>
        <v>219.54672196983498</v>
      </c>
      <c r="EN29" s="59">
        <f t="shared" si="20"/>
        <v>512.88005530316832</v>
      </c>
      <c r="EO29" s="59">
        <f ca="1">AVERAGE(OFFSET($EN$3,0,0,'Données projet'!$E$15+1,1))-AVERAGE(OFFSET($H$3,0,0,'Données projet'!$E$15+1,1))</f>
        <v>216.94426559495264</v>
      </c>
      <c r="EP29" s="59">
        <f t="shared" si="46"/>
        <v>225.33715877618704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0.45161957336922143</v>
      </c>
      <c r="EX29" s="21">
        <f>EXP(-LN(2)/2)*EX28+(1-EXP(-LN(2)/2))/(LN(2)/2)*ER29*EU29*VLOOKUP('Données projet'!$B$15,Paramètres!$A$1:$I$89,3,0)*0.475*44/12</f>
        <v>0.12695154636015504</v>
      </c>
      <c r="EY29" s="22">
        <f t="shared" si="21"/>
        <v>0.57857111972937647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16</v>
      </c>
      <c r="FE29" s="12">
        <f>IF('Données projet'!$A$218&gt;35,FE28+FD29-FM28,IF(A29&lt;'Données projet'!$A$218,$FB$205^A29,IF(A29='Données projet'!$A$218,'Données projet'!$B$218,FE28+FD29-FM28)))</f>
        <v>158</v>
      </c>
      <c r="FF29" s="17">
        <f>FE29*VLOOKUP('Données projet'!$B$16,Paramètres!$A$1:$I$89,3,0)*VLOOKUP('Données projet'!$B$16,Paramètres!$A$1:$I$89,5,0)</f>
        <v>94.484000000000009</v>
      </c>
      <c r="FG29" s="13">
        <f t="shared" si="47"/>
        <v>25.643578691511802</v>
      </c>
      <c r="FH29" s="20">
        <f t="shared" si="22"/>
        <v>209.22219955438308</v>
      </c>
      <c r="FI29" s="59">
        <f t="shared" si="23"/>
        <v>502.55553288771637</v>
      </c>
      <c r="FJ29" s="59">
        <f ca="1">AVERAGE(OFFSET($FI$3,0,0,'Données projet'!$E$16+1,1))-AVERAGE(OFFSET($H$3,0,0,'Données projet'!$E$16+1,1))</f>
        <v>168.08890945052406</v>
      </c>
      <c r="FK29" s="59">
        <f t="shared" si="48"/>
        <v>182.52462557642343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2.8246802238901525</v>
      </c>
      <c r="FR29" s="21">
        <f>EXP(-LN(2)/25)*FR28+(1-EXP(-LN(2)/25))/(LN(2)/25)*Calculateur!FM29*Calculateur!FO29*VLOOKUP('Données projet'!$B$16,Paramètres!$A$1:$I$89,3,0)*0.475*44/12</f>
        <v>9.1730103101904152</v>
      </c>
      <c r="FS29" s="21">
        <f>EXP(-LN(2)/2)*FS28+(1-EXP(-LN(2)/2))/(LN(2)/2)*FM29*FP29*VLOOKUP('Données projet'!$B$16,Paramètres!$A$1:$I$89,3,0)*0.475*44/12</f>
        <v>5.1944341052363434</v>
      </c>
      <c r="FT29" s="22">
        <f t="shared" si="24"/>
        <v>17.192124639316912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14.4</v>
      </c>
      <c r="FZ29" s="12">
        <f>IF('Données projet'!$A$244&gt;35,FZ28+FY29-GH28,IF(A29&lt;'Données projet'!$A$244,$FW$205^A29,IF(A29='Données projet'!$A$244,'Données projet'!$B$244,FZ28+FY29-GH28)))</f>
        <v>124.4</v>
      </c>
      <c r="GA29" s="17">
        <f>FZ29*VLOOKUP('Données projet'!$B$17,Paramètres!$A$1:$I$89,3,0)*VLOOKUP('Données projet'!$B$17,Paramètres!$A$1:$I$89,5,0)</f>
        <v>71.156800000000004</v>
      </c>
      <c r="GB29" s="13">
        <f t="shared" si="49"/>
        <v>19.960457167255548</v>
      </c>
      <c r="GC29" s="20">
        <f t="shared" si="25"/>
        <v>158.69588956630341</v>
      </c>
      <c r="GD29" s="59">
        <f t="shared" si="26"/>
        <v>452.02922289963669</v>
      </c>
      <c r="GE29" s="59">
        <f ca="1">AVERAGE(OFFSET($GD$3,0,0,'Données projet'!$E$17+1,1))-AVERAGE(OFFSET($H$3,0,0,'Données projet'!$E$17+1,1))</f>
        <v>196.95560009657527</v>
      </c>
      <c r="GF29" s="59">
        <f t="shared" si="50"/>
        <v>168.90186968005662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3.4735346867872985</v>
      </c>
      <c r="GN29" s="21">
        <f>EXP(-LN(2)/2)*GN28+(1-EXP(-LN(2)/2))/(LN(2)/2)*GH29*GK29*VLOOKUP('Données projet'!$B$17,Paramètres!$A$1:$I$89,3,0)*0.475*44/12</f>
        <v>4.8084584675690891</v>
      </c>
      <c r="GO29" s="21">
        <f t="shared" si="27"/>
        <v>8.2819931543563872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9.1999999999999993</v>
      </c>
      <c r="N30" s="13">
        <f>IF('Données projet'!$A$36&gt;35,N29+M30-V29,IF(A30&lt;'Données projet'!$A$36,$K$205^A30,IF(A30='Données projet'!$A$36,'Données projet'!$B$36,N29+M30-V29)))</f>
        <v>209.89999999999992</v>
      </c>
      <c r="O30" s="13">
        <f>N30*VLOOKUP('Données projet'!$B$9,Paramètres!$A$1:$I$89,3,0)*VLOOKUP('Données projet'!$B$9,Paramètres!$A$1:$I$89,5,0)</f>
        <v>98.233199999999954</v>
      </c>
      <c r="P30" s="13">
        <f t="shared" si="33"/>
        <v>26.540646121089583</v>
      </c>
      <c r="Q30" s="20">
        <f t="shared" si="2"/>
        <v>217.3144486608976</v>
      </c>
      <c r="R30" s="59">
        <f t="shared" si="0"/>
        <v>510.64778199423091</v>
      </c>
      <c r="S30" s="59">
        <f ca="1">AVERAGE(OFFSET($R$3,0,0,'Données projet'!$E$9+1,1))-AVERAGE(OFFSET($H$3,0,0,'Données projet'!$E$9+1,1))</f>
        <v>215.23235148064941</v>
      </c>
      <c r="T30" s="59">
        <f t="shared" si="34"/>
        <v>184.07239726900434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1.7507138174796335</v>
      </c>
      <c r="AB30" s="21">
        <f>EXP(-LN(2)/2)*AB29+(1-EXP(-LN(2)/2))/(LN(2)/2)*V30*Y30*VLOOKUP('Données projet'!$B$9,Paramètres!$A$1:$I$89,3,0)*0.475*44/12</f>
        <v>0.292722715152339</v>
      </c>
      <c r="AC30" s="22">
        <f t="shared" si="3"/>
        <v>2.0434365326319726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12.2</v>
      </c>
      <c r="AI30" s="13">
        <f>IF('Données projet'!$A$62&gt;35,AI29+AH30-AQ29,IF(A30&lt;'Données projet'!$A$62,$AF$205^A30,IF(A30='Données projet'!$A$62,'Données projet'!$B$62,AI29+AH30-AQ29)))</f>
        <v>137.4</v>
      </c>
      <c r="AJ30" s="13">
        <f>AI30*VLOOKUP('Données projet'!$B$10,Paramètres!$A$1:$I$89,3,0)*VLOOKUP('Données projet'!$B$10,Paramètres!$A$1:$I$89,5,0)</f>
        <v>100.74168</v>
      </c>
      <c r="AK30" s="13">
        <f t="shared" si="35"/>
        <v>27.138616518742744</v>
      </c>
      <c r="AL30" s="20">
        <f t="shared" si="4"/>
        <v>222.72484977014358</v>
      </c>
      <c r="AM30" s="59">
        <f t="shared" si="5"/>
        <v>516.05818310347695</v>
      </c>
      <c r="AN30" s="59">
        <f ca="1">AVERAGE(OFFSET($AM$3,0,0,'Données projet'!$E$10+1,1))-AVERAGE(OFFSET($H$3,0,0,'Données projet'!$E$10+1,1))</f>
        <v>178.12968684094687</v>
      </c>
      <c r="AO30" s="59">
        <f t="shared" si="36"/>
        <v>219.36004077210373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3.0735814723319708</v>
      </c>
      <c r="AW30" s="21">
        <f>EXP(-LN(2)/2)*AW29+(1-EXP(-LN(2)/2))/(LN(2)/2)*AQ30*AT30*VLOOKUP('Données projet'!$B$10,Paramètres!$A$1:$I$89,3,0)*0.475*44/12</f>
        <v>0.65732511924764148</v>
      </c>
      <c r="AX30" s="21">
        <f t="shared" si="6"/>
        <v>3.730906591579612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7.5</v>
      </c>
      <c r="BD30" s="12">
        <f>IF('Données projet'!$A$88&gt;35,BD29+BC30-BL29,IF(A30&lt;'Données projet'!$A$88,$BA$205^A30,IF(A30='Données projet'!$A$88,'Données projet'!$B$88,BD29+BC30-BL29)))</f>
        <v>105.5</v>
      </c>
      <c r="BE30" s="13">
        <f>BD30*VLOOKUP('Données projet'!$B$11,Paramètres!$A$1:$I$89,3,0)*VLOOKUP('Données projet'!$B$11,Paramètres!$A$1:$I$89,5,0)</f>
        <v>92.164800000000014</v>
      </c>
      <c r="BF30" s="13">
        <f t="shared" si="37"/>
        <v>25.086598199241454</v>
      </c>
      <c r="BG30" s="20">
        <f t="shared" si="7"/>
        <v>204.21285186367888</v>
      </c>
      <c r="BH30" s="59">
        <f t="shared" si="8"/>
        <v>497.54618519701216</v>
      </c>
      <c r="BI30" s="59">
        <f ca="1">AVERAGE(OFFSET($BH$3,0,0,'Données projet'!$E$11+1,1))-AVERAGE(OFFSET($H$3,0,0,'Données projet'!$E$11+1,1))</f>
        <v>114.02623091248347</v>
      </c>
      <c r="BJ30" s="59">
        <f t="shared" si="38"/>
        <v>185.51554083721635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2.7253132104992046</v>
      </c>
      <c r="BR30" s="21">
        <f>EXP(-LN(2)/2)*BR29+(1-EXP(-LN(2)/2))/(LN(2)/2)*BL30*BO30*VLOOKUP('Données projet'!$B$11,Paramètres!$A$1:$I$89,3,0)*0.475*44/12</f>
        <v>0.58284345061443543</v>
      </c>
      <c r="BS30" s="22">
        <f t="shared" si="9"/>
        <v>3.3081566611136402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6.3</v>
      </c>
      <c r="BY30" s="12">
        <f>IF('Données projet'!$A$114&gt;35,BY29+BX30-CG29,IF(A30&lt;'Données projet'!$A$114,$BV$205^A30,IF(A30='Données projet'!$A$114,'Données projet'!$B$114,BY29+BX30-CG29)))</f>
        <v>86.09999999999998</v>
      </c>
      <c r="BZ30" s="13">
        <f>BY30*VLOOKUP('Données projet'!$B$12,Paramètres!$A$1:$I$89,3,0)*VLOOKUP('Données projet'!$B$12,Paramètres!$A$1:$I$89,5,0)</f>
        <v>77.903279999999981</v>
      </c>
      <c r="CA30" s="13">
        <f t="shared" si="39"/>
        <v>21.623735462576285</v>
      </c>
      <c r="CB30" s="20">
        <f t="shared" si="10"/>
        <v>173.342885263987</v>
      </c>
      <c r="CC30" s="59">
        <f t="shared" si="11"/>
        <v>466.67621859732031</v>
      </c>
      <c r="CD30" s="59">
        <f ca="1">AVERAGE(OFFSET($CC$3,0,0,'Données projet'!$E$12+1,1))-AVERAGE(OFFSET($H$3,0,0,'Données projet'!$E$12+1,1))</f>
        <v>237.22177246688199</v>
      </c>
      <c r="CE30" s="59">
        <f t="shared" si="40"/>
        <v>149.27472147904302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22.2</v>
      </c>
      <c r="CT30" s="12">
        <f>IF('Données projet'!$A$140&gt;35,CT29+CS30-DB29,IF(A30&lt;'Données projet'!$A$140,$CQ$205^A30,IF(A30='Données projet'!$A$140,'Données projet'!$B$140,CT29+CS30-DB29)))</f>
        <v>254.39999999999992</v>
      </c>
      <c r="CU30" s="17">
        <f>CT30*VLOOKUP('Données projet'!$B$13,Paramètres!$A$1:$I$89,3,0)*VLOOKUP('Données projet'!$B$13,Paramètres!$A$1:$I$89,5,0)</f>
        <v>142.20959999999997</v>
      </c>
      <c r="CV30" s="13">
        <f t="shared" si="41"/>
        <v>36.802731569585617</v>
      </c>
      <c r="CW30" s="20">
        <f t="shared" si="13"/>
        <v>311.77981081702814</v>
      </c>
      <c r="CX30" s="59">
        <f t="shared" si="14"/>
        <v>605.11314415036145</v>
      </c>
      <c r="CY30" s="59">
        <f ca="1">AVERAGE(OFFSET($CX$3,0,0,'Données projet'!$E$13+1,1))-AVERAGE(OFFSET($H$3,0,0,'Données projet'!$E$13+1,1))</f>
        <v>326.31232746914907</v>
      </c>
      <c r="CZ30" s="59">
        <f t="shared" si="42"/>
        <v>330.17137761430297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10.539297181227393</v>
      </c>
      <c r="DH30" s="21">
        <f>EXP(-LN(2)/2)*DH29+(1-EXP(-LN(2)/2))/(LN(2)/2)*DB30*DE30*VLOOKUP('Données projet'!$B$13,Paramètres!$A$1:$I$89,3,0)*0.475*44/12</f>
        <v>1.762190745217082</v>
      </c>
      <c r="DI30" s="22">
        <f t="shared" si="15"/>
        <v>12.301487926444475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13.9</v>
      </c>
      <c r="DO30" s="12">
        <f>IF('Données projet'!$A$166&gt;35,DO29+DN30-DW29,IF(A30&lt;'Données projet'!$A$166,$DL$205^A30,IF(A30='Données projet'!$A$166,'Données projet'!$B$166,DO29+DN30-DW29)))</f>
        <v>178.30000000000004</v>
      </c>
      <c r="DP30" s="17">
        <f>DO30*VLOOKUP('Données projet'!$B$14,Paramètres!$A$1:$I$89,3,0)*VLOOKUP('Données projet'!$B$14,Paramètres!$A$1:$I$89,5,0)</f>
        <v>111.25920000000002</v>
      </c>
      <c r="DQ30" s="13">
        <f t="shared" si="43"/>
        <v>29.627465095165842</v>
      </c>
      <c r="DR30" s="20">
        <f t="shared" si="16"/>
        <v>245.37760837408052</v>
      </c>
      <c r="DS30" s="59">
        <f t="shared" si="17"/>
        <v>538.71094170741389</v>
      </c>
      <c r="DT30" s="59">
        <f ca="1">AVERAGE(OFFSET($DS$3,0,0,'Données projet'!$E$14+1,1))-AVERAGE(OFFSET($H$3,0,0,'Données projet'!$E$14+1,1))</f>
        <v>209.93608079129638</v>
      </c>
      <c r="DU30" s="59">
        <f t="shared" si="44"/>
        <v>240.15652428700969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7.5376187632577665</v>
      </c>
      <c r="EC30" s="21">
        <f>EXP(-LN(2)/2)*EC29+(1-EXP(-LN(2)/2))/(LN(2)/2)*DW30*DZ30*VLOOKUP('Données projet'!$B$14,Paramètres!$A$1:$I$89,3,0)*0.475*44/12</f>
        <v>1.1552789824678984</v>
      </c>
      <c r="ED30" s="22">
        <f t="shared" si="18"/>
        <v>8.6928977457256646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13</v>
      </c>
      <c r="EJ30" s="12">
        <f>IF('Données projet'!$A$192&gt;35,EJ29+EI30-ER29,IF(A30&lt;'Données projet'!$A$192,$EG$205^A30,IF(A30='Données projet'!$A$192,'Données projet'!$B$192,EJ29+EI30-ER29)))</f>
        <v>179</v>
      </c>
      <c r="EK30" s="17">
        <f>EJ30*VLOOKUP('Données projet'!$B$15,Paramètres!$A$1:$I$89,3,0)*VLOOKUP('Données projet'!$B$15,Paramètres!$A$1:$I$89,5,0)</f>
        <v>107.042</v>
      </c>
      <c r="EL30" s="13">
        <f t="shared" si="45"/>
        <v>28.632954900548082</v>
      </c>
      <c r="EM30" s="20">
        <f t="shared" si="19"/>
        <v>236.30054645178791</v>
      </c>
      <c r="EN30" s="59">
        <f t="shared" si="20"/>
        <v>529.63387978512128</v>
      </c>
      <c r="EO30" s="59">
        <f ca="1">AVERAGE(OFFSET($EN$3,0,0,'Données projet'!$E$15+1,1))-AVERAGE(OFFSET($H$3,0,0,'Données projet'!$E$15+1,1))</f>
        <v>216.94426559495264</v>
      </c>
      <c r="EP30" s="59">
        <f t="shared" si="46"/>
        <v>225.33715877618704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0.43927001238579888</v>
      </c>
      <c r="EX30" s="21">
        <f>EXP(-LN(2)/2)*EX29+(1-EXP(-LN(2)/2))/(LN(2)/2)*ER30*EU30*VLOOKUP('Données projet'!$B$15,Paramètres!$A$1:$I$89,3,0)*0.475*44/12</f>
        <v>8.9768299313383995E-2</v>
      </c>
      <c r="EY30" s="22">
        <f t="shared" si="21"/>
        <v>0.52903831169918292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16</v>
      </c>
      <c r="FE30" s="12">
        <f>IF('Données projet'!$A$218&gt;35,FE29+FD30-FM29,IF(A30&lt;'Données projet'!$A$218,$FB$205^A30,IF(A30='Données projet'!$A$218,'Données projet'!$B$218,FE29+FD30-FM29)))</f>
        <v>174</v>
      </c>
      <c r="FF30" s="17">
        <f>FE30*VLOOKUP('Données projet'!$B$16,Paramètres!$A$1:$I$89,3,0)*VLOOKUP('Données projet'!$B$16,Paramètres!$A$1:$I$89,5,0)</f>
        <v>104.05200000000001</v>
      </c>
      <c r="FG30" s="13">
        <f t="shared" si="47"/>
        <v>27.925087771564417</v>
      </c>
      <c r="FH30" s="20">
        <f t="shared" si="22"/>
        <v>229.86009453547467</v>
      </c>
      <c r="FI30" s="59">
        <f t="shared" si="23"/>
        <v>523.19342786880793</v>
      </c>
      <c r="FJ30" s="59">
        <f ca="1">AVERAGE(OFFSET($FI$3,0,0,'Données projet'!$E$16+1,1))-AVERAGE(OFFSET($H$3,0,0,'Données projet'!$E$16+1,1))</f>
        <v>168.08890945052406</v>
      </c>
      <c r="FK30" s="59">
        <f t="shared" si="48"/>
        <v>182.52462557642343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2.7692899675844824</v>
      </c>
      <c r="FR30" s="21">
        <f>EXP(-LN(2)/25)*FR29+(1-EXP(-LN(2)/25))/(LN(2)/25)*Calculateur!FM30*Calculateur!FO30*VLOOKUP('Données projet'!$B$16,Paramètres!$A$1:$I$89,3,0)*0.475*44/12</f>
        <v>8.9221738608706112</v>
      </c>
      <c r="FS30" s="21">
        <f>EXP(-LN(2)/2)*FS29+(1-EXP(-LN(2)/2))/(LN(2)/2)*FM30*FP30*VLOOKUP('Données projet'!$B$16,Paramètres!$A$1:$I$89,3,0)*0.475*44/12</f>
        <v>3.6730195802392953</v>
      </c>
      <c r="FT30" s="22">
        <f t="shared" si="24"/>
        <v>15.364483408694388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14.4</v>
      </c>
      <c r="FZ30" s="12">
        <f>IF('Données projet'!$A$244&gt;35,FZ29+FY30-GH29,IF(A30&lt;'Données projet'!$A$244,$FW$205^A30,IF(A30='Données projet'!$A$244,'Données projet'!$B$244,FZ29+FY30-GH29)))</f>
        <v>138.80000000000001</v>
      </c>
      <c r="GA30" s="17">
        <f>FZ30*VLOOKUP('Données projet'!$B$17,Paramètres!$A$1:$I$89,3,0)*VLOOKUP('Données projet'!$B$17,Paramètres!$A$1:$I$89,5,0)</f>
        <v>79.393600000000006</v>
      </c>
      <c r="GB30" s="13">
        <f t="shared" si="49"/>
        <v>21.988850581624067</v>
      </c>
      <c r="GC30" s="20">
        <f t="shared" si="25"/>
        <v>176.57443476299522</v>
      </c>
      <c r="GD30" s="59">
        <f t="shared" si="26"/>
        <v>469.90776809632854</v>
      </c>
      <c r="GE30" s="59">
        <f ca="1">AVERAGE(OFFSET($GD$3,0,0,'Données projet'!$E$17+1,1))-AVERAGE(OFFSET($H$3,0,0,'Données projet'!$E$17+1,1))</f>
        <v>196.95560009657527</v>
      </c>
      <c r="GF30" s="59">
        <f t="shared" si="50"/>
        <v>168.90186968005662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3.3785506981118494</v>
      </c>
      <c r="GN30" s="21">
        <f>EXP(-LN(2)/2)*GN29+(1-EXP(-LN(2)/2))/(LN(2)/2)*GH30*GK30*VLOOKUP('Données projet'!$B$17,Paramètres!$A$1:$I$89,3,0)*0.475*44/12</f>
        <v>3.4000935894719779</v>
      </c>
      <c r="GO30" s="21">
        <f t="shared" si="27"/>
        <v>6.7786442875838269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9.1999999999999993</v>
      </c>
      <c r="N31" s="13">
        <f>IF('Données projet'!$A$36&gt;35,N30+M31-V30,IF(A31&lt;'Données projet'!$A$36,$K$205^A31,IF(A31='Données projet'!$A$36,'Données projet'!$B$36,N30+M31-V30)))</f>
        <v>219.09999999999991</v>
      </c>
      <c r="O31" s="13">
        <f>N31*VLOOKUP('Données projet'!$B$9,Paramètres!$A$1:$I$89,3,0)*VLOOKUP('Données projet'!$B$9,Paramètres!$A$1:$I$89,5,0)</f>
        <v>102.53879999999995</v>
      </c>
      <c r="P31" s="13">
        <f t="shared" si="33"/>
        <v>27.565946279127878</v>
      </c>
      <c r="Q31" s="20">
        <f t="shared" si="2"/>
        <v>226.59909976948094</v>
      </c>
      <c r="R31" s="59">
        <f t="shared" si="0"/>
        <v>519.93243310281423</v>
      </c>
      <c r="S31" s="59">
        <f ca="1">AVERAGE(OFFSET($R$3,0,0,'Données projet'!$E$9+1,1))-AVERAGE(OFFSET($H$3,0,0,'Données projet'!$E$9+1,1))</f>
        <v>215.23235148064941</v>
      </c>
      <c r="T31" s="59">
        <f t="shared" si="34"/>
        <v>184.07239726900434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1.7028404560746147</v>
      </c>
      <c r="AB31" s="21">
        <f>EXP(-LN(2)/2)*AB30+(1-EXP(-LN(2)/2))/(LN(2)/2)*V31*Y31*VLOOKUP('Données projet'!$B$9,Paramètres!$A$1:$I$89,3,0)*0.475*44/12</f>
        <v>0.20698621689155705</v>
      </c>
      <c r="AC31" s="22">
        <f t="shared" si="3"/>
        <v>1.9098266729661717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12.2</v>
      </c>
      <c r="AI31" s="13">
        <f>IF('Données projet'!$A$62&gt;35,AI30+AH31-AQ30,IF(A31&lt;'Données projet'!$A$62,$AF$205^A31,IF(A31='Données projet'!$A$62,'Données projet'!$B$62,AI30+AH31-AQ30)))</f>
        <v>149.6</v>
      </c>
      <c r="AJ31" s="13">
        <f>AI31*VLOOKUP('Données projet'!$B$10,Paramètres!$A$1:$I$89,3,0)*VLOOKUP('Données projet'!$B$10,Paramètres!$A$1:$I$89,5,0)</f>
        <v>109.68671999999999</v>
      </c>
      <c r="AK31" s="13">
        <f t="shared" si="35"/>
        <v>29.257161113605147</v>
      </c>
      <c r="AL31" s="20">
        <f t="shared" si="4"/>
        <v>241.99392627286227</v>
      </c>
      <c r="AM31" s="59">
        <f t="shared" si="5"/>
        <v>535.32725960619564</v>
      </c>
      <c r="AN31" s="59">
        <f ca="1">AVERAGE(OFFSET($AM$3,0,0,'Données projet'!$E$10+1,1))-AVERAGE(OFFSET($H$3,0,0,'Données projet'!$E$10+1,1))</f>
        <v>178.12968684094687</v>
      </c>
      <c r="AO31" s="59">
        <f t="shared" si="36"/>
        <v>219.36004077210373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2.9895342253384283</v>
      </c>
      <c r="AW31" s="21">
        <f>EXP(-LN(2)/2)*AW30+(1-EXP(-LN(2)/2))/(LN(2)/2)*AQ31*AT31*VLOOKUP('Données projet'!$B$10,Paramètres!$A$1:$I$89,3,0)*0.475*44/12</f>
        <v>0.4647990492642633</v>
      </c>
      <c r="AX31" s="21">
        <f t="shared" si="6"/>
        <v>3.4543332746026918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7.5</v>
      </c>
      <c r="BD31" s="12">
        <f>IF('Données projet'!$A$88&gt;35,BD30+BC31-BL30,IF(A31&lt;'Données projet'!$A$88,$BA$205^A31,IF(A31='Données projet'!$A$88,'Données projet'!$B$88,BD30+BC31-BL30)))</f>
        <v>113</v>
      </c>
      <c r="BE31" s="13">
        <f>BD31*VLOOKUP('Données projet'!$B$11,Paramètres!$A$1:$I$89,3,0)*VLOOKUP('Données projet'!$B$11,Paramètres!$A$1:$I$89,5,0)</f>
        <v>98.716800000000021</v>
      </c>
      <c r="BF31" s="13">
        <f t="shared" si="37"/>
        <v>26.656063438447475</v>
      </c>
      <c r="BG31" s="20">
        <f t="shared" si="7"/>
        <v>218.35773715529604</v>
      </c>
      <c r="BH31" s="59">
        <f t="shared" si="8"/>
        <v>511.69107048862935</v>
      </c>
      <c r="BI31" s="59">
        <f ca="1">AVERAGE(OFFSET($BH$3,0,0,'Données projet'!$E$11+1,1))-AVERAGE(OFFSET($H$3,0,0,'Données projet'!$E$11+1,1))</f>
        <v>114.02623091248347</v>
      </c>
      <c r="BJ31" s="59">
        <f t="shared" si="38"/>
        <v>185.51554083721635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2.6507893774401108</v>
      </c>
      <c r="BR31" s="21">
        <f>EXP(-LN(2)/2)*BR30+(1-EXP(-LN(2)/2))/(LN(2)/2)*BL31*BO31*VLOOKUP('Données projet'!$B$11,Paramètres!$A$1:$I$89,3,0)*0.475*44/12</f>
        <v>0.41213255629963397</v>
      </c>
      <c r="BS31" s="22">
        <f t="shared" si="9"/>
        <v>3.0629219337397449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6.3</v>
      </c>
      <c r="BY31" s="12">
        <f>IF('Données projet'!$A$114&gt;35,BY30+BX31-CG30,IF(A31&lt;'Données projet'!$A$114,$BV$205^A31,IF(A31='Données projet'!$A$114,'Données projet'!$B$114,BY30+BX31-CG30)))</f>
        <v>92.399999999999977</v>
      </c>
      <c r="BZ31" s="13">
        <f>BY31*VLOOKUP('Données projet'!$B$12,Paramètres!$A$1:$I$89,3,0)*VLOOKUP('Données projet'!$B$12,Paramètres!$A$1:$I$89,5,0)</f>
        <v>83.603519999999975</v>
      </c>
      <c r="CA31" s="13">
        <f t="shared" si="39"/>
        <v>23.015991519299678</v>
      </c>
      <c r="CB31" s="20">
        <f t="shared" si="10"/>
        <v>185.69564922944687</v>
      </c>
      <c r="CC31" s="59">
        <f t="shared" si="11"/>
        <v>479.02898256278019</v>
      </c>
      <c r="CD31" s="59">
        <f ca="1">AVERAGE(OFFSET($CC$3,0,0,'Données projet'!$E$12+1,1))-AVERAGE(OFFSET($H$3,0,0,'Données projet'!$E$12+1,1))</f>
        <v>237.22177246688199</v>
      </c>
      <c r="CE31" s="59">
        <f t="shared" si="40"/>
        <v>149.27472147904302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22.2</v>
      </c>
      <c r="CT31" s="12">
        <f>IF('Données projet'!$A$140&gt;35,CT30+CS31-DB30,IF(A31&lt;'Données projet'!$A$140,$CQ$205^A31,IF(A31='Données projet'!$A$140,'Données projet'!$B$140,CT30+CS31-DB30)))</f>
        <v>276.59999999999991</v>
      </c>
      <c r="CU31" s="17">
        <f>CT31*VLOOKUP('Données projet'!$B$13,Paramètres!$A$1:$I$89,3,0)*VLOOKUP('Données projet'!$B$13,Paramètres!$A$1:$I$89,5,0)</f>
        <v>154.61939999999996</v>
      </c>
      <c r="CV31" s="13">
        <f t="shared" si="41"/>
        <v>39.626500524372794</v>
      </c>
      <c r="CW31" s="20">
        <f t="shared" si="13"/>
        <v>338.31161007994922</v>
      </c>
      <c r="CX31" s="59">
        <f t="shared" si="14"/>
        <v>631.64494341328259</v>
      </c>
      <c r="CY31" s="59">
        <f ca="1">AVERAGE(OFFSET($CX$3,0,0,'Données projet'!$E$13+1,1))-AVERAGE(OFFSET($H$3,0,0,'Données projet'!$E$13+1,1))</f>
        <v>326.31232746914907</v>
      </c>
      <c r="CZ31" s="59">
        <f t="shared" si="42"/>
        <v>330.17137761430297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10.251099545569179</v>
      </c>
      <c r="DH31" s="21">
        <f>EXP(-LN(2)/2)*DH30+(1-EXP(-LN(2)/2))/(LN(2)/2)*DB31*DE31*VLOOKUP('Données projet'!$B$13,Paramètres!$A$1:$I$89,3,0)*0.475*44/12</f>
        <v>1.2460570256871744</v>
      </c>
      <c r="DI31" s="22">
        <f t="shared" si="15"/>
        <v>11.497156571256353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13.9</v>
      </c>
      <c r="DO31" s="12">
        <f>IF('Données projet'!$A$166&gt;35,DO30+DN31-DW30,IF(A31&lt;'Données projet'!$A$166,$DL$205^A31,IF(A31='Données projet'!$A$166,'Données projet'!$B$166,DO30+DN31-DW30)))</f>
        <v>192.20000000000005</v>
      </c>
      <c r="DP31" s="17">
        <f>DO31*VLOOKUP('Données projet'!$B$14,Paramètres!$A$1:$I$89,3,0)*VLOOKUP('Données projet'!$B$14,Paramètres!$A$1:$I$89,5,0)</f>
        <v>119.93280000000003</v>
      </c>
      <c r="DQ31" s="13">
        <f t="shared" si="43"/>
        <v>31.659325486741768</v>
      </c>
      <c r="DR31" s="20">
        <f t="shared" si="16"/>
        <v>264.0229518894086</v>
      </c>
      <c r="DS31" s="59">
        <f t="shared" si="17"/>
        <v>557.35628522274192</v>
      </c>
      <c r="DT31" s="59">
        <f ca="1">AVERAGE(OFFSET($DS$3,0,0,'Données projet'!$E$14+1,1))-AVERAGE(OFFSET($H$3,0,0,'Données projet'!$E$14+1,1))</f>
        <v>209.93608079129638</v>
      </c>
      <c r="DU31" s="59">
        <f t="shared" si="44"/>
        <v>240.15652428700969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7.3315021817903396</v>
      </c>
      <c r="EC31" s="21">
        <f>EXP(-LN(2)/2)*EC30+(1-EXP(-LN(2)/2))/(LN(2)/2)*DW31*DZ31*VLOOKUP('Données projet'!$B$14,Paramètres!$A$1:$I$89,3,0)*0.475*44/12</f>
        <v>0.81690560266534551</v>
      </c>
      <c r="ED31" s="22">
        <f t="shared" si="18"/>
        <v>8.148407784455685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13</v>
      </c>
      <c r="EJ31" s="12">
        <f>IF('Données projet'!$A$192&gt;35,EJ30+EI31-ER30,IF(A31&lt;'Données projet'!$A$192,$EG$205^A31,IF(A31='Données projet'!$A$192,'Données projet'!$B$192,EJ30+EI31-ER30)))</f>
        <v>192</v>
      </c>
      <c r="EK31" s="17">
        <f>EJ31*VLOOKUP('Données projet'!$B$15,Paramètres!$A$1:$I$89,3,0)*VLOOKUP('Données projet'!$B$15,Paramètres!$A$1:$I$89,5,0)</f>
        <v>114.81600000000002</v>
      </c>
      <c r="EL31" s="13">
        <f t="shared" si="45"/>
        <v>30.462826482209831</v>
      </c>
      <c r="EM31" s="20">
        <f t="shared" si="19"/>
        <v>253.02728945651543</v>
      </c>
      <c r="EN31" s="59">
        <f t="shared" si="20"/>
        <v>546.36062278984878</v>
      </c>
      <c r="EO31" s="59">
        <f ca="1">AVERAGE(OFFSET($EN$3,0,0,'Données projet'!$E$15+1,1))-AVERAGE(OFFSET($H$3,0,0,'Données projet'!$E$15+1,1))</f>
        <v>216.94426559495264</v>
      </c>
      <c r="EP31" s="59">
        <f t="shared" si="46"/>
        <v>225.33715877618704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0.42725815079690321</v>
      </c>
      <c r="EX31" s="21">
        <f>EXP(-LN(2)/2)*EX30+(1-EXP(-LN(2)/2))/(LN(2)/2)*ER31*EU31*VLOOKUP('Données projet'!$B$15,Paramètres!$A$1:$I$89,3,0)*0.475*44/12</f>
        <v>6.3475773180077522E-2</v>
      </c>
      <c r="EY31" s="22">
        <f t="shared" si="21"/>
        <v>0.49073392397698073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>
        <f>VLOOKUP(A31,'Données projet'!$A$217:$I$237,2,0)</f>
        <v>190</v>
      </c>
      <c r="FC31" s="12">
        <f>VLOOKUP(A31,'Données projet'!$A$217:$I$237,9,0)</f>
        <v>16</v>
      </c>
      <c r="FD31" s="12">
        <f t="array" ref="FD31">INDEX(FC:FC,MIN(IF(ISNUMBER(FC31:FC227),ROW(FC31:FC227),"")))</f>
        <v>16</v>
      </c>
      <c r="FE31" s="12">
        <f>IF('Données projet'!$A$218&gt;35,FE30+FD31-FM30,IF(A31&lt;'Données projet'!$A$218,$FB$205^A31,IF(A31='Données projet'!$A$218,'Données projet'!$B$218,FE30+FD31-FM30)))</f>
        <v>190</v>
      </c>
      <c r="FF31" s="17">
        <f>FE31*VLOOKUP('Données projet'!$B$16,Paramètres!$A$1:$I$89,3,0)*VLOOKUP('Données projet'!$B$16,Paramètres!$A$1:$I$89,5,0)</f>
        <v>113.62</v>
      </c>
      <c r="FG31" s="13">
        <f t="shared" si="47"/>
        <v>30.182270904187739</v>
      </c>
      <c r="FH31" s="20">
        <f t="shared" si="22"/>
        <v>250.45562182479364</v>
      </c>
      <c r="FI31" s="59">
        <f t="shared" si="23"/>
        <v>543.78895515812701</v>
      </c>
      <c r="FJ31" s="59">
        <f ca="1">AVERAGE(OFFSET($FI$3,0,0,'Données projet'!$E$16+1,1))-AVERAGE(OFFSET($H$3,0,0,'Données projet'!$E$16+1,1))</f>
        <v>168.08890945052406</v>
      </c>
      <c r="FK31" s="59">
        <f t="shared" si="48"/>
        <v>182.52462557642343</v>
      </c>
      <c r="FL31" s="15">
        <f>IF(ISNA(VLOOKUP(A31,'Données projet'!$A$217:$I$237,3,0)),0,VLOOKUP(A31,'Données projet'!$A$217:$I$237,3,0))</f>
        <v>4</v>
      </c>
      <c r="FM31" s="15">
        <f>IF(ISNA(VLOOKUP(A31,'Données projet'!$A$217:$I$237,4,0)),0,VLOOKUP(A31,'Données projet'!$A$217:$I$237,4,0))</f>
        <v>35</v>
      </c>
      <c r="FN31" s="16">
        <f>IF(ISNA(VLOOKUP(A31,'Données projet'!$A$217:$I$237,5,0)),0%,VLOOKUP(A31,'Données projet'!$A$217:$I$237,5,0)*VLOOKUP('Données projet'!$B$16,Paramètres!$A$1:$I$89,7,0))</f>
        <v>0.13500000000000001</v>
      </c>
      <c r="FO31" s="16">
        <f>IF(ISNA(VLOOKUP(A31,'Données projet'!$A$217:$I$237,6,0)),0%,VLOOKUP(A31,'Données projet'!$A$217:$I$237,6,0)*VLOOKUP('Données projet'!$B$16,Paramètres!$A$1:$I$89,7,0))</f>
        <v>0.1575</v>
      </c>
      <c r="FP31" s="16">
        <f>IF(ISNA(VLOOKUP(A31,'Données projet'!$A$217:$I$237,7,0)),0%,VLOOKUP(A31,'Données projet'!$A$217:$I$237,7,0))</f>
        <v>0.35</v>
      </c>
      <c r="FQ31" s="21">
        <f>EXP(-LN(2)/35)*FQ30+(1-EXP(-LN(2)/35))/(LN(2)/35)*FM31*FN31*VLOOKUP('Données projet'!$B$16,Paramètres!$A$1:$I$89,3,0)*0.475*44/12</f>
        <v>6.4632600774874396</v>
      </c>
      <c r="FR31" s="21">
        <f>EXP(-LN(2)/25)*FR30+(1-EXP(-LN(2)/25))/(LN(2)/25)*Calculateur!FM31*Calculateur!FO31*VLOOKUP('Données projet'!$B$16,Paramètres!$A$1:$I$89,3,0)*0.475*44/12</f>
        <v>13.033964996355422</v>
      </c>
      <c r="FS31" s="21">
        <f>EXP(-LN(2)/2)*FS30+(1-EXP(-LN(2)/2))/(LN(2)/2)*FM31*FP31*VLOOKUP('Données projet'!$B$16,Paramètres!$A$1:$I$89,3,0)*0.475*44/12</f>
        <v>10.891384748148297</v>
      </c>
      <c r="FT31" s="22">
        <f t="shared" si="24"/>
        <v>30.38860982199116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14.4</v>
      </c>
      <c r="FZ31" s="12">
        <f>IF('Données projet'!$A$244&gt;35,FZ30+FY31-GH30,IF(A31&lt;'Données projet'!$A$244,$FW$205^A31,IF(A31='Données projet'!$A$244,'Données projet'!$B$244,FZ30+FY31-GH30)))</f>
        <v>153.20000000000002</v>
      </c>
      <c r="GA31" s="17">
        <f>FZ31*VLOOKUP('Données projet'!$B$17,Paramètres!$A$1:$I$89,3,0)*VLOOKUP('Données projet'!$B$17,Paramètres!$A$1:$I$89,5,0)</f>
        <v>87.630400000000009</v>
      </c>
      <c r="GB31" s="13">
        <f t="shared" si="49"/>
        <v>23.992850113613226</v>
      </c>
      <c r="GC31" s="20">
        <f t="shared" si="25"/>
        <v>194.41049394787638</v>
      </c>
      <c r="GD31" s="59">
        <f t="shared" si="26"/>
        <v>487.74382728120969</v>
      </c>
      <c r="GE31" s="59">
        <f ca="1">AVERAGE(OFFSET($GD$3,0,0,'Données projet'!$E$17+1,1))-AVERAGE(OFFSET($H$3,0,0,'Données projet'!$E$17+1,1))</f>
        <v>196.95560009657527</v>
      </c>
      <c r="GF31" s="59">
        <f t="shared" si="50"/>
        <v>168.90186968005662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3.2861640516017214</v>
      </c>
      <c r="GN31" s="21">
        <f>EXP(-LN(2)/2)*GN30+(1-EXP(-LN(2)/2))/(LN(2)/2)*GH31*GK31*VLOOKUP('Données projet'!$B$17,Paramètres!$A$1:$I$89,3,0)*0.475*44/12</f>
        <v>2.404229233784545</v>
      </c>
      <c r="GO31" s="21">
        <f t="shared" si="27"/>
        <v>5.690393285386266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9.1999999999999993</v>
      </c>
      <c r="N32" s="13">
        <f>IF('Données projet'!$A$36&gt;35,N31+M32-V31,IF(A32&lt;'Données projet'!$A$36,$K$205^A32,IF(A32='Données projet'!$A$36,'Données projet'!$B$36,N31+M32-V31)))</f>
        <v>228.2999999999999</v>
      </c>
      <c r="O32" s="13">
        <f>N32*VLOOKUP('Données projet'!$B$9,Paramètres!$A$1:$I$89,3,0)*VLOOKUP('Données projet'!$B$9,Paramètres!$A$1:$I$89,5,0)</f>
        <v>106.84439999999995</v>
      </c>
      <c r="P32" s="13">
        <f t="shared" si="33"/>
        <v>28.586245822975961</v>
      </c>
      <c r="Q32" s="20">
        <f t="shared" si="2"/>
        <v>235.87504147501636</v>
      </c>
      <c r="R32" s="59">
        <f t="shared" si="0"/>
        <v>529.20837480834962</v>
      </c>
      <c r="S32" s="59">
        <f ca="1">AVERAGE(OFFSET($R$3,0,0,'Données projet'!$E$9+1,1))-AVERAGE(OFFSET($H$3,0,0,'Données projet'!$E$9+1,1))</f>
        <v>215.23235148064941</v>
      </c>
      <c r="T32" s="59">
        <f t="shared" si="34"/>
        <v>184.07239726900434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1.6562761942547666</v>
      </c>
      <c r="AB32" s="21">
        <f>EXP(-LN(2)/2)*AB31+(1-EXP(-LN(2)/2))/(LN(2)/2)*V32*Y32*VLOOKUP('Données projet'!$B$9,Paramètres!$A$1:$I$89,3,0)*0.475*44/12</f>
        <v>0.1463613575761695</v>
      </c>
      <c r="AC32" s="22">
        <f t="shared" si="3"/>
        <v>1.8026375518309361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12.2</v>
      </c>
      <c r="AI32" s="13">
        <f>IF('Données projet'!$A$62&gt;35,AI31+AH32-AQ31,IF(A32&lt;'Données projet'!$A$62,$AF$205^A32,IF(A32='Données projet'!$A$62,'Données projet'!$B$62,AI31+AH32-AQ31)))</f>
        <v>161.79999999999998</v>
      </c>
      <c r="AJ32" s="13">
        <f>AI32*VLOOKUP('Données projet'!$B$10,Paramètres!$A$1:$I$89,3,0)*VLOOKUP('Données projet'!$B$10,Paramètres!$A$1:$I$89,5,0)</f>
        <v>118.63175999999999</v>
      </c>
      <c r="AK32" s="13">
        <f t="shared" si="35"/>
        <v>31.355667112617347</v>
      </c>
      <c r="AL32" s="20">
        <f t="shared" si="4"/>
        <v>261.22810222114185</v>
      </c>
      <c r="AM32" s="59">
        <f t="shared" si="5"/>
        <v>554.56143555447511</v>
      </c>
      <c r="AN32" s="59">
        <f ca="1">AVERAGE(OFFSET($AM$3,0,0,'Données projet'!$E$10+1,1))-AVERAGE(OFFSET($H$3,0,0,'Données projet'!$E$10+1,1))</f>
        <v>178.12968684094687</v>
      </c>
      <c r="AO32" s="59">
        <f t="shared" si="36"/>
        <v>219.36004077210373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2.9077852547337768</v>
      </c>
      <c r="AW32" s="21">
        <f>EXP(-LN(2)/2)*AW31+(1-EXP(-LN(2)/2))/(LN(2)/2)*AQ32*AT32*VLOOKUP('Données projet'!$B$10,Paramètres!$A$1:$I$89,3,0)*0.475*44/12</f>
        <v>0.32866255962382079</v>
      </c>
      <c r="AX32" s="21">
        <f t="shared" si="6"/>
        <v>3.2364478143575974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7.5</v>
      </c>
      <c r="BD32" s="12">
        <f>IF('Données projet'!$A$88&gt;35,BD31+BC32-BL31,IF(A32&lt;'Données projet'!$A$88,$BA$205^A32,IF(A32='Données projet'!$A$88,'Données projet'!$B$88,BD31+BC32-BL31)))</f>
        <v>120.5</v>
      </c>
      <c r="BE32" s="13">
        <f>BD32*VLOOKUP('Données projet'!$B$11,Paramètres!$A$1:$I$89,3,0)*VLOOKUP('Données projet'!$B$11,Paramètres!$A$1:$I$89,5,0)</f>
        <v>105.26880000000001</v>
      </c>
      <c r="BF32" s="13">
        <f t="shared" si="37"/>
        <v>28.213440868906815</v>
      </c>
      <c r="BG32" s="20">
        <f t="shared" si="7"/>
        <v>232.48156951334605</v>
      </c>
      <c r="BH32" s="59">
        <f t="shared" si="8"/>
        <v>525.81490284667939</v>
      </c>
      <c r="BI32" s="59">
        <f ca="1">AVERAGE(OFFSET($BH$3,0,0,'Données projet'!$E$11+1,1))-AVERAGE(OFFSET($H$3,0,0,'Données projet'!$E$11+1,1))</f>
        <v>114.02623091248347</v>
      </c>
      <c r="BJ32" s="59">
        <f t="shared" si="38"/>
        <v>185.51554083721635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2.578303402515056</v>
      </c>
      <c r="BR32" s="21">
        <f>EXP(-LN(2)/2)*BR31+(1-EXP(-LN(2)/2))/(LN(2)/2)*BL32*BO32*VLOOKUP('Données projet'!$B$11,Paramètres!$A$1:$I$89,3,0)*0.475*44/12</f>
        <v>0.29142172530721777</v>
      </c>
      <c r="BS32" s="22">
        <f t="shared" si="9"/>
        <v>2.8697251278222735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6.3</v>
      </c>
      <c r="BY32" s="12">
        <f>IF('Données projet'!$A$114&gt;35,BY31+BX32-CG31,IF(A32&lt;'Données projet'!$A$114,$BV$205^A32,IF(A32='Données projet'!$A$114,'Données projet'!$B$114,BY31+BX32-CG31)))</f>
        <v>98.699999999999974</v>
      </c>
      <c r="BZ32" s="13">
        <f>BY32*VLOOKUP('Données projet'!$B$12,Paramètres!$A$1:$I$89,3,0)*VLOOKUP('Données projet'!$B$12,Paramètres!$A$1:$I$89,5,0)</f>
        <v>89.303759999999968</v>
      </c>
      <c r="CA32" s="13">
        <f t="shared" si="39"/>
        <v>24.397232850954325</v>
      </c>
      <c r="CB32" s="20">
        <f t="shared" si="10"/>
        <v>198.02922921541202</v>
      </c>
      <c r="CC32" s="59">
        <f t="shared" si="11"/>
        <v>491.36256254874536</v>
      </c>
      <c r="CD32" s="59">
        <f ca="1">AVERAGE(OFFSET($CC$3,0,0,'Données projet'!$E$12+1,1))-AVERAGE(OFFSET($H$3,0,0,'Données projet'!$E$12+1,1))</f>
        <v>237.22177246688199</v>
      </c>
      <c r="CE32" s="59">
        <f t="shared" si="40"/>
        <v>149.27472147904302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22.2</v>
      </c>
      <c r="CT32" s="12">
        <f>IF('Données projet'!$A$140&gt;35,CT31+CS32-DB31,IF(A32&lt;'Données projet'!$A$140,$CQ$205^A32,IF(A32='Données projet'!$A$140,'Données projet'!$B$140,CT31+CS32-DB31)))</f>
        <v>298.7999999999999</v>
      </c>
      <c r="CU32" s="17">
        <f>CT32*VLOOKUP('Données projet'!$B$13,Paramètres!$A$1:$I$89,3,0)*VLOOKUP('Données projet'!$B$13,Paramètres!$A$1:$I$89,5,0)</f>
        <v>167.02919999999995</v>
      </c>
      <c r="CV32" s="13">
        <f t="shared" si="41"/>
        <v>42.423982056168619</v>
      </c>
      <c r="CW32" s="20">
        <f t="shared" si="13"/>
        <v>364.79762541449355</v>
      </c>
      <c r="CX32" s="59">
        <f t="shared" si="14"/>
        <v>658.13095874782687</v>
      </c>
      <c r="CY32" s="59">
        <f ca="1">AVERAGE(OFFSET($CX$3,0,0,'Données projet'!$E$13+1,1))-AVERAGE(OFFSET($H$3,0,0,'Données projet'!$E$13+1,1))</f>
        <v>326.31232746914907</v>
      </c>
      <c r="CZ32" s="59">
        <f t="shared" si="42"/>
        <v>330.17137761430297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9.9707826894136939</v>
      </c>
      <c r="DH32" s="21">
        <f>EXP(-LN(2)/2)*DH31+(1-EXP(-LN(2)/2))/(LN(2)/2)*DB32*DE32*VLOOKUP('Données projet'!$B$13,Paramètres!$A$1:$I$89,3,0)*0.475*44/12</f>
        <v>0.88109537260854109</v>
      </c>
      <c r="DI32" s="22">
        <f t="shared" si="15"/>
        <v>10.851878062022235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13.9</v>
      </c>
      <c r="DO32" s="12">
        <f>IF('Données projet'!$A$166&gt;35,DO31+DN32-DW31,IF(A32&lt;'Données projet'!$A$166,$DL$205^A32,IF(A32='Données projet'!$A$166,'Données projet'!$B$166,DO31+DN32-DW31)))</f>
        <v>206.10000000000005</v>
      </c>
      <c r="DP32" s="17">
        <f>DO32*VLOOKUP('Données projet'!$B$14,Paramètres!$A$1:$I$89,3,0)*VLOOKUP('Données projet'!$B$14,Paramètres!$A$1:$I$89,5,0)</f>
        <v>128.60640000000004</v>
      </c>
      <c r="DQ32" s="13">
        <f t="shared" si="43"/>
        <v>33.67413757380087</v>
      </c>
      <c r="DR32" s="20">
        <f t="shared" si="16"/>
        <v>282.63860294103654</v>
      </c>
      <c r="DS32" s="59">
        <f t="shared" si="17"/>
        <v>575.97193627436991</v>
      </c>
      <c r="DT32" s="59">
        <f ca="1">AVERAGE(OFFSET($DS$3,0,0,'Données projet'!$E$14+1,1))-AVERAGE(OFFSET($H$3,0,0,'Données projet'!$E$14+1,1))</f>
        <v>209.93608079129638</v>
      </c>
      <c r="DU32" s="59">
        <f t="shared" si="44"/>
        <v>240.15652428700969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7.131021869082339</v>
      </c>
      <c r="EC32" s="21">
        <f>EXP(-LN(2)/2)*EC31+(1-EXP(-LN(2)/2))/(LN(2)/2)*DW32*DZ32*VLOOKUP('Données projet'!$B$14,Paramètres!$A$1:$I$89,3,0)*0.475*44/12</f>
        <v>0.5776394912339492</v>
      </c>
      <c r="ED32" s="22">
        <f t="shared" si="18"/>
        <v>7.7086613603162881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13</v>
      </c>
      <c r="EJ32" s="12">
        <f>IF('Données projet'!$A$192&gt;35,EJ31+EI32-ER31,IF(A32&lt;'Données projet'!$A$192,$EG$205^A32,IF(A32='Données projet'!$A$192,'Données projet'!$B$192,EJ31+EI32-ER31)))</f>
        <v>205</v>
      </c>
      <c r="EK32" s="17">
        <f>EJ32*VLOOKUP('Données projet'!$B$15,Paramètres!$A$1:$I$89,3,0)*VLOOKUP('Données projet'!$B$15,Paramètres!$A$1:$I$89,5,0)</f>
        <v>122.59</v>
      </c>
      <c r="EL32" s="13">
        <f t="shared" si="45"/>
        <v>32.278321478706822</v>
      </c>
      <c r="EM32" s="20">
        <f t="shared" si="19"/>
        <v>269.72899324208106</v>
      </c>
      <c r="EN32" s="59">
        <f t="shared" si="20"/>
        <v>563.06232657541432</v>
      </c>
      <c r="EO32" s="59">
        <f ca="1">AVERAGE(OFFSET($EN$3,0,0,'Données projet'!$E$15+1,1))-AVERAGE(OFFSET($H$3,0,0,'Données projet'!$E$15+1,1))</f>
        <v>216.94426559495264</v>
      </c>
      <c r="EP32" s="59">
        <f t="shared" si="46"/>
        <v>225.33715877618704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0.41557475419483225</v>
      </c>
      <c r="EX32" s="21">
        <f>EXP(-LN(2)/2)*EX31+(1-EXP(-LN(2)/2))/(LN(2)/2)*ER32*EU32*VLOOKUP('Données projet'!$B$15,Paramètres!$A$1:$I$89,3,0)*0.475*44/12</f>
        <v>4.4884149656691998E-2</v>
      </c>
      <c r="EY32" s="22">
        <f t="shared" si="21"/>
        <v>0.46045890385152427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14.833333333333334</v>
      </c>
      <c r="FE32" s="12">
        <f>IF('Données projet'!$A$218&gt;35,FE31+FD32-FM31,IF(A32&lt;'Données projet'!$A$218,$FB$205^A32,IF(A32='Données projet'!$A$218,'Données projet'!$B$218,FE31+FD32-FM31)))</f>
        <v>169.83333333333334</v>
      </c>
      <c r="FF32" s="17">
        <f>FE32*VLOOKUP('Données projet'!$B$16,Paramètres!$A$1:$I$89,3,0)*VLOOKUP('Données projet'!$B$16,Paramètres!$A$1:$I$89,5,0)</f>
        <v>101.56033333333333</v>
      </c>
      <c r="FG32" s="13">
        <f t="shared" si="47"/>
        <v>27.333389821325063</v>
      </c>
      <c r="FH32" s="20">
        <f t="shared" si="22"/>
        <v>224.48990116103005</v>
      </c>
      <c r="FI32" s="59">
        <f t="shared" si="23"/>
        <v>517.82323449436331</v>
      </c>
      <c r="FJ32" s="59">
        <f ca="1">AVERAGE(OFFSET($FI$3,0,0,'Données projet'!$E$16+1,1))-AVERAGE(OFFSET($H$3,0,0,'Données projet'!$E$16+1,1))</f>
        <v>168.08890945052406</v>
      </c>
      <c r="FK32" s="59">
        <f t="shared" si="48"/>
        <v>182.52462557642343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6.3365194895672987</v>
      </c>
      <c r="FR32" s="21">
        <f>EXP(-LN(2)/25)*FR31+(1-EXP(-LN(2)/25))/(LN(2)/25)*Calculateur!FM32*Calculateur!FO32*VLOOKUP('Données projet'!$B$16,Paramètres!$A$1:$I$89,3,0)*0.475*44/12</f>
        <v>12.677550538103654</v>
      </c>
      <c r="FS32" s="21">
        <f>EXP(-LN(2)/2)*FS31+(1-EXP(-LN(2)/2))/(LN(2)/2)*FM32*FP32*VLOOKUP('Données projet'!$B$16,Paramètres!$A$1:$I$89,3,0)*0.475*44/12</f>
        <v>7.7013720119273996</v>
      </c>
      <c r="FT32" s="22">
        <f t="shared" si="24"/>
        <v>26.715442039598354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14.4</v>
      </c>
      <c r="FZ32" s="12">
        <f>IF('Données projet'!$A$244&gt;35,FZ31+FY32-GH31,IF(A32&lt;'Données projet'!$A$244,$FW$205^A32,IF(A32='Données projet'!$A$244,'Données projet'!$B$244,FZ31+FY32-GH31)))</f>
        <v>167.60000000000002</v>
      </c>
      <c r="GA32" s="17">
        <f>FZ32*VLOOKUP('Données projet'!$B$17,Paramètres!$A$1:$I$89,3,0)*VLOOKUP('Données projet'!$B$17,Paramètres!$A$1:$I$89,5,0)</f>
        <v>95.867200000000025</v>
      </c>
      <c r="GB32" s="13">
        <f t="shared" si="49"/>
        <v>25.975009492526002</v>
      </c>
      <c r="GC32" s="20">
        <f t="shared" si="25"/>
        <v>212.20851486614947</v>
      </c>
      <c r="GD32" s="59">
        <f t="shared" si="26"/>
        <v>505.54184819948279</v>
      </c>
      <c r="GE32" s="59">
        <f ca="1">AVERAGE(OFFSET($GD$3,0,0,'Données projet'!$E$17+1,1))-AVERAGE(OFFSET($H$3,0,0,'Données projet'!$E$17+1,1))</f>
        <v>196.95560009657527</v>
      </c>
      <c r="GF32" s="59">
        <f t="shared" si="50"/>
        <v>168.90186968005662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3.1963037227988154</v>
      </c>
      <c r="GN32" s="21">
        <f>EXP(-LN(2)/2)*GN31+(1-EXP(-LN(2)/2))/(LN(2)/2)*GH32*GK32*VLOOKUP('Données projet'!$B$17,Paramètres!$A$1:$I$89,3,0)*0.475*44/12</f>
        <v>1.7000467947359892</v>
      </c>
      <c r="GO32" s="21">
        <f t="shared" si="27"/>
        <v>4.8963505175348043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237.5</v>
      </c>
      <c r="L33" s="12">
        <f>VLOOKUP(A33,'Données projet'!$A$35:$I$55,9,0)</f>
        <v>9.1999999999999993</v>
      </c>
      <c r="M33" s="12">
        <f t="array" ref="M33">INDEX(L:L,MIN(IF(ISNUMBER(L33:L229),ROW(L33:L229),"")))</f>
        <v>9.1999999999999993</v>
      </c>
      <c r="N33" s="13">
        <f>IF('Données projet'!$A$36&gt;35,N32+M33-V32,IF(A33&lt;'Données projet'!$A$36,$K$205^A33,IF(A33='Données projet'!$A$36,'Données projet'!$B$36,N32+M33-V32)))</f>
        <v>237.49999999999989</v>
      </c>
      <c r="O33" s="13">
        <f>N33*VLOOKUP('Données projet'!$B$9,Paramètres!$A$1:$I$89,3,0)*VLOOKUP('Données projet'!$B$9,Paramètres!$A$1:$I$89,5,0)</f>
        <v>111.14999999999995</v>
      </c>
      <c r="P33" s="13">
        <f t="shared" si="33"/>
        <v>29.601769319956546</v>
      </c>
      <c r="Q33" s="20">
        <f t="shared" si="2"/>
        <v>245.14266489892427</v>
      </c>
      <c r="R33" s="59">
        <f t="shared" si="0"/>
        <v>538.47599823225755</v>
      </c>
      <c r="S33" s="59">
        <f ca="1">AVERAGE(OFFSET($R$3,0,0,'Données projet'!$E$9+1,1))-AVERAGE(OFFSET($H$3,0,0,'Données projet'!$E$9+1,1))</f>
        <v>215.23235148064941</v>
      </c>
      <c r="T33" s="59">
        <f t="shared" si="34"/>
        <v>184.07239726900434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45.9</v>
      </c>
      <c r="W33" s="16">
        <f>IF(ISNA(VLOOKUP(A33,'Données projet'!$A$35:$I$55,5,0)),0%,VLOOKUP(A33,'Données projet'!$A$35:$I$55,5,0)*VLOOKUP('Données projet'!$B$9,Paramètres!$A$1:$I$89,7,0))</f>
        <v>0.11000000000000001</v>
      </c>
      <c r="X33" s="16">
        <f>IF(ISNA(VLOOKUP(A33,'Données projet'!$A$35:$I$55,6,0)),0%,VLOOKUP(A33,'Données projet'!$A$35:$I$55,6,0)*VLOOKUP('Données projet'!$B$9,Paramètres!$A$1:$I$89,7,0))</f>
        <v>0.22000000000000003</v>
      </c>
      <c r="Y33" s="16">
        <f>IF(ISNA(VLOOKUP(A33,'Données projet'!$A$35:$I$55,7,0)),0%,VLOOKUP(A33,'Données projet'!$A$35:$I$55,7,0))</f>
        <v>0.4</v>
      </c>
      <c r="Z33" s="21">
        <f>EXP(-LN(2)/35)*Z32+(1-EXP(-LN(2)/35))/(LN(2)/35)*V33*W33*VLOOKUP('Données projet'!$B$9,Paramètres!$A$1:$I$89,3,0)*0.475*44/12</f>
        <v>3.1345816018206638</v>
      </c>
      <c r="AA33" s="21">
        <f>EXP(-LN(2)/25)*AA32+(1-EXP(-LN(2)/25))/(LN(2)/25)*Calculateur!V33*Calculateur!X33*VLOOKUP('Données projet'!$B$9,Paramètres!$A$1:$I$89,3,0)*0.475*44/12</f>
        <v>7.8554643539932272</v>
      </c>
      <c r="AB33" s="21">
        <f>EXP(-LN(2)/2)*AB32+(1-EXP(-LN(2)/2))/(LN(2)/2)*V33*Y33*VLOOKUP('Données projet'!$B$9,Paramètres!$A$1:$I$89,3,0)*0.475*44/12</f>
        <v>9.8321764802959866</v>
      </c>
      <c r="AC33" s="22">
        <f t="shared" si="3"/>
        <v>20.822222436109875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174</v>
      </c>
      <c r="AG33" s="12">
        <f>VLOOKUP(A33,'Données projet'!$A$61:$I$81,9,0)</f>
        <v>12.2</v>
      </c>
      <c r="AH33" s="12">
        <f t="array" ref="AH33">INDEX(AG:AG,MIN(IF(ISNUMBER(AG33:AG229),ROW(AG33:AG229),"")))</f>
        <v>12.2</v>
      </c>
      <c r="AI33" s="13">
        <f>IF('Données projet'!$A$62&gt;35,AI32+AH33-AQ32,IF(A33&lt;'Données projet'!$A$62,$AF$205^A33,IF(A33='Données projet'!$A$62,'Données projet'!$B$62,AI32+AH33-AQ32)))</f>
        <v>173.99999999999997</v>
      </c>
      <c r="AJ33" s="13">
        <f>AI33*VLOOKUP('Données projet'!$B$10,Paramètres!$A$1:$I$89,3,0)*VLOOKUP('Données projet'!$B$10,Paramètres!$A$1:$I$89,5,0)</f>
        <v>127.57679999999998</v>
      </c>
      <c r="AK33" s="13">
        <f t="shared" si="35"/>
        <v>33.435817264319823</v>
      </c>
      <c r="AL33" s="20">
        <f t="shared" si="4"/>
        <v>280.43030840202363</v>
      </c>
      <c r="AM33" s="59">
        <f t="shared" si="5"/>
        <v>573.76364173535694</v>
      </c>
      <c r="AN33" s="59">
        <f ca="1">AVERAGE(OFFSET($AM$3,0,0,'Données projet'!$E$10+1,1))-AVERAGE(OFFSET($H$3,0,0,'Données projet'!$E$10+1,1))</f>
        <v>178.12968684094687</v>
      </c>
      <c r="AO33" s="59">
        <f t="shared" si="36"/>
        <v>219.36004077210373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56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0.1075</v>
      </c>
      <c r="AT33" s="16">
        <f>IF(ISNA(VLOOKUP(A33,'Données projet'!$A$61:$I$81,7,0)),0%,VLOOKUP(A33,'Données projet'!$A$61:$I$81,7,0))</f>
        <v>0.25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7.68845558441779</v>
      </c>
      <c r="AW33" s="21">
        <f>EXP(-LN(2)/2)*AW32+(1-EXP(-LN(2)/2))/(LN(2)/2)*AQ33*AT33*VLOOKUP('Données projet'!$B$10,Paramètres!$A$1:$I$89,3,0)*0.475*44/12</f>
        <v>9.9175145976735219</v>
      </c>
      <c r="AX33" s="21">
        <f t="shared" si="6"/>
        <v>17.605970182091312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128</v>
      </c>
      <c r="BB33" s="12">
        <f>VLOOKUP(A33,'Données projet'!$A$87:$I$107,9,0)</f>
        <v>7.5</v>
      </c>
      <c r="BC33" s="12">
        <f t="array" ref="BC33">INDEX(BB:BB,MIN(IF(ISNUMBER(BB33:BB229),ROW(BB33:BB229),"")))</f>
        <v>7.5</v>
      </c>
      <c r="BD33" s="12">
        <f>IF('Données projet'!$A$88&gt;35,BD32+BC33-BL32,IF(A33&lt;'Données projet'!$A$88,$BA$205^A33,IF(A33='Données projet'!$A$88,'Données projet'!$B$88,BD32+BC33-BL32)))</f>
        <v>128</v>
      </c>
      <c r="BE33" s="13">
        <f>BD33*VLOOKUP('Données projet'!$B$11,Paramètres!$A$1:$I$89,3,0)*VLOOKUP('Données projet'!$B$11,Paramètres!$A$1:$I$89,5,0)</f>
        <v>111.82080000000002</v>
      </c>
      <c r="BF33" s="13">
        <f t="shared" si="37"/>
        <v>29.759568497877257</v>
      </c>
      <c r="BG33" s="20">
        <f t="shared" si="7"/>
        <v>246.5858084671363</v>
      </c>
      <c r="BH33" s="59">
        <f t="shared" si="8"/>
        <v>539.91914180046956</v>
      </c>
      <c r="BI33" s="59">
        <f ca="1">AVERAGE(OFFSET($BH$3,0,0,'Données projet'!$E$11+1,1))-AVERAGE(OFFSET($H$3,0,0,'Données projet'!$E$11+1,1))</f>
        <v>114.02623091248347</v>
      </c>
      <c r="BJ33" s="59">
        <f t="shared" si="38"/>
        <v>185.51554083721635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47</v>
      </c>
      <c r="BM33" s="16">
        <f>IF(ISNA(VLOOKUP(A33,'Données projet'!$A$87:$I$107,5,0)),0%,VLOOKUP(A33,'Données projet'!$A$87:$I$107,5,0)*VLOOKUP('Données projet'!$B$11,Paramètres!$A$1:$I$89,7,0))</f>
        <v>4.3000000000000003E-2</v>
      </c>
      <c r="BN33" s="16">
        <f>IF(ISNA(VLOOKUP(A33,'Données projet'!$A$87:$I$107,6,0)),0%,VLOOKUP(A33,'Données projet'!$A$87:$I$107,6,0)*VLOOKUP('Données projet'!$B$11,Paramètres!$A$1:$I$89,7,0))</f>
        <v>0.19350000000000001</v>
      </c>
      <c r="BO33" s="16">
        <f>IF(ISNA(VLOOKUP(A33,'Données projet'!$A$87:$I$107,7,0)),0%,VLOOKUP(A33,'Données projet'!$A$87:$I$107,7,0))</f>
        <v>0.45</v>
      </c>
      <c r="BP33" s="21">
        <f>EXP(-LN(2)/35)*BP32+(1-EXP(-LN(2)/35))/(LN(2)/35)*BL33*BM33*VLOOKUP('Données projet'!$B$11,Paramètres!$A$1:$I$89,3,0)*0.475*44/12</f>
        <v>1.9517583645147305</v>
      </c>
      <c r="BQ33" s="21">
        <f>EXP(-LN(2)/25)*BQ32+(1-EXP(-LN(2)/25))/(LN(2)/25)*Calculateur!BL33*Calculateur!BN33*VLOOKUP('Données projet'!$B$11,Paramètres!$A$1:$I$89,3,0)*0.475*44/12</f>
        <v>11.256130527085478</v>
      </c>
      <c r="BR33" s="21">
        <f>EXP(-LN(2)/2)*BR32+(1-EXP(-LN(2)/2))/(LN(2)/2)*BL33*BO33*VLOOKUP('Données projet'!$B$11,Paramètres!$A$1:$I$89,3,0)*0.475*44/12</f>
        <v>17.639273409624316</v>
      </c>
      <c r="BS33" s="22">
        <f t="shared" si="9"/>
        <v>30.847162301224525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105</v>
      </c>
      <c r="BW33" s="12">
        <f>VLOOKUP(A33,'Données projet'!$A$113:$I$133,9,0)</f>
        <v>6.3</v>
      </c>
      <c r="BX33" s="12">
        <f t="array" ref="BX33">INDEX(BW:BW,MIN(IF(ISNUMBER(BW33:BW229),ROW(BW33:BW229),"")))</f>
        <v>6.3</v>
      </c>
      <c r="BY33" s="12">
        <f>IF('Données projet'!$A$114&gt;35,BY32+BX33-CG32,IF(A33&lt;'Données projet'!$A$114,$BV$205^A33,IF(A33='Données projet'!$A$114,'Données projet'!$B$114,BY32+BX33-CG32)))</f>
        <v>104.99999999999997</v>
      </c>
      <c r="BZ33" s="13">
        <f>BY33*VLOOKUP('Données projet'!$B$12,Paramètres!$A$1:$I$89,3,0)*VLOOKUP('Données projet'!$B$12,Paramètres!$A$1:$I$89,5,0)</f>
        <v>95.003999999999962</v>
      </c>
      <c r="CA33" s="13">
        <f t="shared" si="39"/>
        <v>25.768242550600764</v>
      </c>
      <c r="CB33" s="20">
        <f t="shared" si="10"/>
        <v>210.34498910896289</v>
      </c>
      <c r="CC33" s="59">
        <f t="shared" si="11"/>
        <v>503.67832244229623</v>
      </c>
      <c r="CD33" s="59">
        <f ca="1">AVERAGE(OFFSET($CC$3,0,0,'Données projet'!$E$12+1,1))-AVERAGE(OFFSET($H$3,0,0,'Données projet'!$E$12+1,1))</f>
        <v>237.22177246688199</v>
      </c>
      <c r="CE33" s="59">
        <f t="shared" si="40"/>
        <v>149.27472147904302</v>
      </c>
      <c r="CF33" s="15">
        <f>IF(ISNA(VLOOKUP(A33,'Données projet'!$A$113:$I$133,3,0)),0,VLOOKUP(A33,'Données projet'!$A$113:$I$133,3,0))</f>
        <v>1</v>
      </c>
      <c r="CG33" s="15">
        <f>IF(ISNA(VLOOKUP(A33,'Données projet'!$A$113:$I$133,4,0)),0,VLOOKUP(A33,'Données projet'!$A$113:$I$133,4,0))</f>
        <v>29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0.1075</v>
      </c>
      <c r="CJ33" s="16">
        <f>IF(ISNA(VLOOKUP(A33,'Données projet'!$A$113:$I$133,7,0)),0%,VLOOKUP(A33,'Données projet'!$A$113:$I$133,7,0))</f>
        <v>0.25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3.1059381724899082</v>
      </c>
      <c r="CM33" s="21">
        <f>EXP(-LN(2)/2)*CM32+(1-EXP(-LN(2)/2))/(LN(2)/2)*CG33*CJ33*VLOOKUP('Données projet'!$B$12,Paramètres!$A$1:$I$89,3,0)*0.475*44/12</f>
        <v>6.1893478544284255</v>
      </c>
      <c r="CN33" s="22">
        <f t="shared" si="12"/>
        <v>9.2952860269183333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321</v>
      </c>
      <c r="CR33" s="12">
        <f>VLOOKUP(A33,'Données projet'!$A$139:$I$159,9,0)</f>
        <v>22.2</v>
      </c>
      <c r="CS33" s="12">
        <f t="array" ref="CS33">INDEX(CR:CR,MIN(IF(ISNUMBER(CR33:CR229),ROW(CR33:CR229),"")))</f>
        <v>22.2</v>
      </c>
      <c r="CT33" s="12">
        <f>IF('Données projet'!$A$140&gt;35,CT32+CS33-DB32,IF(A33&lt;'Données projet'!$A$140,$CQ$205^A33,IF(A33='Données projet'!$A$140,'Données projet'!$B$140,CT32+CS33-DB32)))</f>
        <v>320.99999999999989</v>
      </c>
      <c r="CU33" s="17">
        <f>CT33*VLOOKUP('Données projet'!$B$13,Paramètres!$A$1:$I$89,3,0)*VLOOKUP('Données projet'!$B$13,Paramètres!$A$1:$I$89,5,0)</f>
        <v>179.43899999999994</v>
      </c>
      <c r="CV33" s="13">
        <f t="shared" si="41"/>
        <v>45.19735133639599</v>
      </c>
      <c r="CW33" s="20">
        <f t="shared" si="13"/>
        <v>391.24164524422287</v>
      </c>
      <c r="CX33" s="59">
        <f t="shared" si="14"/>
        <v>684.57497857755618</v>
      </c>
      <c r="CY33" s="59">
        <f ca="1">AVERAGE(OFFSET($CX$3,0,0,'Données projet'!$E$13+1,1))-AVERAGE(OFFSET($H$3,0,0,'Données projet'!$E$13+1,1))</f>
        <v>326.31232746914907</v>
      </c>
      <c r="CZ33" s="59">
        <f t="shared" si="42"/>
        <v>330.17137761430297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112</v>
      </c>
      <c r="DC33" s="16">
        <f>IF(ISNA(VLOOKUP(A33,'Données projet'!$A$139:$I$159,5,0)),0%,VLOOKUP(A33,'Données projet'!$A$139:$I$159,5,0)*VLOOKUP('Données projet'!$B$13,Paramètres!$A$1:$I$89,7,0))</f>
        <v>5.5000000000000007E-2</v>
      </c>
      <c r="DD33" s="16">
        <f>IF(ISNA(VLOOKUP(A33,'Données projet'!$A$139:$I$159,6,0)),0%,VLOOKUP(A33,'Données projet'!$A$139:$I$159,6,0)*VLOOKUP('Données projet'!$B$13,Paramètres!$A$1:$I$89,7,0))</f>
        <v>0.24750000000000003</v>
      </c>
      <c r="DE33" s="16">
        <f>IF(ISNA(VLOOKUP(A33,'Données projet'!$A$139:$I$159,7,0)),0%,VLOOKUP(A33,'Données projet'!$A$139:$I$159,7,0))</f>
        <v>0.45</v>
      </c>
      <c r="DF33" s="21">
        <f>EXP(-LN(2)/35)*DF32+(1-EXP(-LN(2)/35))/(LN(2)/35)*DB33*DC33*VLOOKUP('Données projet'!$B$13,Paramètres!$A$1:$I$89,3,0)*0.475*44/12</f>
        <v>4.5679451084387308</v>
      </c>
      <c r="DG33" s="21">
        <f>EXP(-LN(2)/25)*DG32+(1-EXP(-LN(2)/25))/(LN(2)/25)*Calculateur!DB33*Calculateur!DD33*VLOOKUP('Données projet'!$B$13,Paramètres!$A$1:$I$89,3,0)*0.475*44/12</f>
        <v>30.172948268535706</v>
      </c>
      <c r="DH33" s="21">
        <f>EXP(-LN(2)/2)*DH32+(1-EXP(-LN(2)/2))/(LN(2)/2)*DB33*DE33*VLOOKUP('Données projet'!$B$13,Paramètres!$A$1:$I$89,3,0)*0.475*44/12</f>
        <v>32.522088370435227</v>
      </c>
      <c r="DI33" s="22">
        <f t="shared" si="15"/>
        <v>67.262981747409668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220</v>
      </c>
      <c r="DM33" s="12">
        <f>VLOOKUP(A33,'Données projet'!$A$165:$I$185,9,0)</f>
        <v>13.9</v>
      </c>
      <c r="DN33" s="12">
        <f t="array" ref="DN33">INDEX(DM:DM,MIN(IF(ISNUMBER(DM33:DM229),ROW(DM33:DM229),"")))</f>
        <v>13.9</v>
      </c>
      <c r="DO33" s="12">
        <f>IF('Données projet'!$A$166&gt;35,DO32+DN33-DW32,IF(A33&lt;'Données projet'!$A$166,$DL$205^A33,IF(A33='Données projet'!$A$166,'Données projet'!$B$166,DO32+DN33-DW32)))</f>
        <v>220.00000000000006</v>
      </c>
      <c r="DP33" s="17">
        <f>DO33*VLOOKUP('Données projet'!$B$14,Paramètres!$A$1:$I$89,3,0)*VLOOKUP('Données projet'!$B$14,Paramètres!$A$1:$I$89,5,0)</f>
        <v>137.28000000000003</v>
      </c>
      <c r="DQ33" s="13">
        <f t="shared" si="43"/>
        <v>35.673181961873446</v>
      </c>
      <c r="DR33" s="20">
        <f t="shared" si="16"/>
        <v>301.22679191692964</v>
      </c>
      <c r="DS33" s="59">
        <f t="shared" si="17"/>
        <v>594.5601252502629</v>
      </c>
      <c r="DT33" s="59">
        <f ca="1">AVERAGE(OFFSET($DS$3,0,0,'Données projet'!$E$14+1,1))-AVERAGE(OFFSET($H$3,0,0,'Données projet'!$E$14+1,1))</f>
        <v>209.93608079129638</v>
      </c>
      <c r="DU33" s="59">
        <f t="shared" si="44"/>
        <v>240.15652428700969</v>
      </c>
      <c r="DV33" s="15">
        <f>IF(ISNA(VLOOKUP(A33,'Données projet'!$A$165:$I$185,3,0)),0,VLOOKUP(A33,'Données projet'!$A$165:$I$185,3,0))</f>
        <v>2</v>
      </c>
      <c r="DW33" s="15">
        <f>IF(ISNA(VLOOKUP(A33,'Données projet'!$A$165:$I$185,4,0)),0,VLOOKUP(A33,'Données projet'!$A$165:$I$185,4,0))</f>
        <v>70</v>
      </c>
      <c r="DX33" s="16">
        <f>IF(ISNA(VLOOKUP(A33,'Données projet'!$A$165:$I$185,5,0)),0%,VLOOKUP(A33,'Données projet'!$A$165:$I$185,5,0)*VLOOKUP('Données projet'!$B$14,Paramètres!$A$1:$I$89,7,0))</f>
        <v>0.12</v>
      </c>
      <c r="DY33" s="16">
        <f>IF(ISNA(VLOOKUP(A33,'Données projet'!$A$165:$I$185,6,0)),0%,VLOOKUP(A33,'Données projet'!$A$165:$I$185,6,0)*VLOOKUP('Données projet'!$B$14,Paramètres!$A$1:$I$89,7,0))</f>
        <v>0.24</v>
      </c>
      <c r="DZ33" s="16">
        <f>IF(ISNA(VLOOKUP(A33,'Données projet'!$A$165:$I$185,7,0)),0%,VLOOKUP(A33,'Données projet'!$A$165:$I$185,7,0))</f>
        <v>0.4</v>
      </c>
      <c r="EA33" s="21">
        <f>EXP(-LN(2)/35)*EA32+(1-EXP(-LN(2)/35))/(LN(2)/35)*DW33*DX33*VLOOKUP('Données projet'!$B$14,Paramètres!$A$1:$I$89,3,0)*0.475*44/12</f>
        <v>6.9533202496318935</v>
      </c>
      <c r="EB33" s="21">
        <f>EXP(-LN(2)/25)*EB32+(1-EXP(-LN(2)/25))/(LN(2)/25)*Calculateur!DW33*Calculateur!DY33*VLOOKUP('Données projet'!$B$14,Paramètres!$A$1:$I$89,3,0)*0.475*44/12</f>
        <v>20.787908457840874</v>
      </c>
      <c r="EC33" s="21">
        <f>EXP(-LN(2)/2)*EC32+(1-EXP(-LN(2)/2))/(LN(2)/2)*DW33*DZ33*VLOOKUP('Données projet'!$B$14,Paramètres!$A$1:$I$89,3,0)*0.475*44/12</f>
        <v>20.190815503715083</v>
      </c>
      <c r="ED33" s="22">
        <f t="shared" si="18"/>
        <v>47.932044211187851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218</v>
      </c>
      <c r="EH33" s="12">
        <f>VLOOKUP(A33,'Données projet'!$A$191:$I$211,9,0)</f>
        <v>13</v>
      </c>
      <c r="EI33" s="12">
        <f t="array" ref="EI33">INDEX(EH:EH,MIN(IF(ISNUMBER(EH33:EH229),ROW(EH33:EH229),"")))</f>
        <v>13</v>
      </c>
      <c r="EJ33" s="12">
        <f>IF('Données projet'!$A$192&gt;35,EJ32+EI33-ER32,IF(A33&lt;'Données projet'!$A$192,$EG$205^A33,IF(A33='Données projet'!$A$192,'Données projet'!$B$192,EJ32+EI33-ER32)))</f>
        <v>218</v>
      </c>
      <c r="EK33" s="17">
        <f>EJ33*VLOOKUP('Données projet'!$B$15,Paramètres!$A$1:$I$89,3,0)*VLOOKUP('Données projet'!$B$15,Paramètres!$A$1:$I$89,5,0)</f>
        <v>130.364</v>
      </c>
      <c r="EL33" s="13">
        <f t="shared" si="45"/>
        <v>34.080455352788661</v>
      </c>
      <c r="EM33" s="20">
        <f t="shared" si="19"/>
        <v>286.40742640610694</v>
      </c>
      <c r="EN33" s="59">
        <f t="shared" si="20"/>
        <v>579.74075973944025</v>
      </c>
      <c r="EO33" s="59">
        <f ca="1">AVERAGE(OFFSET($EN$3,0,0,'Données projet'!$E$15+1,1))-AVERAGE(OFFSET($H$3,0,0,'Données projet'!$E$15+1,1))</f>
        <v>216.94426559495264</v>
      </c>
      <c r="EP33" s="59">
        <f t="shared" si="46"/>
        <v>225.33715877618704</v>
      </c>
      <c r="EQ33" s="15">
        <f>IF(ISNA(VLOOKUP(A33,'Données projet'!$A$191:$I$211,3,0)),0,VLOOKUP(A33,'Données projet'!$A$191:$I$211,3,0))</f>
        <v>2</v>
      </c>
      <c r="ER33" s="15">
        <f>IF(ISNA(VLOOKUP(A33,'Données projet'!$A$191:$I$211,4,0)),0,VLOOKUP(A33,'Données projet'!$A$191:$I$211,4,0))</f>
        <v>70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0.22500000000000001</v>
      </c>
      <c r="EU33" s="16">
        <f>IF(ISNA(VLOOKUP(A33,'Données projet'!$A$191:$I$211,7,0)),0%,VLOOKUP(A33,'Données projet'!$A$191:$I$211,7,0))</f>
        <v>0.5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12.84926355185025</v>
      </c>
      <c r="EX33" s="21">
        <f>EXP(-LN(2)/2)*EX32+(1-EXP(-LN(2)/2))/(LN(2)/2)*ER33*EU33*VLOOKUP('Données projet'!$B$15,Paramètres!$A$1:$I$89,3,0)*0.475*44/12</f>
        <v>23.729359873818968</v>
      </c>
      <c r="EY33" s="22">
        <f t="shared" si="21"/>
        <v>36.578623425669221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14.833333333333334</v>
      </c>
      <c r="FE33" s="12">
        <f>IF('Données projet'!$A$218&gt;35,FE32+FD33-FM32,IF(A33&lt;'Données projet'!$A$218,$FB$205^A33,IF(A33='Données projet'!$A$218,'Données projet'!$B$218,FE32+FD33-FM32)))</f>
        <v>184.66666666666669</v>
      </c>
      <c r="FF33" s="17">
        <f>FE33*VLOOKUP('Données projet'!$B$16,Paramètres!$A$1:$I$89,3,0)*VLOOKUP('Données projet'!$B$16,Paramètres!$A$1:$I$89,5,0)</f>
        <v>110.43066666666668</v>
      </c>
      <c r="FG33" s="13">
        <f t="shared" si="47"/>
        <v>29.43242991113809</v>
      </c>
      <c r="FH33" s="20">
        <f t="shared" si="22"/>
        <v>243.5948932063433</v>
      </c>
      <c r="FI33" s="59">
        <f t="shared" si="23"/>
        <v>536.92822653967664</v>
      </c>
      <c r="FJ33" s="59">
        <f ca="1">AVERAGE(OFFSET($FI$3,0,0,'Données projet'!$E$16+1,1))-AVERAGE(OFFSET($H$3,0,0,'Données projet'!$E$16+1,1))</f>
        <v>168.08890945052406</v>
      </c>
      <c r="FK33" s="59">
        <f t="shared" si="48"/>
        <v>182.52462557642343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6.2122642072721463</v>
      </c>
      <c r="FR33" s="21">
        <f>EXP(-LN(2)/25)*FR32+(1-EXP(-LN(2)/25))/(LN(2)/25)*Calculateur!FM33*Calculateur!FO33*VLOOKUP('Données projet'!$B$16,Paramètres!$A$1:$I$89,3,0)*0.475*44/12</f>
        <v>12.330882251955801</v>
      </c>
      <c r="FS33" s="21">
        <f>EXP(-LN(2)/2)*FS32+(1-EXP(-LN(2)/2))/(LN(2)/2)*FM33*FP33*VLOOKUP('Données projet'!$B$16,Paramètres!$A$1:$I$89,3,0)*0.475*44/12</f>
        <v>5.4456923740741496</v>
      </c>
      <c r="FT33" s="22">
        <f t="shared" si="24"/>
        <v>23.988838833302097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182</v>
      </c>
      <c r="FX33" s="12">
        <f>VLOOKUP(A33,'Données projet'!$A$243:$I$263,9,0)</f>
        <v>14.4</v>
      </c>
      <c r="FY33" s="12">
        <f t="array" ref="FY33">INDEX(FX:FX,MIN(IF(ISNUMBER(FX33:FX229),ROW(FX33:FX229),"")))</f>
        <v>14.4</v>
      </c>
      <c r="FZ33" s="12">
        <f>IF('Données projet'!$A$244&gt;35,FZ32+FY33-GH32,IF(A33&lt;'Données projet'!$A$244,$FW$205^A33,IF(A33='Données projet'!$A$244,'Données projet'!$B$244,FZ32+FY33-GH32)))</f>
        <v>182.00000000000003</v>
      </c>
      <c r="GA33" s="17">
        <f>FZ33*VLOOKUP('Données projet'!$B$17,Paramètres!$A$1:$I$89,3,0)*VLOOKUP('Données projet'!$B$17,Paramètres!$A$1:$I$89,5,0)</f>
        <v>104.10400000000001</v>
      </c>
      <c r="GB33" s="13">
        <f t="shared" si="49"/>
        <v>27.937418551182677</v>
      </c>
      <c r="GC33" s="20">
        <f t="shared" si="25"/>
        <v>229.97213730997649</v>
      </c>
      <c r="GD33" s="59">
        <f t="shared" si="26"/>
        <v>523.30547064330983</v>
      </c>
      <c r="GE33" s="59">
        <f ca="1">AVERAGE(OFFSET($GD$3,0,0,'Données projet'!$E$17+1,1))-AVERAGE(OFFSET($H$3,0,0,'Données projet'!$E$17+1,1))</f>
        <v>196.95560009657527</v>
      </c>
      <c r="GF33" s="59">
        <f t="shared" si="50"/>
        <v>168.90186968005662</v>
      </c>
      <c r="GG33" s="15">
        <f>IF(ISNA(VLOOKUP(A33,'Données projet'!$A$243:$I$263,3,0)),0,VLOOKUP(A33,'Données projet'!$A$243:$I$263,3,0))</f>
        <v>3</v>
      </c>
      <c r="GH33" s="15">
        <f>IF(ISNA(VLOOKUP(A33,'Données projet'!$A$243:$I$263,4,0)),0,VLOOKUP(A33,'Données projet'!$A$243:$I$263,4,0))</f>
        <v>36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0.22500000000000001</v>
      </c>
      <c r="GK33" s="16">
        <f>IF(ISNA(VLOOKUP(A33,'Données projet'!$A$243:$I$263,7,0)),0%,VLOOKUP(A33,'Données projet'!$A$243:$I$263,7,0))</f>
        <v>0.5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9.2309389817362391</v>
      </c>
      <c r="GN33" s="21">
        <f>EXP(-LN(2)/2)*GN32+(1-EXP(-LN(2)/2))/(LN(2)/2)*GH33*GK33*VLOOKUP('Données projet'!$B$17,Paramètres!$A$1:$I$89,3,0)*0.475*44/12</f>
        <v>12.859578352224764</v>
      </c>
      <c r="GO33" s="21">
        <f t="shared" si="27"/>
        <v>22.090517333961003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10.000000000000004</v>
      </c>
      <c r="N34" s="13">
        <f>IF('Données projet'!$A$36&gt;35,N33+M34-V33,IF(A34&lt;'Données projet'!$A$36,$K$205^A34,IF(A34='Données projet'!$A$36,'Données projet'!$B$36,N33+M34-V33)))</f>
        <v>201.59999999999988</v>
      </c>
      <c r="O34" s="13">
        <f>N34*VLOOKUP('Données projet'!$B$9,Paramètres!$A$1:$I$89,3,0)*VLOOKUP('Données projet'!$B$9,Paramètres!$A$1:$I$89,5,0)</f>
        <v>94.34879999999994</v>
      </c>
      <c r="P34" s="13">
        <f t="shared" si="33"/>
        <v>25.611153022386439</v>
      </c>
      <c r="Q34" s="20">
        <f t="shared" si="2"/>
        <v>208.93025151398959</v>
      </c>
      <c r="R34" s="59">
        <f t="shared" si="0"/>
        <v>502.26358484732293</v>
      </c>
      <c r="S34" s="59">
        <f ca="1">AVERAGE(OFFSET($R$3,0,0,'Données projet'!$E$9+1,1))-AVERAGE(OFFSET($H$3,0,0,'Données projet'!$E$9+1,1))</f>
        <v>215.23235148064941</v>
      </c>
      <c r="T34" s="59">
        <f t="shared" si="34"/>
        <v>184.07239726900434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3.0731143685149527</v>
      </c>
      <c r="AA34" s="21">
        <f>EXP(-LN(2)/25)*AA33+(1-EXP(-LN(2)/25))/(LN(2)/25)*Calculateur!V34*Calculateur!X34*VLOOKUP('Données projet'!$B$9,Paramètres!$A$1:$I$89,3,0)*0.475*44/12</f>
        <v>7.640656268132366</v>
      </c>
      <c r="AB34" s="21">
        <f>EXP(-LN(2)/2)*AB33+(1-EXP(-LN(2)/2))/(LN(2)/2)*V34*Y34*VLOOKUP('Données projet'!$B$9,Paramètres!$A$1:$I$89,3,0)*0.475*44/12</f>
        <v>6.9523986630401735</v>
      </c>
      <c r="AC34" s="22">
        <f t="shared" si="3"/>
        <v>17.666169299687493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10.199999999999999</v>
      </c>
      <c r="AI34" s="13">
        <f>IF('Données projet'!$A$62&gt;35,AI33+AH34-AQ33,IF(A34&lt;'Données projet'!$A$62,$AF$205^A34,IF(A34='Données projet'!$A$62,'Données projet'!$B$62,AI33+AH34-AQ33)))</f>
        <v>128.19999999999996</v>
      </c>
      <c r="AJ34" s="13">
        <f>AI34*VLOOKUP('Données projet'!$B$10,Paramètres!$A$1:$I$89,3,0)*VLOOKUP('Données projet'!$B$10,Paramètres!$A$1:$I$89,5,0)</f>
        <v>93.996239999999972</v>
      </c>
      <c r="AK34" s="13">
        <f t="shared" si="35"/>
        <v>25.526571389220692</v>
      </c>
      <c r="AL34" s="20">
        <f t="shared" si="4"/>
        <v>208.16889650289264</v>
      </c>
      <c r="AM34" s="59">
        <f t="shared" si="5"/>
        <v>501.50222983622598</v>
      </c>
      <c r="AN34" s="59">
        <f ca="1">AVERAGE(OFFSET($AM$3,0,0,'Données projet'!$E$10+1,1))-AVERAGE(OFFSET($H$3,0,0,'Données projet'!$E$10+1,1))</f>
        <v>178.12968684094687</v>
      </c>
      <c r="AO34" s="59">
        <f t="shared" si="36"/>
        <v>219.36004077210373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7.4782143621435786</v>
      </c>
      <c r="AW34" s="21">
        <f>EXP(-LN(2)/2)*AW33+(1-EXP(-LN(2)/2))/(LN(2)/2)*AQ34*AT34*VLOOKUP('Données projet'!$B$10,Paramètres!$A$1:$I$89,3,0)*0.475*44/12</f>
        <v>7.0127418245315223</v>
      </c>
      <c r="AX34" s="21">
        <f t="shared" si="6"/>
        <v>14.490956186675101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6.5</v>
      </c>
      <c r="BD34" s="12">
        <f>IF('Données projet'!$A$88&gt;35,BD33+BC34-BL33,IF(A34&lt;'Données projet'!$A$88,$BA$205^A34,IF(A34='Données projet'!$A$88,'Données projet'!$B$88,BD33+BC34-BL33)))</f>
        <v>87.5</v>
      </c>
      <c r="BE34" s="13">
        <f>BD34*VLOOKUP('Données projet'!$B$11,Paramètres!$A$1:$I$89,3,0)*VLOOKUP('Données projet'!$B$11,Paramètres!$A$1:$I$89,5,0)</f>
        <v>76.440000000000012</v>
      </c>
      <c r="BF34" s="13">
        <f t="shared" si="37"/>
        <v>21.264453036605779</v>
      </c>
      <c r="BG34" s="20">
        <f t="shared" si="7"/>
        <v>170.1685890387551</v>
      </c>
      <c r="BH34" s="59">
        <f t="shared" si="8"/>
        <v>463.50192237208842</v>
      </c>
      <c r="BI34" s="59">
        <f ca="1">AVERAGE(OFFSET($BH$3,0,0,'Données projet'!$E$11+1,1))-AVERAGE(OFFSET($H$3,0,0,'Données projet'!$E$11+1,1))</f>
        <v>114.02623091248347</v>
      </c>
      <c r="BJ34" s="59">
        <f t="shared" si="38"/>
        <v>185.51554083721635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1.9134855734416514</v>
      </c>
      <c r="BQ34" s="21">
        <f>EXP(-LN(2)/25)*BQ33+(1-EXP(-LN(2)/25))/(LN(2)/25)*Calculateur!BL34*Calculateur!BN34*VLOOKUP('Données projet'!$B$11,Paramètres!$A$1:$I$89,3,0)*0.475*44/12</f>
        <v>10.948331045888148</v>
      </c>
      <c r="BR34" s="21">
        <f>EXP(-LN(2)/2)*BR33+(1-EXP(-LN(2)/2))/(LN(2)/2)*BL34*BO34*VLOOKUP('Données projet'!$B$11,Paramètres!$A$1:$I$89,3,0)*0.475*44/12</f>
        <v>12.472849843148909</v>
      </c>
      <c r="BS34" s="22">
        <f t="shared" si="9"/>
        <v>25.334666462478708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8.1999999999999993</v>
      </c>
      <c r="BY34" s="12">
        <f>IF('Données projet'!$A$114&gt;35,BY33+BX34-CG33,IF(A34&lt;'Données projet'!$A$114,$BV$205^A34,IF(A34='Données projet'!$A$114,'Données projet'!$B$114,BY33+BX34-CG33)))</f>
        <v>84.199999999999974</v>
      </c>
      <c r="BZ34" s="13">
        <f>BY34*VLOOKUP('Données projet'!$B$12,Paramètres!$A$1:$I$89,3,0)*VLOOKUP('Données projet'!$B$12,Paramètres!$A$1:$I$89,5,0)</f>
        <v>76.184159999999977</v>
      </c>
      <c r="CA34" s="13">
        <f t="shared" si="39"/>
        <v>21.201554232857205</v>
      </c>
      <c r="CB34" s="20">
        <f t="shared" si="10"/>
        <v>169.61345228889294</v>
      </c>
      <c r="CC34" s="59">
        <f t="shared" si="11"/>
        <v>462.94678562222623</v>
      </c>
      <c r="CD34" s="59">
        <f ca="1">AVERAGE(OFFSET($CC$3,0,0,'Données projet'!$E$12+1,1))-AVERAGE(OFFSET($H$3,0,0,'Données projet'!$E$12+1,1))</f>
        <v>237.22177246688199</v>
      </c>
      <c r="CE34" s="59">
        <f t="shared" si="40"/>
        <v>149.27472147904302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3.0210061298289821</v>
      </c>
      <c r="CM34" s="21">
        <f>EXP(-LN(2)/2)*CM33+(1-EXP(-LN(2)/2))/(LN(2)/2)*CG34*CJ34*VLOOKUP('Données projet'!$B$12,Paramètres!$A$1:$I$89,3,0)*0.475*44/12</f>
        <v>4.3765298389887484</v>
      </c>
      <c r="CN34" s="22">
        <f t="shared" si="12"/>
        <v>7.3975359688177305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22</v>
      </c>
      <c r="CT34" s="12">
        <f>IF('Données projet'!$A$140&gt;35,CT33+CS34-DB33,IF(A34&lt;'Données projet'!$A$140,$CQ$205^A34,IF(A34='Données projet'!$A$140,'Données projet'!$B$140,CT33+CS34-DB33)))</f>
        <v>230.99999999999989</v>
      </c>
      <c r="CU34" s="17">
        <f>CT34*VLOOKUP('Données projet'!$B$13,Paramètres!$A$1:$I$89,3,0)*VLOOKUP('Données projet'!$B$13,Paramètres!$A$1:$I$89,5,0)</f>
        <v>129.12899999999993</v>
      </c>
      <c r="CV34" s="13">
        <f t="shared" si="41"/>
        <v>33.795018128858409</v>
      </c>
      <c r="CW34" s="20">
        <f t="shared" si="13"/>
        <v>283.75933157442824</v>
      </c>
      <c r="CX34" s="59">
        <f t="shared" si="14"/>
        <v>577.09266490776156</v>
      </c>
      <c r="CY34" s="59">
        <f ca="1">AVERAGE(OFFSET($CX$3,0,0,'Données projet'!$E$13+1,1))-AVERAGE(OFFSET($H$3,0,0,'Données projet'!$E$13+1,1))</f>
        <v>326.31232746914907</v>
      </c>
      <c r="CZ34" s="59">
        <f t="shared" si="42"/>
        <v>330.17137761430297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4.4783704910336519</v>
      </c>
      <c r="DG34" s="21">
        <f>EXP(-LN(2)/25)*DG33+(1-EXP(-LN(2)/25))/(LN(2)/25)*Calculateur!DB34*Calculateur!DD34*VLOOKUP('Données projet'!$B$13,Paramètres!$A$1:$I$89,3,0)*0.475*44/12</f>
        <v>29.347867411406209</v>
      </c>
      <c r="DH34" s="21">
        <f>EXP(-LN(2)/2)*DH33+(1-EXP(-LN(2)/2))/(LN(2)/2)*DB34*DE34*VLOOKUP('Données projet'!$B$13,Paramètres!$A$1:$I$89,3,0)*0.475*44/12</f>
        <v>22.996589225082907</v>
      </c>
      <c r="DI34" s="22">
        <f t="shared" si="15"/>
        <v>56.822827127522771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13.3</v>
      </c>
      <c r="DO34" s="12">
        <f>IF('Données projet'!$A$166&gt;35,DO33+DN34-DW33,IF(A34&lt;'Données projet'!$A$166,$DL$205^A34,IF(A34='Données projet'!$A$166,'Données projet'!$B$166,DO33+DN34-DW33)))</f>
        <v>163.30000000000007</v>
      </c>
      <c r="DP34" s="17">
        <f>DO34*VLOOKUP('Données projet'!$B$14,Paramètres!$A$1:$I$89,3,0)*VLOOKUP('Données projet'!$B$14,Paramètres!$A$1:$I$89,5,0)</f>
        <v>101.89920000000004</v>
      </c>
      <c r="DQ34" s="13">
        <f t="shared" si="43"/>
        <v>27.413959140905018</v>
      </c>
      <c r="DR34" s="20">
        <f t="shared" si="16"/>
        <v>225.22041883707629</v>
      </c>
      <c r="DS34" s="59">
        <f t="shared" si="17"/>
        <v>518.55375217040955</v>
      </c>
      <c r="DT34" s="59">
        <f ca="1">AVERAGE(OFFSET($DS$3,0,0,'Données projet'!$E$14+1,1))-AVERAGE(OFFSET($H$3,0,0,'Données projet'!$E$14+1,1))</f>
        <v>209.93608079129638</v>
      </c>
      <c r="DU34" s="59">
        <f t="shared" si="44"/>
        <v>240.15652428700969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6.8169698806431898</v>
      </c>
      <c r="EB34" s="21">
        <f>EXP(-LN(2)/25)*EB33+(1-EXP(-LN(2)/25))/(LN(2)/25)*Calculateur!DW34*Calculateur!DY34*VLOOKUP('Données projet'!$B$14,Paramètres!$A$1:$I$89,3,0)*0.475*44/12</f>
        <v>20.219462007872622</v>
      </c>
      <c r="EC34" s="21">
        <f>EXP(-LN(2)/2)*EC33+(1-EXP(-LN(2)/2))/(LN(2)/2)*DW34*DZ34*VLOOKUP('Données projet'!$B$14,Paramètres!$A$1:$I$89,3,0)*0.475*44/12</f>
        <v>14.277062560363413</v>
      </c>
      <c r="ED34" s="22">
        <f t="shared" si="18"/>
        <v>41.313494448879226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13.7</v>
      </c>
      <c r="EJ34" s="12">
        <f>IF('Données projet'!$A$192&gt;35,EJ33+EI34-ER33,IF(A34&lt;'Données projet'!$A$192,$EG$205^A34,IF(A34='Données projet'!$A$192,'Données projet'!$B$192,EJ33+EI34-ER33)))</f>
        <v>161.69999999999999</v>
      </c>
      <c r="EK34" s="17">
        <f>EJ34*VLOOKUP('Données projet'!$B$15,Paramètres!$A$1:$I$89,3,0)*VLOOKUP('Données projet'!$B$15,Paramètres!$A$1:$I$89,5,0)</f>
        <v>96.696600000000004</v>
      </c>
      <c r="EL34" s="13">
        <f t="shared" si="45"/>
        <v>26.173476069859898</v>
      </c>
      <c r="EM34" s="20">
        <f t="shared" si="19"/>
        <v>213.99871582167268</v>
      </c>
      <c r="EN34" s="59">
        <f t="shared" si="20"/>
        <v>507.33204915500596</v>
      </c>
      <c r="EO34" s="59">
        <f ca="1">AVERAGE(OFFSET($EN$3,0,0,'Données projet'!$E$15+1,1))-AVERAGE(OFFSET($H$3,0,0,'Données projet'!$E$15+1,1))</f>
        <v>216.94426559495264</v>
      </c>
      <c r="EP34" s="59">
        <f t="shared" si="46"/>
        <v>225.33715877618704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12.497899764311502</v>
      </c>
      <c r="EX34" s="21">
        <f>EXP(-LN(2)/2)*EX33+(1-EXP(-LN(2)/2))/(LN(2)/2)*ER34*EU34*VLOOKUP('Données projet'!$B$15,Paramètres!$A$1:$I$89,3,0)*0.475*44/12</f>
        <v>16.779191279993352</v>
      </c>
      <c r="EY34" s="22">
        <f t="shared" si="21"/>
        <v>29.277091044304854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14.833333333333334</v>
      </c>
      <c r="FE34" s="12">
        <f>IF('Données projet'!$A$218&gt;35,FE33+FD34-FM33,IF(A34&lt;'Données projet'!$A$218,$FB$205^A34,IF(A34='Données projet'!$A$218,'Données projet'!$B$218,FE33+FD34-FM33)))</f>
        <v>199.50000000000003</v>
      </c>
      <c r="FF34" s="17">
        <f>FE34*VLOOKUP('Données projet'!$B$16,Paramètres!$A$1:$I$89,3,0)*VLOOKUP('Données projet'!$B$16,Paramètres!$A$1:$I$89,5,0)</f>
        <v>119.30100000000002</v>
      </c>
      <c r="FG34" s="13">
        <f t="shared" si="47"/>
        <v>31.51191363312137</v>
      </c>
      <c r="FH34" s="20">
        <f t="shared" si="22"/>
        <v>262.66582457768635</v>
      </c>
      <c r="FI34" s="59">
        <f t="shared" si="23"/>
        <v>555.99915791101967</v>
      </c>
      <c r="FJ34" s="59">
        <f ca="1">AVERAGE(OFFSET($FI$3,0,0,'Données projet'!$E$16+1,1))-AVERAGE(OFFSET($H$3,0,0,'Données projet'!$E$16+1,1))</f>
        <v>168.08890945052406</v>
      </c>
      <c r="FK34" s="59">
        <f t="shared" si="48"/>
        <v>182.52462557642343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6.0904454952745626</v>
      </c>
      <c r="FR34" s="21">
        <f>EXP(-LN(2)/25)*FR33+(1-EXP(-LN(2)/25))/(LN(2)/25)*Calculateur!FM34*Calculateur!FO34*VLOOKUP('Données projet'!$B$16,Paramètres!$A$1:$I$89,3,0)*0.475*44/12</f>
        <v>11.993693628323154</v>
      </c>
      <c r="FS34" s="21">
        <f>EXP(-LN(2)/2)*FS33+(1-EXP(-LN(2)/2))/(LN(2)/2)*FM34*FP34*VLOOKUP('Données projet'!$B$16,Paramètres!$A$1:$I$89,3,0)*0.475*44/12</f>
        <v>3.8506860059637007</v>
      </c>
      <c r="FT34" s="22">
        <f t="shared" si="24"/>
        <v>21.934825129561418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16.600000000000001</v>
      </c>
      <c r="FZ34" s="12">
        <f>IF('Données projet'!$A$244&gt;35,FZ33+FY34-GH33,IF(A34&lt;'Données projet'!$A$244,$FW$205^A34,IF(A34='Données projet'!$A$244,'Données projet'!$B$244,FZ33+FY34-GH33)))</f>
        <v>162.60000000000002</v>
      </c>
      <c r="GA34" s="17">
        <f>FZ34*VLOOKUP('Données projet'!$B$17,Paramètres!$A$1:$I$89,3,0)*VLOOKUP('Données projet'!$B$17,Paramètres!$A$1:$I$89,5,0)</f>
        <v>93.007200000000012</v>
      </c>
      <c r="GB34" s="13">
        <f t="shared" si="49"/>
        <v>25.289096064617418</v>
      </c>
      <c r="GC34" s="20">
        <f t="shared" si="25"/>
        <v>206.03271564587533</v>
      </c>
      <c r="GD34" s="59">
        <f t="shared" si="26"/>
        <v>499.36604897920864</v>
      </c>
      <c r="GE34" s="59">
        <f ca="1">AVERAGE(OFFSET($GD$3,0,0,'Données projet'!$E$17+1,1))-AVERAGE(OFFSET($H$3,0,0,'Données projet'!$E$17+1,1))</f>
        <v>196.95560009657527</v>
      </c>
      <c r="GF34" s="59">
        <f t="shared" si="50"/>
        <v>168.90186968005662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8.9785184698466782</v>
      </c>
      <c r="GN34" s="21">
        <f>EXP(-LN(2)/2)*GN33+(1-EXP(-LN(2)/2))/(LN(2)/2)*GH34*GK34*VLOOKUP('Données projet'!$B$17,Paramètres!$A$1:$I$89,3,0)*0.475*44/12</f>
        <v>9.0930950560578605</v>
      </c>
      <c r="GO34" s="21">
        <f t="shared" si="27"/>
        <v>18.071613525904539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10.000000000000004</v>
      </c>
      <c r="N35" s="13">
        <f>IF('Données projet'!$A$36&gt;35,N34+M35-V34,IF(A35&lt;'Données projet'!$A$36,$K$205^A35,IF(A35='Données projet'!$A$36,'Données projet'!$B$36,N34+M35-V34)))</f>
        <v>211.59999999999988</v>
      </c>
      <c r="O35" s="13">
        <f>N35*VLOOKUP('Données projet'!$B$9,Paramètres!$A$1:$I$89,3,0)*VLOOKUP('Données projet'!$B$9,Paramètres!$A$1:$I$89,5,0)</f>
        <v>99.028799999999947</v>
      </c>
      <c r="P35" s="13">
        <f t="shared" si="33"/>
        <v>26.730491283721712</v>
      </c>
      <c r="Q35" s="20">
        <f t="shared" ref="Q35:Q66" si="53">(O35+P35)*0.475*44/12</f>
        <v>219.0307656524819</v>
      </c>
      <c r="R35" s="59">
        <f t="shared" si="0"/>
        <v>512.36409898581519</v>
      </c>
      <c r="S35" s="59">
        <f ca="1">AVERAGE(OFFSET($R$3,0,0,'Données projet'!$E$9+1,1))-AVERAGE(OFFSET($H$3,0,0,'Données projet'!$E$9+1,1))</f>
        <v>215.23235148064941</v>
      </c>
      <c r="T35" s="59">
        <f t="shared" si="34"/>
        <v>184.07239726900434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3.0128524701630561</v>
      </c>
      <c r="AA35" s="21">
        <f>EXP(-LN(2)/25)*AA34+(1-EXP(-LN(2)/25))/(LN(2)/25)*Calculateur!V35*Calculateur!X35*VLOOKUP('Données projet'!$B$9,Paramètres!$A$1:$I$89,3,0)*0.475*44/12</f>
        <v>7.4317221206756363</v>
      </c>
      <c r="AB35" s="21">
        <f>EXP(-LN(2)/2)*AB34+(1-EXP(-LN(2)/2))/(LN(2)/2)*V35*Y35*VLOOKUP('Données projet'!$B$9,Paramètres!$A$1:$I$89,3,0)*0.475*44/12</f>
        <v>4.9160882401479942</v>
      </c>
      <c r="AC35" s="22">
        <f t="shared" si="3"/>
        <v>15.360662830986687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10.199999999999999</v>
      </c>
      <c r="AI35" s="13">
        <f>IF('Données projet'!$A$62&gt;35,AI34+AH35-AQ34,IF(A35&lt;'Données projet'!$A$62,$AF$205^A35,IF(A35='Données projet'!$A$62,'Données projet'!$B$62,AI34+AH35-AQ34)))</f>
        <v>138.39999999999995</v>
      </c>
      <c r="AJ35" s="13">
        <f>AI35*VLOOKUP('Données projet'!$B$10,Paramètres!$A$1:$I$89,3,0)*VLOOKUP('Données projet'!$B$10,Paramètres!$A$1:$I$89,5,0)</f>
        <v>101.47487999999996</v>
      </c>
      <c r="AK35" s="13">
        <f t="shared" si="35"/>
        <v>27.313067403955227</v>
      </c>
      <c r="AL35" s="20">
        <f t="shared" si="4"/>
        <v>224.30567506188856</v>
      </c>
      <c r="AM35" s="59">
        <f t="shared" si="5"/>
        <v>517.63900839522194</v>
      </c>
      <c r="AN35" s="59">
        <f ca="1">AVERAGE(OFFSET($AM$3,0,0,'Données projet'!$E$10+1,1))-AVERAGE(OFFSET($H$3,0,0,'Données projet'!$E$10+1,1))</f>
        <v>178.12968684094687</v>
      </c>
      <c r="AO35" s="59">
        <f t="shared" si="36"/>
        <v>219.36004077210373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7.2737221971485608</v>
      </c>
      <c r="AW35" s="21">
        <f>EXP(-LN(2)/2)*AW34+(1-EXP(-LN(2)/2))/(LN(2)/2)*AQ35*AT35*VLOOKUP('Données projet'!$B$10,Paramètres!$A$1:$I$89,3,0)*0.475*44/12</f>
        <v>4.9587572988367619</v>
      </c>
      <c r="AX35" s="21">
        <f t="shared" si="6"/>
        <v>12.232479495985324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6.5</v>
      </c>
      <c r="BD35" s="12">
        <f>IF('Données projet'!$A$88&gt;35,BD34+BC35-BL34,IF(A35&lt;'Données projet'!$A$88,$BA$205^A35,IF(A35='Données projet'!$A$88,'Données projet'!$B$88,BD34+BC35-BL34)))</f>
        <v>94</v>
      </c>
      <c r="BE35" s="13">
        <f>BD35*VLOOKUP('Données projet'!$B$11,Paramètres!$A$1:$I$89,3,0)*VLOOKUP('Données projet'!$B$11,Paramètres!$A$1:$I$89,5,0)</f>
        <v>82.118400000000008</v>
      </c>
      <c r="BF35" s="13">
        <f t="shared" si="37"/>
        <v>22.654353452648408</v>
      </c>
      <c r="BG35" s="20">
        <f t="shared" si="7"/>
        <v>182.47921226336265</v>
      </c>
      <c r="BH35" s="59">
        <f t="shared" si="8"/>
        <v>475.81254559669594</v>
      </c>
      <c r="BI35" s="59">
        <f ca="1">AVERAGE(OFFSET($BH$3,0,0,'Données projet'!$E$11+1,1))-AVERAGE(OFFSET($H$3,0,0,'Données projet'!$E$11+1,1))</f>
        <v>114.02623091248347</v>
      </c>
      <c r="BJ35" s="59">
        <f t="shared" si="38"/>
        <v>185.51554083721635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1.8759632884574178</v>
      </c>
      <c r="BQ35" s="21">
        <f>EXP(-LN(2)/25)*BQ34+(1-EXP(-LN(2)/25))/(LN(2)/25)*Calculateur!BL35*Calculateur!BN35*VLOOKUP('Données projet'!$B$11,Paramètres!$A$1:$I$89,3,0)*0.475*44/12</f>
        <v>10.64894835769063</v>
      </c>
      <c r="BR35" s="21">
        <f>EXP(-LN(2)/2)*BR34+(1-EXP(-LN(2)/2))/(LN(2)/2)*BL35*BO35*VLOOKUP('Données projet'!$B$11,Paramètres!$A$1:$I$89,3,0)*0.475*44/12</f>
        <v>8.8196367048121598</v>
      </c>
      <c r="BS35" s="22">
        <f t="shared" si="9"/>
        <v>21.34454835096021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8.1999999999999993</v>
      </c>
      <c r="BY35" s="12">
        <f>IF('Données projet'!$A$114&gt;35,BY34+BX35-CG34,IF(A35&lt;'Données projet'!$A$114,$BV$205^A35,IF(A35='Données projet'!$A$114,'Données projet'!$B$114,BY34+BX35-CG34)))</f>
        <v>92.399999999999977</v>
      </c>
      <c r="BZ35" s="13">
        <f>BY35*VLOOKUP('Données projet'!$B$12,Paramètres!$A$1:$I$89,3,0)*VLOOKUP('Données projet'!$B$12,Paramètres!$A$1:$I$89,5,0)</f>
        <v>83.603519999999975</v>
      </c>
      <c r="CA35" s="13">
        <f t="shared" si="39"/>
        <v>23.015991519299678</v>
      </c>
      <c r="CB35" s="20">
        <f t="shared" si="10"/>
        <v>185.69564922944687</v>
      </c>
      <c r="CC35" s="59">
        <f t="shared" si="11"/>
        <v>479.02898256278019</v>
      </c>
      <c r="CD35" s="59">
        <f ca="1">AVERAGE(OFFSET($CC$3,0,0,'Données projet'!$E$12+1,1))-AVERAGE(OFFSET($H$3,0,0,'Données projet'!$E$12+1,1))</f>
        <v>237.22177246688199</v>
      </c>
      <c r="CE35" s="59">
        <f t="shared" si="40"/>
        <v>149.27472147904302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2.938396558341001</v>
      </c>
      <c r="CM35" s="21">
        <f>EXP(-LN(2)/2)*CM34+(1-EXP(-LN(2)/2))/(LN(2)/2)*CG35*CJ35*VLOOKUP('Données projet'!$B$12,Paramètres!$A$1:$I$89,3,0)*0.475*44/12</f>
        <v>3.0946739272142132</v>
      </c>
      <c r="CN35" s="22">
        <f t="shared" si="12"/>
        <v>6.0330704855552142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22</v>
      </c>
      <c r="CT35" s="12">
        <f>IF('Données projet'!$A$140&gt;35,CT34+CS35-DB34,IF(A35&lt;'Données projet'!$A$140,$CQ$205^A35,IF(A35='Données projet'!$A$140,'Données projet'!$B$140,CT34+CS35-DB34)))</f>
        <v>252.99999999999989</v>
      </c>
      <c r="CU35" s="17">
        <f>CT35*VLOOKUP('Données projet'!$B$13,Paramètres!$A$1:$I$89,3,0)*VLOOKUP('Données projet'!$B$13,Paramètres!$A$1:$I$89,5,0)</f>
        <v>141.42699999999994</v>
      </c>
      <c r="CV35" s="13">
        <f t="shared" si="41"/>
        <v>36.62371795968599</v>
      </c>
      <c r="CW35" s="20">
        <f t="shared" si="13"/>
        <v>310.10500044645295</v>
      </c>
      <c r="CX35" s="59">
        <f t="shared" si="14"/>
        <v>603.43833377978626</v>
      </c>
      <c r="CY35" s="59">
        <f ca="1">AVERAGE(OFFSET($CX$3,0,0,'Données projet'!$E$13+1,1))-AVERAGE(OFFSET($H$3,0,0,'Données projet'!$E$13+1,1))</f>
        <v>326.31232746914907</v>
      </c>
      <c r="CZ35" s="59">
        <f t="shared" si="42"/>
        <v>330.17137761430297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4.3905523772407644</v>
      </c>
      <c r="DG35" s="21">
        <f>EXP(-LN(2)/25)*DG34+(1-EXP(-LN(2)/25))/(LN(2)/25)*Calculateur!DB35*Calculateur!DD35*VLOOKUP('Données projet'!$B$13,Paramètres!$A$1:$I$89,3,0)*0.475*44/12</f>
        <v>28.545348433704035</v>
      </c>
      <c r="DH35" s="21">
        <f>EXP(-LN(2)/2)*DH34+(1-EXP(-LN(2)/2))/(LN(2)/2)*DB35*DE35*VLOOKUP('Données projet'!$B$13,Paramètres!$A$1:$I$89,3,0)*0.475*44/12</f>
        <v>16.261044185217617</v>
      </c>
      <c r="DI35" s="22">
        <f t="shared" si="15"/>
        <v>49.196944996162415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13.3</v>
      </c>
      <c r="DO35" s="12">
        <f>IF('Données projet'!$A$166&gt;35,DO34+DN35-DW34,IF(A35&lt;'Données projet'!$A$166,$DL$205^A35,IF(A35='Données projet'!$A$166,'Données projet'!$B$166,DO34+DN35-DW34)))</f>
        <v>176.60000000000008</v>
      </c>
      <c r="DP35" s="17">
        <f>DO35*VLOOKUP('Données projet'!$B$14,Paramètres!$A$1:$I$89,3,0)*VLOOKUP('Données projet'!$B$14,Paramètres!$A$1:$I$89,5,0)</f>
        <v>110.19840000000003</v>
      </c>
      <c r="DQ35" s="13">
        <f t="shared" si="43"/>
        <v>29.377724256456361</v>
      </c>
      <c r="DR35" s="20">
        <f t="shared" si="16"/>
        <v>243.09508307999488</v>
      </c>
      <c r="DS35" s="59">
        <f t="shared" si="17"/>
        <v>536.42841641332825</v>
      </c>
      <c r="DT35" s="59">
        <f ca="1">AVERAGE(OFFSET($DS$3,0,0,'Données projet'!$E$14+1,1))-AVERAGE(OFFSET($H$3,0,0,'Données projet'!$E$14+1,1))</f>
        <v>209.93608079129638</v>
      </c>
      <c r="DU35" s="59">
        <f t="shared" si="44"/>
        <v>240.15652428700969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6.6832932592248415</v>
      </c>
      <c r="EB35" s="21">
        <f>EXP(-LN(2)/25)*EB34+(1-EXP(-LN(2)/25))/(LN(2)/25)*Calculateur!DW35*Calculateur!DY35*VLOOKUP('Données projet'!$B$14,Paramètres!$A$1:$I$89,3,0)*0.475*44/12</f>
        <v>19.666559755972049</v>
      </c>
      <c r="EC35" s="21">
        <f>EXP(-LN(2)/2)*EC34+(1-EXP(-LN(2)/2))/(LN(2)/2)*DW35*DZ35*VLOOKUP('Données projet'!$B$14,Paramètres!$A$1:$I$89,3,0)*0.475*44/12</f>
        <v>10.095407751857543</v>
      </c>
      <c r="ED35" s="22">
        <f t="shared" si="18"/>
        <v>36.445260767054435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13.7</v>
      </c>
      <c r="EJ35" s="12">
        <f>IF('Données projet'!$A$192&gt;35,EJ34+EI35-ER34,IF(A35&lt;'Données projet'!$A$192,$EG$205^A35,IF(A35='Données projet'!$A$192,'Données projet'!$B$192,EJ34+EI35-ER34)))</f>
        <v>175.39999999999998</v>
      </c>
      <c r="EK35" s="17">
        <f>EJ35*VLOOKUP('Données projet'!$B$15,Paramètres!$A$1:$I$89,3,0)*VLOOKUP('Données projet'!$B$15,Paramètres!$A$1:$I$89,5,0)</f>
        <v>104.8892</v>
      </c>
      <c r="EL35" s="13">
        <f t="shared" si="45"/>
        <v>28.123526406473545</v>
      </c>
      <c r="EM35" s="20">
        <f t="shared" si="19"/>
        <v>231.66383182460808</v>
      </c>
      <c r="EN35" s="59">
        <f t="shared" si="20"/>
        <v>524.99716515794137</v>
      </c>
      <c r="EO35" s="59">
        <f ca="1">AVERAGE(OFFSET($EN$3,0,0,'Données projet'!$E$15+1,1))-AVERAGE(OFFSET($H$3,0,0,'Données projet'!$E$15+1,1))</f>
        <v>216.94426559495264</v>
      </c>
      <c r="EP35" s="59">
        <f t="shared" si="46"/>
        <v>225.33715877618704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12.15614403802042</v>
      </c>
      <c r="EX35" s="21">
        <f>EXP(-LN(2)/2)*EX34+(1-EXP(-LN(2)/2))/(LN(2)/2)*ER35*EU35*VLOOKUP('Données projet'!$B$15,Paramètres!$A$1:$I$89,3,0)*0.475*44/12</f>
        <v>11.864679936909486</v>
      </c>
      <c r="EY35" s="22">
        <f t="shared" si="21"/>
        <v>24.020823974929904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14.833333333333334</v>
      </c>
      <c r="FE35" s="12">
        <f>IF('Données projet'!$A$218&gt;35,FE34+FD35-FM34,IF(A35&lt;'Données projet'!$A$218,$FB$205^A35,IF(A35='Données projet'!$A$218,'Données projet'!$B$218,FE34+FD35-FM34)))</f>
        <v>214.33333333333337</v>
      </c>
      <c r="FF35" s="17">
        <f>FE35*VLOOKUP('Données projet'!$B$16,Paramètres!$A$1:$I$89,3,0)*VLOOKUP('Données projet'!$B$16,Paramètres!$A$1:$I$89,5,0)</f>
        <v>128.17133333333337</v>
      </c>
      <c r="FG35" s="13">
        <f t="shared" si="47"/>
        <v>33.5734603980111</v>
      </c>
      <c r="FH35" s="20">
        <f t="shared" si="22"/>
        <v>281.70551574875822</v>
      </c>
      <c r="FI35" s="59">
        <f t="shared" si="23"/>
        <v>575.03884908209147</v>
      </c>
      <c r="FJ35" s="59">
        <f ca="1">AVERAGE(OFFSET($FI$3,0,0,'Données projet'!$E$16+1,1))-AVERAGE(OFFSET($H$3,0,0,'Données projet'!$E$16+1,1))</f>
        <v>168.08890945052406</v>
      </c>
      <c r="FK35" s="59">
        <f t="shared" si="48"/>
        <v>182.52462557642343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5.9710155739171737</v>
      </c>
      <c r="FR35" s="21">
        <f>EXP(-LN(2)/25)*FR34+(1-EXP(-LN(2)/25))/(LN(2)/25)*Calculateur!FM35*Calculateur!FO35*VLOOKUP('Données projet'!$B$16,Paramètres!$A$1:$I$89,3,0)*0.475*44/12</f>
        <v>11.66572544533572</v>
      </c>
      <c r="FS35" s="21">
        <f>EXP(-LN(2)/2)*FS34+(1-EXP(-LN(2)/2))/(LN(2)/2)*FM35*FP35*VLOOKUP('Données projet'!$B$16,Paramètres!$A$1:$I$89,3,0)*0.475*44/12</f>
        <v>2.7228461870370753</v>
      </c>
      <c r="FT35" s="22">
        <f t="shared" si="24"/>
        <v>20.359587206289969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16.600000000000001</v>
      </c>
      <c r="FZ35" s="12">
        <f>IF('Données projet'!$A$244&gt;35,FZ34+FY35-GH34,IF(A35&lt;'Données projet'!$A$244,$FW$205^A35,IF(A35='Données projet'!$A$244,'Données projet'!$B$244,FZ34+FY35-GH34)))</f>
        <v>179.20000000000002</v>
      </c>
      <c r="GA35" s="17">
        <f>FZ35*VLOOKUP('Données projet'!$B$17,Paramètres!$A$1:$I$89,3,0)*VLOOKUP('Données projet'!$B$17,Paramètres!$A$1:$I$89,5,0)</f>
        <v>102.50240000000002</v>
      </c>
      <c r="GB35" s="13">
        <f t="shared" si="49"/>
        <v>27.557299572196182</v>
      </c>
      <c r="GC35" s="20">
        <f t="shared" si="25"/>
        <v>226.52064342157504</v>
      </c>
      <c r="GD35" s="59">
        <f t="shared" si="26"/>
        <v>519.85397675490833</v>
      </c>
      <c r="GE35" s="59">
        <f ca="1">AVERAGE(OFFSET($GD$3,0,0,'Données projet'!$E$17+1,1))-AVERAGE(OFFSET($H$3,0,0,'Données projet'!$E$17+1,1))</f>
        <v>196.95560009657527</v>
      </c>
      <c r="GF35" s="59">
        <f t="shared" si="50"/>
        <v>168.90186968005662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8.7330004101289553</v>
      </c>
      <c r="GN35" s="21">
        <f>EXP(-LN(2)/2)*GN34+(1-EXP(-LN(2)/2))/(LN(2)/2)*GH35*GK35*VLOOKUP('Données projet'!$B$17,Paramètres!$A$1:$I$89,3,0)*0.475*44/12</f>
        <v>6.4297891761123829</v>
      </c>
      <c r="GO35" s="21">
        <f t="shared" si="27"/>
        <v>15.162789586241338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10.000000000000004</v>
      </c>
      <c r="N36" s="13">
        <f>IF('Données projet'!$A$36&gt;35,N35+M36-V35,IF(A36&lt;'Données projet'!$A$36,$K$205^A36,IF(A36='Données projet'!$A$36,'Données projet'!$B$36,N35+M36-V35)))</f>
        <v>221.59999999999988</v>
      </c>
      <c r="O36" s="13">
        <f>N36*VLOOKUP('Données projet'!$B$9,Paramètres!$A$1:$I$89,3,0)*VLOOKUP('Données projet'!$B$9,Paramètres!$A$1:$I$89,5,0)</f>
        <v>103.70879999999994</v>
      </c>
      <c r="P36" s="13">
        <f t="shared" si="33"/>
        <v>27.84368661708951</v>
      </c>
      <c r="Q36" s="20">
        <f t="shared" si="53"/>
        <v>229.12058085809744</v>
      </c>
      <c r="R36" s="59">
        <f t="shared" si="0"/>
        <v>522.45391419143073</v>
      </c>
      <c r="S36" s="59">
        <f ca="1">AVERAGE(OFFSET($R$3,0,0,'Données projet'!$E$9+1,1))-AVERAGE(OFFSET($H$3,0,0,'Données projet'!$E$9+1,1))</f>
        <v>215.23235148064941</v>
      </c>
      <c r="T36" s="59">
        <f t="shared" si="34"/>
        <v>184.07239726900434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2.9537722708817116</v>
      </c>
      <c r="AA36" s="21">
        <f>EXP(-LN(2)/25)*AA35+(1-EXP(-LN(2)/25))/(LN(2)/25)*Calculateur!V36*Calculateur!X36*VLOOKUP('Données projet'!$B$9,Paramètres!$A$1:$I$89,3,0)*0.475*44/12</f>
        <v>7.2285012884684798</v>
      </c>
      <c r="AB36" s="21">
        <f>EXP(-LN(2)/2)*AB35+(1-EXP(-LN(2)/2))/(LN(2)/2)*V36*Y36*VLOOKUP('Données projet'!$B$9,Paramètres!$A$1:$I$89,3,0)*0.475*44/12</f>
        <v>3.4761993315200876</v>
      </c>
      <c r="AC36" s="22">
        <f t="shared" si="3"/>
        <v>13.658472890870279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10.199999999999999</v>
      </c>
      <c r="AI36" s="13">
        <f>IF('Données projet'!$A$62&gt;35,AI35+AH36-AQ35,IF(A36&lt;'Données projet'!$A$62,$AF$205^A36,IF(A36='Données projet'!$A$62,'Données projet'!$B$62,AI35+AH36-AQ35)))</f>
        <v>148.59999999999994</v>
      </c>
      <c r="AJ36" s="13">
        <f>AI36*VLOOKUP('Données projet'!$B$10,Paramètres!$A$1:$I$89,3,0)*VLOOKUP('Données projet'!$B$10,Paramètres!$A$1:$I$89,5,0)</f>
        <v>108.95351999999995</v>
      </c>
      <c r="AK36" s="13">
        <f t="shared" si="35"/>
        <v>29.084288721109843</v>
      </c>
      <c r="AL36" s="20">
        <f t="shared" si="4"/>
        <v>240.41585018926619</v>
      </c>
      <c r="AM36" s="59">
        <f t="shared" si="5"/>
        <v>533.74918352259954</v>
      </c>
      <c r="AN36" s="59">
        <f ca="1">AVERAGE(OFFSET($AM$3,0,0,'Données projet'!$E$10+1,1))-AVERAGE(OFFSET($H$3,0,0,'Données projet'!$E$10+1,1))</f>
        <v>178.12968684094687</v>
      </c>
      <c r="AO36" s="59">
        <f t="shared" si="36"/>
        <v>219.36004077210373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7.0748218811591075</v>
      </c>
      <c r="AW36" s="21">
        <f>EXP(-LN(2)/2)*AW35+(1-EXP(-LN(2)/2))/(LN(2)/2)*AQ36*AT36*VLOOKUP('Données projet'!$B$10,Paramètres!$A$1:$I$89,3,0)*0.475*44/12</f>
        <v>3.506370912265762</v>
      </c>
      <c r="AX36" s="21">
        <f t="shared" si="6"/>
        <v>10.581192793424869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6.5</v>
      </c>
      <c r="BD36" s="12">
        <f>IF('Données projet'!$A$88&gt;35,BD35+BC36-BL35,IF(A36&lt;'Données projet'!$A$88,$BA$205^A36,IF(A36='Données projet'!$A$88,'Données projet'!$B$88,BD35+BC36-BL35)))</f>
        <v>100.5</v>
      </c>
      <c r="BE36" s="13">
        <f>BD36*VLOOKUP('Données projet'!$B$11,Paramètres!$A$1:$I$89,3,0)*VLOOKUP('Données projet'!$B$11,Paramètres!$A$1:$I$89,5,0)</f>
        <v>87.796800000000019</v>
      </c>
      <c r="BF36" s="13">
        <f t="shared" si="37"/>
        <v>24.033102173590827</v>
      </c>
      <c r="BG36" s="20">
        <f t="shared" si="7"/>
        <v>194.77041295233741</v>
      </c>
      <c r="BH36" s="59">
        <f t="shared" si="8"/>
        <v>488.1037462856707</v>
      </c>
      <c r="BI36" s="59">
        <f ca="1">AVERAGE(OFFSET($BH$3,0,0,'Données projet'!$E$11+1,1))-AVERAGE(OFFSET($H$3,0,0,'Données projet'!$E$11+1,1))</f>
        <v>114.02623091248347</v>
      </c>
      <c r="BJ36" s="59">
        <f t="shared" si="38"/>
        <v>185.51554083721635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1.839176792595391</v>
      </c>
      <c r="BQ36" s="21">
        <f>EXP(-LN(2)/25)*BQ35+(1-EXP(-LN(2)/25))/(LN(2)/25)*Calculateur!BL36*Calculateur!BN36*VLOOKUP('Données projet'!$B$11,Paramètres!$A$1:$I$89,3,0)*0.475*44/12</f>
        <v>10.357752304845723</v>
      </c>
      <c r="BR36" s="21">
        <f>EXP(-LN(2)/2)*BR35+(1-EXP(-LN(2)/2))/(LN(2)/2)*BL36*BO36*VLOOKUP('Données projet'!$B$11,Paramètres!$A$1:$I$89,3,0)*0.475*44/12</f>
        <v>6.2364249215744554</v>
      </c>
      <c r="BS36" s="22">
        <f t="shared" si="9"/>
        <v>18.433354019015567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8.1999999999999993</v>
      </c>
      <c r="BY36" s="12">
        <f>IF('Données projet'!$A$114&gt;35,BY35+BX36-CG35,IF(A36&lt;'Données projet'!$A$114,$BV$205^A36,IF(A36='Données projet'!$A$114,'Données projet'!$B$114,BY35+BX36-CG35)))</f>
        <v>100.59999999999998</v>
      </c>
      <c r="BZ36" s="13">
        <f>BY36*VLOOKUP('Données projet'!$B$12,Paramètres!$A$1:$I$89,3,0)*VLOOKUP('Données projet'!$B$12,Paramètres!$A$1:$I$89,5,0)</f>
        <v>91.022879999999972</v>
      </c>
      <c r="CA36" s="13">
        <f t="shared" si="39"/>
        <v>24.811756526220293</v>
      </c>
      <c r="CB36" s="20">
        <f t="shared" si="10"/>
        <v>201.74532528316695</v>
      </c>
      <c r="CC36" s="59">
        <f t="shared" si="11"/>
        <v>495.07865861650026</v>
      </c>
      <c r="CD36" s="59">
        <f ca="1">AVERAGE(OFFSET($CC$3,0,0,'Données projet'!$E$12+1,1))-AVERAGE(OFFSET($H$3,0,0,'Données projet'!$E$12+1,1))</f>
        <v>237.22177246688199</v>
      </c>
      <c r="CE36" s="59">
        <f t="shared" si="40"/>
        <v>149.27472147904302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2.8580459499296071</v>
      </c>
      <c r="CM36" s="21">
        <f>EXP(-LN(2)/2)*CM35+(1-EXP(-LN(2)/2))/(LN(2)/2)*CG36*CJ36*VLOOKUP('Données projet'!$B$12,Paramètres!$A$1:$I$89,3,0)*0.475*44/12</f>
        <v>2.1882649194943746</v>
      </c>
      <c r="CN36" s="22">
        <f t="shared" si="12"/>
        <v>5.0463108694239818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22</v>
      </c>
      <c r="CT36" s="12">
        <f>IF('Données projet'!$A$140&gt;35,CT35+CS36-DB35,IF(A36&lt;'Données projet'!$A$140,$CQ$205^A36,IF(A36='Données projet'!$A$140,'Données projet'!$B$140,CT35+CS36-DB35)))</f>
        <v>274.99999999999989</v>
      </c>
      <c r="CU36" s="17">
        <f>CT36*VLOOKUP('Données projet'!$B$13,Paramètres!$A$1:$I$89,3,0)*VLOOKUP('Données projet'!$B$13,Paramètres!$A$1:$I$89,5,0)</f>
        <v>153.72499999999994</v>
      </c>
      <c r="CV36" s="13">
        <f t="shared" si="41"/>
        <v>39.423892922919691</v>
      </c>
      <c r="CW36" s="20">
        <f t="shared" si="13"/>
        <v>336.40098850741833</v>
      </c>
      <c r="CX36" s="59">
        <f t="shared" si="14"/>
        <v>629.73432184075159</v>
      </c>
      <c r="CY36" s="59">
        <f ca="1">AVERAGE(OFFSET($CX$3,0,0,'Données projet'!$E$13+1,1))-AVERAGE(OFFSET($H$3,0,0,'Données projet'!$E$13+1,1))</f>
        <v>326.31232746914907</v>
      </c>
      <c r="CZ36" s="59">
        <f t="shared" si="42"/>
        <v>330.17137761430297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4.3044563230955957</v>
      </c>
      <c r="DG36" s="21">
        <f>EXP(-LN(2)/25)*DG35+(1-EXP(-LN(2)/25))/(LN(2)/25)*Calculateur!DB36*Calculateur!DD36*VLOOKUP('Données projet'!$B$13,Paramètres!$A$1:$I$89,3,0)*0.475*44/12</f>
        <v>27.764774379649765</v>
      </c>
      <c r="DH36" s="21">
        <f>EXP(-LN(2)/2)*DH35+(1-EXP(-LN(2)/2))/(LN(2)/2)*DB36*DE36*VLOOKUP('Données projet'!$B$13,Paramètres!$A$1:$I$89,3,0)*0.475*44/12</f>
        <v>11.498294612541455</v>
      </c>
      <c r="DI36" s="22">
        <f t="shared" si="15"/>
        <v>43.567525315286815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13.3</v>
      </c>
      <c r="DO36" s="12">
        <f>IF('Données projet'!$A$166&gt;35,DO35+DN36-DW35,IF(A36&lt;'Données projet'!$A$166,$DL$205^A36,IF(A36='Données projet'!$A$166,'Données projet'!$B$166,DO35+DN36-DW35)))</f>
        <v>189.90000000000009</v>
      </c>
      <c r="DP36" s="17">
        <f>DO36*VLOOKUP('Données projet'!$B$14,Paramètres!$A$1:$I$89,3,0)*VLOOKUP('Données projet'!$B$14,Paramètres!$A$1:$I$89,5,0)</f>
        <v>118.49760000000006</v>
      </c>
      <c r="DQ36" s="13">
        <f t="shared" si="43"/>
        <v>31.324332637527956</v>
      </c>
      <c r="DR36" s="20">
        <f t="shared" si="16"/>
        <v>260.9398660103613</v>
      </c>
      <c r="DS36" s="59">
        <f t="shared" si="17"/>
        <v>554.27319934369461</v>
      </c>
      <c r="DT36" s="59">
        <f ca="1">AVERAGE(OFFSET($DS$3,0,0,'Données projet'!$E$14+1,1))-AVERAGE(OFFSET($H$3,0,0,'Données projet'!$E$14+1,1))</f>
        <v>209.93608079129638</v>
      </c>
      <c r="DU36" s="59">
        <f t="shared" si="44"/>
        <v>240.15652428700969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6.5522379548178185</v>
      </c>
      <c r="EB36" s="21">
        <f>EXP(-LN(2)/25)*EB35+(1-EXP(-LN(2)/25))/(LN(2)/25)*Calculateur!DW36*Calculateur!DY36*VLOOKUP('Données projet'!$B$14,Paramètres!$A$1:$I$89,3,0)*0.475*44/12</f>
        <v>19.128776645225564</v>
      </c>
      <c r="EC36" s="21">
        <f>EXP(-LN(2)/2)*EC35+(1-EXP(-LN(2)/2))/(LN(2)/2)*DW36*DZ36*VLOOKUP('Données projet'!$B$14,Paramètres!$A$1:$I$89,3,0)*0.475*44/12</f>
        <v>7.1385312801817076</v>
      </c>
      <c r="ED36" s="22">
        <f t="shared" si="18"/>
        <v>32.819545880225093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13.7</v>
      </c>
      <c r="EJ36" s="12">
        <f>IF('Données projet'!$A$192&gt;35,EJ35+EI36-ER35,IF(A36&lt;'Données projet'!$A$192,$EG$205^A36,IF(A36='Données projet'!$A$192,'Données projet'!$B$192,EJ35+EI36-ER35)))</f>
        <v>189.09999999999997</v>
      </c>
      <c r="EK36" s="17">
        <f>EJ36*VLOOKUP('Données projet'!$B$15,Paramètres!$A$1:$I$89,3,0)*VLOOKUP('Données projet'!$B$15,Paramètres!$A$1:$I$89,5,0)</f>
        <v>113.08179999999999</v>
      </c>
      <c r="EL36" s="13">
        <f t="shared" si="45"/>
        <v>30.055908915657483</v>
      </c>
      <c r="EM36" s="20">
        <f t="shared" si="19"/>
        <v>249.29817636143676</v>
      </c>
      <c r="EN36" s="59">
        <f t="shared" si="20"/>
        <v>542.6315096947701</v>
      </c>
      <c r="EO36" s="59">
        <f ca="1">AVERAGE(OFFSET($EN$3,0,0,'Données projet'!$E$15+1,1))-AVERAGE(OFFSET($H$3,0,0,'Données projet'!$E$15+1,1))</f>
        <v>216.94426559495264</v>
      </c>
      <c r="EP36" s="59">
        <f t="shared" si="46"/>
        <v>225.33715877618704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11.82373364003692</v>
      </c>
      <c r="EX36" s="21">
        <f>EXP(-LN(2)/2)*EX35+(1-EXP(-LN(2)/2))/(LN(2)/2)*ER36*EU36*VLOOKUP('Données projet'!$B$15,Paramètres!$A$1:$I$89,3,0)*0.475*44/12</f>
        <v>8.389595639996676</v>
      </c>
      <c r="EY36" s="22">
        <f t="shared" si="21"/>
        <v>20.213329280033598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14.833333333333334</v>
      </c>
      <c r="FE36" s="12">
        <f>IF('Données projet'!$A$218&gt;35,FE35+FD36-FM35,IF(A36&lt;'Données projet'!$A$218,$FB$205^A36,IF(A36='Données projet'!$A$218,'Données projet'!$B$218,FE35+FD36-FM35)))</f>
        <v>229.16666666666671</v>
      </c>
      <c r="FF36" s="17">
        <f>FE36*VLOOKUP('Données projet'!$B$16,Paramètres!$A$1:$I$89,3,0)*VLOOKUP('Données projet'!$B$16,Paramètres!$A$1:$I$89,5,0)</f>
        <v>137.04166666666671</v>
      </c>
      <c r="FG36" s="13">
        <f t="shared" si="47"/>
        <v>35.618452776877568</v>
      </c>
      <c r="FH36" s="20">
        <f t="shared" si="22"/>
        <v>300.7163746975063</v>
      </c>
      <c r="FI36" s="59">
        <f t="shared" si="23"/>
        <v>594.04970803083961</v>
      </c>
      <c r="FJ36" s="59">
        <f ca="1">AVERAGE(OFFSET($FI$3,0,0,'Données projet'!$E$16+1,1))-AVERAGE(OFFSET($H$3,0,0,'Données projet'!$E$16+1,1))</f>
        <v>168.08890945052406</v>
      </c>
      <c r="FK36" s="59">
        <f t="shared" si="48"/>
        <v>182.52462557642343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5.8539276004725442</v>
      </c>
      <c r="FR36" s="21">
        <f>EXP(-LN(2)/25)*FR35+(1-EXP(-LN(2)/25))/(LN(2)/25)*Calculateur!FM36*Calculateur!FO36*VLOOKUP('Données projet'!$B$16,Paramètres!$A$1:$I$89,3,0)*0.475*44/12</f>
        <v>11.346725569559176</v>
      </c>
      <c r="FS36" s="21">
        <f>EXP(-LN(2)/2)*FS35+(1-EXP(-LN(2)/2))/(LN(2)/2)*FM36*FP36*VLOOKUP('Données projet'!$B$16,Paramètres!$A$1:$I$89,3,0)*0.475*44/12</f>
        <v>1.9253430029818506</v>
      </c>
      <c r="FT36" s="22">
        <f t="shared" si="24"/>
        <v>19.125996173013572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16.600000000000001</v>
      </c>
      <c r="FZ36" s="12">
        <f>IF('Données projet'!$A$244&gt;35,FZ35+FY36-GH35,IF(A36&lt;'Données projet'!$A$244,$FW$205^A36,IF(A36='Données projet'!$A$244,'Données projet'!$B$244,FZ35+FY36-GH35)))</f>
        <v>195.8</v>
      </c>
      <c r="GA36" s="17">
        <f>FZ36*VLOOKUP('Données projet'!$B$17,Paramètres!$A$1:$I$89,3,0)*VLOOKUP('Données projet'!$B$17,Paramètres!$A$1:$I$89,5,0)</f>
        <v>111.99760000000001</v>
      </c>
      <c r="GB36" s="13">
        <f t="shared" si="49"/>
        <v>29.801140607184838</v>
      </c>
      <c r="GC36" s="20">
        <f t="shared" si="25"/>
        <v>246.96613989084696</v>
      </c>
      <c r="GD36" s="59">
        <f t="shared" si="26"/>
        <v>540.29947322418025</v>
      </c>
      <c r="GE36" s="59">
        <f ca="1">AVERAGE(OFFSET($GD$3,0,0,'Données projet'!$E$17+1,1))-AVERAGE(OFFSET($H$3,0,0,'Données projet'!$E$17+1,1))</f>
        <v>196.95560009657527</v>
      </c>
      <c r="GF36" s="59">
        <f t="shared" si="50"/>
        <v>168.90186968005662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8.4941960546654478</v>
      </c>
      <c r="GN36" s="21">
        <f>EXP(-LN(2)/2)*GN35+(1-EXP(-LN(2)/2))/(LN(2)/2)*GH36*GK36*VLOOKUP('Données projet'!$B$17,Paramètres!$A$1:$I$89,3,0)*0.475*44/12</f>
        <v>4.5465475280289311</v>
      </c>
      <c r="GO36" s="21">
        <f t="shared" si="27"/>
        <v>13.040743582694379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10.000000000000004</v>
      </c>
      <c r="N37" s="13">
        <f>IF('Données projet'!$A$36&gt;35,N36+M37-V36,IF(A37&lt;'Données projet'!$A$36,$K$205^A37,IF(A37='Données projet'!$A$36,'Données projet'!$B$36,N36+M37-V36)))</f>
        <v>231.59999999999988</v>
      </c>
      <c r="O37" s="13">
        <f>N37*VLOOKUP('Données projet'!$B$9,Paramètres!$A$1:$I$89,3,0)*VLOOKUP('Données projet'!$B$9,Paramètres!$A$1:$I$89,5,0)</f>
        <v>108.38879999999993</v>
      </c>
      <c r="P37" s="13">
        <f t="shared" si="33"/>
        <v>28.951047900249165</v>
      </c>
      <c r="Q37" s="20">
        <f t="shared" si="53"/>
        <v>239.20023509293381</v>
      </c>
      <c r="R37" s="59">
        <f t="shared" si="0"/>
        <v>532.53356842626715</v>
      </c>
      <c r="S37" s="59">
        <f ca="1">AVERAGE(OFFSET($R$3,0,0,'Données projet'!$E$9+1,1))-AVERAGE(OFFSET($H$3,0,0,'Données projet'!$E$9+1,1))</f>
        <v>215.23235148064941</v>
      </c>
      <c r="T37" s="59">
        <f t="shared" si="34"/>
        <v>184.07239726900434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2.895850598272911</v>
      </c>
      <c r="AA37" s="21">
        <f>EXP(-LN(2)/25)*AA36+(1-EXP(-LN(2)/25))/(LN(2)/25)*Calculateur!V37*Calculateur!X37*VLOOKUP('Données projet'!$B$9,Paramètres!$A$1:$I$89,3,0)*0.475*44/12</f>
        <v>7.0308375406049475</v>
      </c>
      <c r="AB37" s="21">
        <f>EXP(-LN(2)/2)*AB36+(1-EXP(-LN(2)/2))/(LN(2)/2)*V37*Y37*VLOOKUP('Données projet'!$B$9,Paramètres!$A$1:$I$89,3,0)*0.475*44/12</f>
        <v>2.4580441200739975</v>
      </c>
      <c r="AC37" s="22">
        <f t="shared" si="3"/>
        <v>12.384732258951857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10.199999999999999</v>
      </c>
      <c r="AI37" s="13">
        <f>IF('Données projet'!$A$62&gt;35,AI36+AH37-AQ36,IF(A37&lt;'Données projet'!$A$62,$AF$205^A37,IF(A37='Données projet'!$A$62,'Données projet'!$B$62,AI36+AH37-AQ36)))</f>
        <v>158.79999999999993</v>
      </c>
      <c r="AJ37" s="13">
        <f>AI37*VLOOKUP('Données projet'!$B$10,Paramètres!$A$1:$I$89,3,0)*VLOOKUP('Données projet'!$B$10,Paramètres!$A$1:$I$89,5,0)</f>
        <v>116.43215999999995</v>
      </c>
      <c r="AK37" s="13">
        <f t="shared" si="35"/>
        <v>30.841403080279388</v>
      </c>
      <c r="AL37" s="20">
        <f t="shared" si="4"/>
        <v>256.50145569815317</v>
      </c>
      <c r="AM37" s="59">
        <f t="shared" si="5"/>
        <v>549.83478903148648</v>
      </c>
      <c r="AN37" s="59">
        <f ca="1">AVERAGE(OFFSET($AM$3,0,0,'Données projet'!$E$10+1,1))-AVERAGE(OFFSET($H$3,0,0,'Données projet'!$E$10+1,1))</f>
        <v>178.12968684094687</v>
      </c>
      <c r="AO37" s="59">
        <f t="shared" si="36"/>
        <v>219.36004077210373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6.8813605047700985</v>
      </c>
      <c r="AW37" s="21">
        <f>EXP(-LN(2)/2)*AW36+(1-EXP(-LN(2)/2))/(LN(2)/2)*AQ37*AT37*VLOOKUP('Données projet'!$B$10,Paramètres!$A$1:$I$89,3,0)*0.475*44/12</f>
        <v>2.4793786494183814</v>
      </c>
      <c r="AX37" s="21">
        <f t="shared" si="6"/>
        <v>9.3607391541884795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6.5</v>
      </c>
      <c r="BD37" s="12">
        <f>IF('Données projet'!$A$88&gt;35,BD36+BC37-BL36,IF(A37&lt;'Données projet'!$A$88,$BA$205^A37,IF(A37='Données projet'!$A$88,'Données projet'!$B$88,BD36+BC37-BL36)))</f>
        <v>107</v>
      </c>
      <c r="BE37" s="13">
        <f>BD37*VLOOKUP('Données projet'!$B$11,Paramètres!$A$1:$I$89,3,0)*VLOOKUP('Données projet'!$B$11,Paramètres!$A$1:$I$89,5,0)</f>
        <v>93.475200000000015</v>
      </c>
      <c r="BF37" s="13">
        <f t="shared" si="37"/>
        <v>25.401502539965662</v>
      </c>
      <c r="BG37" s="20">
        <f t="shared" si="7"/>
        <v>207.04359025710687</v>
      </c>
      <c r="BH37" s="59">
        <f t="shared" si="8"/>
        <v>500.37692359044019</v>
      </c>
      <c r="BI37" s="59">
        <f ca="1">AVERAGE(OFFSET($BH$3,0,0,'Données projet'!$E$11+1,1))-AVERAGE(OFFSET($H$3,0,0,'Données projet'!$E$11+1,1))</f>
        <v>114.02623091248347</v>
      </c>
      <c r="BJ37" s="59">
        <f t="shared" si="38"/>
        <v>185.51554083721635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1.8031116574796715</v>
      </c>
      <c r="BQ37" s="21">
        <f>EXP(-LN(2)/25)*BQ36+(1-EXP(-LN(2)/25))/(LN(2)/25)*Calculateur!BL37*Calculateur!BN37*VLOOKUP('Données projet'!$B$11,Paramètres!$A$1:$I$89,3,0)*0.475*44/12</f>
        <v>10.074519023379196</v>
      </c>
      <c r="BR37" s="21">
        <f>EXP(-LN(2)/2)*BR36+(1-EXP(-LN(2)/2))/(LN(2)/2)*BL37*BO37*VLOOKUP('Données projet'!$B$11,Paramètres!$A$1:$I$89,3,0)*0.475*44/12</f>
        <v>4.4098183524060808</v>
      </c>
      <c r="BS37" s="22">
        <f t="shared" si="9"/>
        <v>16.287449033264949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8.1999999999999993</v>
      </c>
      <c r="BY37" s="12">
        <f>IF('Données projet'!$A$114&gt;35,BY36+BX37-CG36,IF(A37&lt;'Données projet'!$A$114,$BV$205^A37,IF(A37='Données projet'!$A$114,'Données projet'!$B$114,BY36+BX37-CG36)))</f>
        <v>108.79999999999998</v>
      </c>
      <c r="BZ37" s="13">
        <f>BY37*VLOOKUP('Données projet'!$B$12,Paramètres!$A$1:$I$89,3,0)*VLOOKUP('Données projet'!$B$12,Paramètres!$A$1:$I$89,5,0)</f>
        <v>98.442239999999984</v>
      </c>
      <c r="CA37" s="13">
        <f t="shared" si="39"/>
        <v>26.590544283900247</v>
      </c>
      <c r="CB37" s="20">
        <f t="shared" si="10"/>
        <v>217.76543262779288</v>
      </c>
      <c r="CC37" s="59">
        <f t="shared" si="11"/>
        <v>511.09876596112622</v>
      </c>
      <c r="CD37" s="59">
        <f ca="1">AVERAGE(OFFSET($CC$3,0,0,'Données projet'!$E$12+1,1))-AVERAGE(OFFSET($H$3,0,0,'Données projet'!$E$12+1,1))</f>
        <v>237.22177246688199</v>
      </c>
      <c r="CE37" s="59">
        <f t="shared" si="40"/>
        <v>149.27472147904302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2.7798925331306776</v>
      </c>
      <c r="CM37" s="21">
        <f>EXP(-LN(2)/2)*CM36+(1-EXP(-LN(2)/2))/(LN(2)/2)*CG37*CJ37*VLOOKUP('Données projet'!$B$12,Paramètres!$A$1:$I$89,3,0)*0.475*44/12</f>
        <v>1.5473369636071068</v>
      </c>
      <c r="CN37" s="22">
        <f t="shared" si="12"/>
        <v>4.3272294967377842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22</v>
      </c>
      <c r="CT37" s="12">
        <f>IF('Données projet'!$A$140&gt;35,CT36+CS37-DB36,IF(A37&lt;'Données projet'!$A$140,$CQ$205^A37,IF(A37='Données projet'!$A$140,'Données projet'!$B$140,CT36+CS37-DB36)))</f>
        <v>296.99999999999989</v>
      </c>
      <c r="CU37" s="17">
        <f>CT37*VLOOKUP('Données projet'!$B$13,Paramètres!$A$1:$I$89,3,0)*VLOOKUP('Données projet'!$B$13,Paramètres!$A$1:$I$89,5,0)</f>
        <v>166.02299999999994</v>
      </c>
      <c r="CV37" s="13">
        <f t="shared" si="41"/>
        <v>42.198084449395701</v>
      </c>
      <c r="CW37" s="20">
        <f t="shared" si="13"/>
        <v>362.6517220826974</v>
      </c>
      <c r="CX37" s="59">
        <f t="shared" si="14"/>
        <v>655.98505541603072</v>
      </c>
      <c r="CY37" s="59">
        <f ca="1">AVERAGE(OFFSET($CX$3,0,0,'Données projet'!$E$13+1,1))-AVERAGE(OFFSET($H$3,0,0,'Données projet'!$E$13+1,1))</f>
        <v>326.31232746914907</v>
      </c>
      <c r="CZ37" s="59">
        <f t="shared" si="42"/>
        <v>330.17137761430297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4.2200485600588058</v>
      </c>
      <c r="DG37" s="21">
        <f>EXP(-LN(2)/25)*DG36+(1-EXP(-LN(2)/25))/(LN(2)/25)*Calculateur!DB37*Calculateur!DD37*VLOOKUP('Données projet'!$B$13,Paramètres!$A$1:$I$89,3,0)*0.475*44/12</f>
        <v>27.005545164152213</v>
      </c>
      <c r="DH37" s="21">
        <f>EXP(-LN(2)/2)*DH36+(1-EXP(-LN(2)/2))/(LN(2)/2)*DB37*DE37*VLOOKUP('Données projet'!$B$13,Paramètres!$A$1:$I$89,3,0)*0.475*44/12</f>
        <v>8.1305220926088104</v>
      </c>
      <c r="DI37" s="22">
        <f t="shared" si="15"/>
        <v>39.35611581681983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13.3</v>
      </c>
      <c r="DO37" s="12">
        <f>IF('Données projet'!$A$166&gt;35,DO36+DN37-DW36,IF(A37&lt;'Données projet'!$A$166,$DL$205^A37,IF(A37='Données projet'!$A$166,'Données projet'!$B$166,DO36+DN37-DW36)))</f>
        <v>203.2000000000001</v>
      </c>
      <c r="DP37" s="17">
        <f>DO37*VLOOKUP('Données projet'!$B$14,Paramètres!$A$1:$I$89,3,0)*VLOOKUP('Données projet'!$B$14,Paramètres!$A$1:$I$89,5,0)</f>
        <v>126.79680000000006</v>
      </c>
      <c r="DQ37" s="13">
        <f t="shared" si="43"/>
        <v>33.25512256626952</v>
      </c>
      <c r="DR37" s="20">
        <f t="shared" si="16"/>
        <v>278.7570984695862</v>
      </c>
      <c r="DS37" s="59">
        <f t="shared" si="17"/>
        <v>572.09043180291951</v>
      </c>
      <c r="DT37" s="59">
        <f ca="1">AVERAGE(OFFSET($DS$3,0,0,'Données projet'!$E$14+1,1))-AVERAGE(OFFSET($H$3,0,0,'Données projet'!$E$14+1,1))</f>
        <v>209.93608079129638</v>
      </c>
      <c r="DU37" s="59">
        <f t="shared" si="44"/>
        <v>240.15652428700969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6.4237525649943752</v>
      </c>
      <c r="EB37" s="21">
        <f>EXP(-LN(2)/25)*EB36+(1-EXP(-LN(2)/25))/(LN(2)/25)*Calculateur!DW37*Calculateur!DY37*VLOOKUP('Données projet'!$B$14,Paramètres!$A$1:$I$89,3,0)*0.475*44/12</f>
        <v>18.605699241923226</v>
      </c>
      <c r="EC37" s="21">
        <f>EXP(-LN(2)/2)*EC36+(1-EXP(-LN(2)/2))/(LN(2)/2)*DW37*DZ37*VLOOKUP('Données projet'!$B$14,Paramètres!$A$1:$I$89,3,0)*0.475*44/12</f>
        <v>5.0477038759287725</v>
      </c>
      <c r="ED37" s="22">
        <f t="shared" si="18"/>
        <v>30.077155682846371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13.7</v>
      </c>
      <c r="EJ37" s="12">
        <f>IF('Données projet'!$A$192&gt;35,EJ36+EI37-ER36,IF(A37&lt;'Données projet'!$A$192,$EG$205^A37,IF(A37='Données projet'!$A$192,'Données projet'!$B$192,EJ36+EI37-ER36)))</f>
        <v>202.79999999999995</v>
      </c>
      <c r="EK37" s="17">
        <f>EJ37*VLOOKUP('Données projet'!$B$15,Paramètres!$A$1:$I$89,3,0)*VLOOKUP('Données projet'!$B$15,Paramètres!$A$1:$I$89,5,0)</f>
        <v>121.27439999999999</v>
      </c>
      <c r="EL37" s="13">
        <f t="shared" si="45"/>
        <v>31.972049173215385</v>
      </c>
      <c r="EM37" s="20">
        <f t="shared" si="19"/>
        <v>266.90423231001677</v>
      </c>
      <c r="EN37" s="59">
        <f t="shared" si="20"/>
        <v>560.23756564335008</v>
      </c>
      <c r="EO37" s="59">
        <f ca="1">AVERAGE(OFFSET($EN$3,0,0,'Données projet'!$E$15+1,1))-AVERAGE(OFFSET($H$3,0,0,'Données projet'!$E$15+1,1))</f>
        <v>216.94426559495264</v>
      </c>
      <c r="EP37" s="59">
        <f t="shared" si="46"/>
        <v>225.33715877618704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11.500413021866981</v>
      </c>
      <c r="EX37" s="21">
        <f>EXP(-LN(2)/2)*EX36+(1-EXP(-LN(2)/2))/(LN(2)/2)*ER37*EU37*VLOOKUP('Données projet'!$B$15,Paramètres!$A$1:$I$89,3,0)*0.475*44/12</f>
        <v>5.9323399684547429</v>
      </c>
      <c r="EY37" s="22">
        <f t="shared" si="21"/>
        <v>17.432752990321724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>
        <f>VLOOKUP(A37,'Données projet'!$A$217:$I$237,2,0)</f>
        <v>244</v>
      </c>
      <c r="FC37" s="12">
        <f>VLOOKUP(A37,'Données projet'!$A$217:$I$237,9,0)</f>
        <v>14.833333333333334</v>
      </c>
      <c r="FD37" s="12">
        <f t="array" ref="FD37">INDEX(FC:FC,MIN(IF(ISNUMBER(FC37:FC233),ROW(FC37:FC233),"")))</f>
        <v>14.833333333333334</v>
      </c>
      <c r="FE37" s="12">
        <f>IF('Données projet'!$A$218&gt;35,FE36+FD37-FM36,IF(A37&lt;'Données projet'!$A$218,$FB$205^A37,IF(A37='Données projet'!$A$218,'Données projet'!$B$218,FE36+FD37-FM36)))</f>
        <v>244.00000000000006</v>
      </c>
      <c r="FF37" s="17">
        <f>FE37*VLOOKUP('Données projet'!$B$16,Paramètres!$A$1:$I$89,3,0)*VLOOKUP('Données projet'!$B$16,Paramètres!$A$1:$I$89,5,0)</f>
        <v>145.91200000000006</v>
      </c>
      <c r="FG37" s="13">
        <f t="shared" si="47"/>
        <v>37.648084239987625</v>
      </c>
      <c r="FH37" s="20">
        <f t="shared" si="22"/>
        <v>319.7004800513119</v>
      </c>
      <c r="FI37" s="59">
        <f t="shared" si="23"/>
        <v>613.03381338464521</v>
      </c>
      <c r="FJ37" s="59">
        <f ca="1">AVERAGE(OFFSET($FI$3,0,0,'Données projet'!$E$16+1,1))-AVERAGE(OFFSET($H$3,0,0,'Données projet'!$E$16+1,1))</f>
        <v>168.08890945052406</v>
      </c>
      <c r="FK37" s="59">
        <f t="shared" si="48"/>
        <v>182.52462557642343</v>
      </c>
      <c r="FL37" s="15">
        <f>IF(ISNA(VLOOKUP(A37,'Données projet'!$A$217:$I$237,3,0)),0,VLOOKUP(A37,'Données projet'!$A$217:$I$237,3,0))</f>
        <v>5</v>
      </c>
      <c r="FM37" s="15">
        <f>IF(ISNA(VLOOKUP(A37,'Données projet'!$A$217:$I$237,4,0)),0,VLOOKUP(A37,'Données projet'!$A$217:$I$237,4,0))</f>
        <v>46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5.7391356507705522</v>
      </c>
      <c r="FR37" s="21">
        <f>EXP(-LN(2)/25)*FR36+(1-EXP(-LN(2)/25))/(LN(2)/25)*Calculateur!FM37*Calculateur!FO37*VLOOKUP('Données projet'!$B$16,Paramètres!$A$1:$I$89,3,0)*0.475*44/12</f>
        <v>11.036448762161216</v>
      </c>
      <c r="FS37" s="21">
        <f>EXP(-LN(2)/2)*FS36+(1-EXP(-LN(2)/2))/(LN(2)/2)*FM37*FP37*VLOOKUP('Données projet'!$B$16,Paramètres!$A$1:$I$89,3,0)*0.475*44/12</f>
        <v>1.3614230935185379</v>
      </c>
      <c r="FT37" s="22">
        <f t="shared" si="24"/>
        <v>18.137007506450306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16.600000000000001</v>
      </c>
      <c r="FZ37" s="12">
        <f>IF('Données projet'!$A$244&gt;35,FZ36+FY37-GH36,IF(A37&lt;'Données projet'!$A$244,$FW$205^A37,IF(A37='Données projet'!$A$244,'Données projet'!$B$244,FZ36+FY37-GH36)))</f>
        <v>212.4</v>
      </c>
      <c r="GA37" s="17">
        <f>FZ37*VLOOKUP('Données projet'!$B$17,Paramètres!$A$1:$I$89,3,0)*VLOOKUP('Données projet'!$B$17,Paramètres!$A$1:$I$89,5,0)</f>
        <v>121.4928</v>
      </c>
      <c r="GB37" s="13">
        <f t="shared" si="49"/>
        <v>32.02291946024841</v>
      </c>
      <c r="GC37" s="20">
        <f t="shared" si="25"/>
        <v>267.37321139326599</v>
      </c>
      <c r="GD37" s="59">
        <f t="shared" si="26"/>
        <v>560.7065447265993</v>
      </c>
      <c r="GE37" s="59">
        <f ca="1">AVERAGE(OFFSET($GD$3,0,0,'Données projet'!$E$17+1,1))-AVERAGE(OFFSET($H$3,0,0,'Données projet'!$E$17+1,1))</f>
        <v>196.95560009657527</v>
      </c>
      <c r="GF37" s="59">
        <f t="shared" si="50"/>
        <v>168.90186968005662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8.2619218168602639</v>
      </c>
      <c r="GN37" s="21">
        <f>EXP(-LN(2)/2)*GN36+(1-EXP(-LN(2)/2))/(LN(2)/2)*GH37*GK37*VLOOKUP('Données projet'!$B$17,Paramètres!$A$1:$I$89,3,0)*0.475*44/12</f>
        <v>3.2148945880561923</v>
      </c>
      <c r="GO37" s="21">
        <f t="shared" si="27"/>
        <v>11.476816404916455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10.000000000000004</v>
      </c>
      <c r="N38" s="13">
        <f>IF('Données projet'!$A$36&gt;35,N37+M38-V37,IF(A38&lt;'Données projet'!$A$36,$K$205^A38,IF(A38='Données projet'!$A$36,'Données projet'!$B$36,N37+M38-V37)))</f>
        <v>241.59999999999988</v>
      </c>
      <c r="O38" s="13">
        <f>N38*VLOOKUP('Données projet'!$B$9,Paramètres!$A$1:$I$89,3,0)*VLOOKUP('Données projet'!$B$9,Paramètres!$A$1:$I$89,5,0)</f>
        <v>113.06879999999995</v>
      </c>
      <c r="P38" s="13">
        <f t="shared" si="33"/>
        <v>30.052855829090237</v>
      </c>
      <c r="Q38" s="20">
        <f t="shared" si="53"/>
        <v>249.27021723566543</v>
      </c>
      <c r="R38" s="59">
        <f t="shared" si="0"/>
        <v>542.6035505689988</v>
      </c>
      <c r="S38" s="59">
        <f ca="1">AVERAGE(OFFSET($R$3,0,0,'Données projet'!$E$9+1,1))-AVERAGE(OFFSET($H$3,0,0,'Données projet'!$E$9+1,1))</f>
        <v>215.23235148064941</v>
      </c>
      <c r="T38" s="59">
        <f t="shared" si="34"/>
        <v>184.07239726900434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2.8390647343352371</v>
      </c>
      <c r="AA38" s="21">
        <f>EXP(-LN(2)/25)*AA37+(1-EXP(-LN(2)/25))/(LN(2)/25)*Calculateur!V38*Calculateur!X38*VLOOKUP('Données projet'!$B$9,Paramètres!$A$1:$I$89,3,0)*0.475*44/12</f>
        <v>6.8385789183214278</v>
      </c>
      <c r="AB38" s="21">
        <f>EXP(-LN(2)/2)*AB37+(1-EXP(-LN(2)/2))/(LN(2)/2)*V38*Y38*VLOOKUP('Données projet'!$B$9,Paramètres!$A$1:$I$89,3,0)*0.475*44/12</f>
        <v>1.738099665760044</v>
      </c>
      <c r="AC38" s="22">
        <f t="shared" si="3"/>
        <v>11.415743318416709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10.199999999999999</v>
      </c>
      <c r="AI38" s="13">
        <f>IF('Données projet'!$A$62&gt;35,AI37+AH38-AQ37,IF(A38&lt;'Données projet'!$A$62,$AF$205^A38,IF(A38='Données projet'!$A$62,'Données projet'!$B$62,AI37+AH38-AQ37)))</f>
        <v>168.99999999999991</v>
      </c>
      <c r="AJ38" s="13">
        <f>AI38*VLOOKUP('Données projet'!$B$10,Paramètres!$A$1:$I$89,3,0)*VLOOKUP('Données projet'!$B$10,Paramètres!$A$1:$I$89,5,0)</f>
        <v>123.91079999999992</v>
      </c>
      <c r="AK38" s="13">
        <f t="shared" si="35"/>
        <v>32.585419727488834</v>
      </c>
      <c r="AL38" s="20">
        <f t="shared" si="4"/>
        <v>272.56424935870956</v>
      </c>
      <c r="AM38" s="59">
        <f t="shared" si="5"/>
        <v>565.89758269204287</v>
      </c>
      <c r="AN38" s="59">
        <f ca="1">AVERAGE(OFFSET($AM$3,0,0,'Données projet'!$E$10+1,1))-AVERAGE(OFFSET($H$3,0,0,'Données projet'!$E$10+1,1))</f>
        <v>178.12968684094687</v>
      </c>
      <c r="AO38" s="59">
        <f t="shared" si="36"/>
        <v>219.36004077210373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6.6931893398921387</v>
      </c>
      <c r="AW38" s="21">
        <f>EXP(-LN(2)/2)*AW37+(1-EXP(-LN(2)/2))/(LN(2)/2)*AQ38*AT38*VLOOKUP('Données projet'!$B$10,Paramètres!$A$1:$I$89,3,0)*0.475*44/12</f>
        <v>1.7531854561328812</v>
      </c>
      <c r="AX38" s="21">
        <f t="shared" si="6"/>
        <v>8.4463747960250206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6.5</v>
      </c>
      <c r="BD38" s="12">
        <f>IF('Données projet'!$A$88&gt;35,BD37+BC38-BL37,IF(A38&lt;'Données projet'!$A$88,$BA$205^A38,IF(A38='Données projet'!$A$88,'Données projet'!$B$88,BD37+BC38-BL37)))</f>
        <v>113.5</v>
      </c>
      <c r="BE38" s="13">
        <f>BD38*VLOOKUP('Données projet'!$B$11,Paramètres!$A$1:$I$89,3,0)*VLOOKUP('Données projet'!$B$11,Paramètres!$A$1:$I$89,5,0)</f>
        <v>99.153600000000012</v>
      </c>
      <c r="BF38" s="13">
        <f t="shared" si="37"/>
        <v>26.760254775275566</v>
      </c>
      <c r="BG38" s="20">
        <f t="shared" si="7"/>
        <v>219.29996373360495</v>
      </c>
      <c r="BH38" s="59">
        <f t="shared" si="8"/>
        <v>512.63329706693821</v>
      </c>
      <c r="BI38" s="59">
        <f ca="1">AVERAGE(OFFSET($BH$3,0,0,'Données projet'!$E$11+1,1))-AVERAGE(OFFSET($H$3,0,0,'Données projet'!$E$11+1,1))</f>
        <v>114.02623091248347</v>
      </c>
      <c r="BJ38" s="59">
        <f t="shared" si="38"/>
        <v>185.51554083721635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1.7677537376660111</v>
      </c>
      <c r="BQ38" s="21">
        <f>EXP(-LN(2)/25)*BQ37+(1-EXP(-LN(2)/25))/(LN(2)/25)*Calculateur!BL38*Calculateur!BN38*VLOOKUP('Données projet'!$B$11,Paramètres!$A$1:$I$89,3,0)*0.475*44/12</f>
        <v>9.7990307708889617</v>
      </c>
      <c r="BR38" s="21">
        <f>EXP(-LN(2)/2)*BR37+(1-EXP(-LN(2)/2))/(LN(2)/2)*BL38*BO38*VLOOKUP('Données projet'!$B$11,Paramètres!$A$1:$I$89,3,0)*0.475*44/12</f>
        <v>3.1182124607872281</v>
      </c>
      <c r="BS38" s="22">
        <f t="shared" si="9"/>
        <v>14.684996969342201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8.1999999999999993</v>
      </c>
      <c r="BY38" s="12">
        <f>IF('Données projet'!$A$114&gt;35,BY37+BX38-CG37,IF(A38&lt;'Données projet'!$A$114,$BV$205^A38,IF(A38='Données projet'!$A$114,'Données projet'!$B$114,BY37+BX38-CG37)))</f>
        <v>116.99999999999999</v>
      </c>
      <c r="BZ38" s="13">
        <f>BY38*VLOOKUP('Données projet'!$B$12,Paramètres!$A$1:$I$89,3,0)*VLOOKUP('Données projet'!$B$12,Paramètres!$A$1:$I$89,5,0)</f>
        <v>105.86159999999998</v>
      </c>
      <c r="CA38" s="13">
        <f t="shared" si="39"/>
        <v>28.353779818951288</v>
      </c>
      <c r="CB38" s="20">
        <f t="shared" si="10"/>
        <v>233.75845318467347</v>
      </c>
      <c r="CC38" s="59">
        <f t="shared" si="11"/>
        <v>527.09178651800676</v>
      </c>
      <c r="CD38" s="59">
        <f ca="1">AVERAGE(OFFSET($CC$3,0,0,'Données projet'!$E$12+1,1))-AVERAGE(OFFSET($H$3,0,0,'Données projet'!$E$12+1,1))</f>
        <v>237.22177246688199</v>
      </c>
      <c r="CE38" s="59">
        <f t="shared" si="40"/>
        <v>149.27472147904302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2.7038762256240245</v>
      </c>
      <c r="CM38" s="21">
        <f>EXP(-LN(2)/2)*CM37+(1-EXP(-LN(2)/2))/(LN(2)/2)*CG38*CJ38*VLOOKUP('Données projet'!$B$12,Paramètres!$A$1:$I$89,3,0)*0.475*44/12</f>
        <v>1.0941324597471873</v>
      </c>
      <c r="CN38" s="22">
        <f t="shared" si="12"/>
        <v>3.7980086853712116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22</v>
      </c>
      <c r="CT38" s="12">
        <f>IF('Données projet'!$A$140&gt;35,CT37+CS38-DB37,IF(A38&lt;'Données projet'!$A$140,$CQ$205^A38,IF(A38='Données projet'!$A$140,'Données projet'!$B$140,CT37+CS38-DB37)))</f>
        <v>318.99999999999989</v>
      </c>
      <c r="CU38" s="17">
        <f>CT38*VLOOKUP('Données projet'!$B$13,Paramètres!$A$1:$I$89,3,0)*VLOOKUP('Données projet'!$B$13,Paramètres!$A$1:$I$89,5,0)</f>
        <v>178.32099999999994</v>
      </c>
      <c r="CV38" s="13">
        <f t="shared" si="41"/>
        <v>44.948436103175418</v>
      </c>
      <c r="CW38" s="20">
        <f t="shared" si="13"/>
        <v>388.86093454636375</v>
      </c>
      <c r="CX38" s="59">
        <f t="shared" si="14"/>
        <v>682.19426787969701</v>
      </c>
      <c r="CY38" s="59">
        <f ca="1">AVERAGE(OFFSET($CX$3,0,0,'Données projet'!$E$13+1,1))-AVERAGE(OFFSET($H$3,0,0,'Données projet'!$E$13+1,1))</f>
        <v>326.31232746914907</v>
      </c>
      <c r="CZ38" s="59">
        <f t="shared" si="42"/>
        <v>330.17137761430297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4.1372959817715156</v>
      </c>
      <c r="DG38" s="21">
        <f>EXP(-LN(2)/25)*DG37+(1-EXP(-LN(2)/25))/(LN(2)/25)*Calculateur!DB38*Calculateur!DD38*VLOOKUP('Données projet'!$B$13,Paramètres!$A$1:$I$89,3,0)*0.475*44/12</f>
        <v>26.267077111478574</v>
      </c>
      <c r="DH38" s="21">
        <f>EXP(-LN(2)/2)*DH37+(1-EXP(-LN(2)/2))/(LN(2)/2)*DB38*DE38*VLOOKUP('Données projet'!$B$13,Paramètres!$A$1:$I$89,3,0)*0.475*44/12</f>
        <v>5.7491473062707286</v>
      </c>
      <c r="DI38" s="22">
        <f t="shared" si="15"/>
        <v>36.153520399520815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13.3</v>
      </c>
      <c r="DO38" s="12">
        <f>IF('Données projet'!$A$166&gt;35,DO37+DN38-DW37,IF(A38&lt;'Données projet'!$A$166,$DL$205^A38,IF(A38='Données projet'!$A$166,'Données projet'!$B$166,DO37+DN38-DW37)))</f>
        <v>216.50000000000011</v>
      </c>
      <c r="DP38" s="17">
        <f>DO38*VLOOKUP('Données projet'!$B$14,Paramètres!$A$1:$I$89,3,0)*VLOOKUP('Données projet'!$B$14,Paramètres!$A$1:$I$89,5,0)</f>
        <v>135.09600000000006</v>
      </c>
      <c r="DQ38" s="13">
        <f t="shared" si="43"/>
        <v>35.171247228284784</v>
      </c>
      <c r="DR38" s="20">
        <f t="shared" si="16"/>
        <v>296.54878892259609</v>
      </c>
      <c r="DS38" s="59">
        <f t="shared" si="17"/>
        <v>589.8821222559294</v>
      </c>
      <c r="DT38" s="59">
        <f ca="1">AVERAGE(OFFSET($DS$3,0,0,'Données projet'!$E$14+1,1))-AVERAGE(OFFSET($H$3,0,0,'Données projet'!$E$14+1,1))</f>
        <v>209.93608079129638</v>
      </c>
      <c r="DU38" s="59">
        <f t="shared" si="44"/>
        <v>240.15652428700969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6.2977866952970194</v>
      </c>
      <c r="EB38" s="21">
        <f>EXP(-LN(2)/25)*EB37+(1-EXP(-LN(2)/25))/(LN(2)/25)*Calculateur!DW38*Calculateur!DY38*VLOOKUP('Données projet'!$B$14,Paramètres!$A$1:$I$89,3,0)*0.475*44/12</f>
        <v>18.096925417721636</v>
      </c>
      <c r="EC38" s="21">
        <f>EXP(-LN(2)/2)*EC37+(1-EXP(-LN(2)/2))/(LN(2)/2)*DW38*DZ38*VLOOKUP('Données projet'!$B$14,Paramètres!$A$1:$I$89,3,0)*0.475*44/12</f>
        <v>3.5692656400908547</v>
      </c>
      <c r="ED38" s="22">
        <f t="shared" si="18"/>
        <v>27.963977753109511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13.7</v>
      </c>
      <c r="EJ38" s="12">
        <f>IF('Données projet'!$A$192&gt;35,EJ37+EI38-ER37,IF(A38&lt;'Données projet'!$A$192,$EG$205^A38,IF(A38='Données projet'!$A$192,'Données projet'!$B$192,EJ37+EI38-ER37)))</f>
        <v>216.49999999999994</v>
      </c>
      <c r="EK38" s="17">
        <f>EJ38*VLOOKUP('Données projet'!$B$15,Paramètres!$A$1:$I$89,3,0)*VLOOKUP('Données projet'!$B$15,Paramètres!$A$1:$I$89,5,0)</f>
        <v>129.46699999999998</v>
      </c>
      <c r="EL38" s="13">
        <f t="shared" si="45"/>
        <v>33.873169248083329</v>
      </c>
      <c r="EM38" s="20">
        <f t="shared" si="19"/>
        <v>284.48412810707845</v>
      </c>
      <c r="EN38" s="59">
        <f t="shared" si="20"/>
        <v>577.81746144041176</v>
      </c>
      <c r="EO38" s="59">
        <f ca="1">AVERAGE(OFFSET($EN$3,0,0,'Données projet'!$E$15+1,1))-AVERAGE(OFFSET($H$3,0,0,'Données projet'!$E$15+1,1))</f>
        <v>216.94426559495264</v>
      </c>
      <c r="EP38" s="59">
        <f t="shared" si="46"/>
        <v>225.33715877618704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11.185933623003592</v>
      </c>
      <c r="EX38" s="21">
        <f>EXP(-LN(2)/2)*EX37+(1-EXP(-LN(2)/2))/(LN(2)/2)*ER38*EU38*VLOOKUP('Données projet'!$B$15,Paramètres!$A$1:$I$89,3,0)*0.475*44/12</f>
        <v>4.194797819998338</v>
      </c>
      <c r="EY38" s="22">
        <f t="shared" si="21"/>
        <v>15.380731443001931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12.833333333333334</v>
      </c>
      <c r="FE38" s="12">
        <f>IF('Données projet'!$A$218&gt;35,FE37+FD38-FM37,IF(A38&lt;'Données projet'!$A$218,$FB$205^A38,IF(A38='Données projet'!$A$218,'Données projet'!$B$218,FE37+FD38-FM37)))</f>
        <v>210.83333333333337</v>
      </c>
      <c r="FF38" s="17">
        <f>FE38*VLOOKUP('Données projet'!$B$16,Paramètres!$A$1:$I$89,3,0)*VLOOKUP('Données projet'!$B$16,Paramètres!$A$1:$I$89,5,0)</f>
        <v>126.07833333333336</v>
      </c>
      <c r="FG38" s="13">
        <f t="shared" si="47"/>
        <v>33.08856817390501</v>
      </c>
      <c r="FH38" s="20">
        <f t="shared" si="22"/>
        <v>277.21568679177352</v>
      </c>
      <c r="FI38" s="59">
        <f t="shared" si="23"/>
        <v>570.54902012510684</v>
      </c>
      <c r="FJ38" s="59">
        <f ca="1">AVERAGE(OFFSET($FI$3,0,0,'Données projet'!$E$16+1,1))-AVERAGE(OFFSET($H$3,0,0,'Données projet'!$E$16+1,1))</f>
        <v>168.08890945052406</v>
      </c>
      <c r="FK38" s="59">
        <f t="shared" si="48"/>
        <v>182.52462557642343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5.6265947011860407</v>
      </c>
      <c r="FR38" s="21">
        <f>EXP(-LN(2)/25)*FR37+(1-EXP(-LN(2)/25))/(LN(2)/25)*Calculateur!FM38*Calculateur!FO38*VLOOKUP('Données projet'!$B$16,Paramètres!$A$1:$I$89,3,0)*0.475*44/12</f>
        <v>10.734656490378301</v>
      </c>
      <c r="FS38" s="21">
        <f>EXP(-LN(2)/2)*FS37+(1-EXP(-LN(2)/2))/(LN(2)/2)*FM38*FP38*VLOOKUP('Données projet'!$B$16,Paramètres!$A$1:$I$89,3,0)*0.475*44/12</f>
        <v>0.9626715014909254</v>
      </c>
      <c r="FT38" s="22">
        <f t="shared" si="24"/>
        <v>17.323922693055266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>
        <f>VLOOKUP(A38,'Données projet'!$A$243:$I$263,2,0)</f>
        <v>229</v>
      </c>
      <c r="FX38" s="12">
        <f>VLOOKUP(A38,'Données projet'!$A$243:$I$263,9,0)</f>
        <v>16.600000000000001</v>
      </c>
      <c r="FY38" s="12">
        <f t="array" ref="FY38">INDEX(FX:FX,MIN(IF(ISNUMBER(FX38:FX234),ROW(FX38:FX234),"")))</f>
        <v>16.600000000000001</v>
      </c>
      <c r="FZ38" s="12">
        <f>IF('Données projet'!$A$244&gt;35,FZ37+FY38-GH37,IF(A38&lt;'Données projet'!$A$244,$FW$205^A38,IF(A38='Données projet'!$A$244,'Données projet'!$B$244,FZ37+FY38-GH37)))</f>
        <v>229</v>
      </c>
      <c r="GA38" s="17">
        <f>FZ38*VLOOKUP('Données projet'!$B$17,Paramètres!$A$1:$I$89,3,0)*VLOOKUP('Données projet'!$B$17,Paramètres!$A$1:$I$89,5,0)</f>
        <v>130.988</v>
      </c>
      <c r="GB38" s="13">
        <f t="shared" si="49"/>
        <v>34.224556427728572</v>
      </c>
      <c r="GC38" s="20">
        <f t="shared" si="25"/>
        <v>287.74520244496057</v>
      </c>
      <c r="GD38" s="59">
        <f t="shared" si="26"/>
        <v>581.07853577829383</v>
      </c>
      <c r="GE38" s="59">
        <f ca="1">AVERAGE(OFFSET($GD$3,0,0,'Données projet'!$E$17+1,1))-AVERAGE(OFFSET($H$3,0,0,'Données projet'!$E$17+1,1))</f>
        <v>196.95560009657527</v>
      </c>
      <c r="GF38" s="59">
        <f t="shared" si="50"/>
        <v>168.90186968005662</v>
      </c>
      <c r="GG38" s="15">
        <f>IF(ISNA(VLOOKUP(A38,'Données projet'!$A$243:$I$263,3,0)),0,VLOOKUP(A38,'Données projet'!$A$243:$I$263,3,0))</f>
        <v>4</v>
      </c>
      <c r="GH38" s="15">
        <f>IF(ISNA(VLOOKUP(A38,'Données projet'!$A$243:$I$263,4,0)),0,VLOOKUP(A38,'Données projet'!$A$243:$I$263,4,0))</f>
        <v>49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0</v>
      </c>
      <c r="GM38" s="21">
        <f>EXP(-LN(2)/25)*GM37+(1-EXP(-LN(2)/25))/(LN(2)/25)*Calculateur!GH38*Calculateur!GJ38*VLOOKUP('Données projet'!$B$17,Paramètres!$A$1:$I$89,3,0)*0.475*44/12</f>
        <v>8.0359991303026348</v>
      </c>
      <c r="GN38" s="21">
        <f>EXP(-LN(2)/2)*GN37+(1-EXP(-LN(2)/2))/(LN(2)/2)*GH38*GK38*VLOOKUP('Données projet'!$B$17,Paramètres!$A$1:$I$89,3,0)*0.475*44/12</f>
        <v>2.273273764014466</v>
      </c>
      <c r="GO38" s="21">
        <f t="shared" si="27"/>
        <v>10.3092728943171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10.000000000000004</v>
      </c>
      <c r="N39" s="13">
        <f>IF('Données projet'!$A$36&gt;35,N38+M39-V38,IF(A39&lt;'Données projet'!$A$36,$K$205^A39,IF(A39='Données projet'!$A$36,'Données projet'!$B$36,N38+M39-V38)))</f>
        <v>251.59999999999988</v>
      </c>
      <c r="O39" s="13">
        <f>N39*VLOOKUP('Données projet'!$B$9,Paramètres!$A$1:$I$89,3,0)*VLOOKUP('Données projet'!$B$9,Paramètres!$A$1:$I$89,5,0)</f>
        <v>117.74879999999995</v>
      </c>
      <c r="P39" s="13">
        <f t="shared" si="33"/>
        <v>31.149366548366</v>
      </c>
      <c r="Q39" s="20">
        <f t="shared" si="53"/>
        <v>259.33097340507067</v>
      </c>
      <c r="R39" s="59">
        <f t="shared" si="0"/>
        <v>552.66430673840398</v>
      </c>
      <c r="S39" s="59">
        <f ca="1">AVERAGE(OFFSET($R$3,0,0,'Données projet'!$E$9+1,1))-AVERAGE(OFFSET($H$3,0,0,'Données projet'!$E$9+1,1))</f>
        <v>215.23235148064941</v>
      </c>
      <c r="T39" s="59">
        <f t="shared" si="34"/>
        <v>184.07239726900434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2.7833924065534239</v>
      </c>
      <c r="AA39" s="21">
        <f>EXP(-LN(2)/25)*AA38+(1-EXP(-LN(2)/25))/(LN(2)/25)*Calculateur!V39*Calculateur!X39*VLOOKUP('Données projet'!$B$9,Paramètres!$A$1:$I$89,3,0)*0.475*44/12</f>
        <v>6.6515776181746933</v>
      </c>
      <c r="AB39" s="21">
        <f>EXP(-LN(2)/2)*AB38+(1-EXP(-LN(2)/2))/(LN(2)/2)*V39*Y39*VLOOKUP('Données projet'!$B$9,Paramètres!$A$1:$I$89,3,0)*0.475*44/12</f>
        <v>1.229022060036999</v>
      </c>
      <c r="AC39" s="22">
        <f t="shared" si="3"/>
        <v>10.663992084765116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10.199999999999999</v>
      </c>
      <c r="AI39" s="13">
        <f>IF('Données projet'!$A$62&gt;35,AI38+AH39-AQ38,IF(A39&lt;'Données projet'!$A$62,$AF$205^A39,IF(A39='Données projet'!$A$62,'Données projet'!$B$62,AI38+AH39-AQ38)))</f>
        <v>179.1999999999999</v>
      </c>
      <c r="AJ39" s="13">
        <f>AI39*VLOOKUP('Données projet'!$B$10,Paramètres!$A$1:$I$89,3,0)*VLOOKUP('Données projet'!$B$10,Paramètres!$A$1:$I$89,5,0)</f>
        <v>131.38943999999992</v>
      </c>
      <c r="AK39" s="13">
        <f t="shared" si="35"/>
        <v>34.317219199328726</v>
      </c>
      <c r="AL39" s="20">
        <f t="shared" si="4"/>
        <v>288.60576477216404</v>
      </c>
      <c r="AM39" s="59">
        <f t="shared" si="5"/>
        <v>581.93909810549735</v>
      </c>
      <c r="AN39" s="59">
        <f ca="1">AVERAGE(OFFSET($AM$3,0,0,'Données projet'!$E$10+1,1))-AVERAGE(OFFSET($H$3,0,0,'Données projet'!$E$10+1,1))</f>
        <v>178.12968684094687</v>
      </c>
      <c r="AO39" s="59">
        <f t="shared" si="36"/>
        <v>219.36004077210373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6.5101637254132587</v>
      </c>
      <c r="AW39" s="21">
        <f>EXP(-LN(2)/2)*AW38+(1-EXP(-LN(2)/2))/(LN(2)/2)*AQ39*AT39*VLOOKUP('Données projet'!$B$10,Paramètres!$A$1:$I$89,3,0)*0.475*44/12</f>
        <v>1.2396893247091909</v>
      </c>
      <c r="AX39" s="21">
        <f t="shared" si="6"/>
        <v>7.7498530501224501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6.5</v>
      </c>
      <c r="BD39" s="12">
        <f>IF('Données projet'!$A$88&gt;35,BD38+BC39-BL38,IF(A39&lt;'Données projet'!$A$88,$BA$205^A39,IF(A39='Données projet'!$A$88,'Données projet'!$B$88,BD38+BC39-BL38)))</f>
        <v>120</v>
      </c>
      <c r="BE39" s="13">
        <f>BD39*VLOOKUP('Données projet'!$B$11,Paramètres!$A$1:$I$89,3,0)*VLOOKUP('Données projet'!$B$11,Paramètres!$A$1:$I$89,5,0)</f>
        <v>104.83200000000001</v>
      </c>
      <c r="BF39" s="13">
        <f t="shared" si="37"/>
        <v>28.109974371137717</v>
      </c>
      <c r="BG39" s="20">
        <f t="shared" si="7"/>
        <v>231.54060536306486</v>
      </c>
      <c r="BH39" s="59">
        <f t="shared" si="8"/>
        <v>524.87393869639823</v>
      </c>
      <c r="BI39" s="59">
        <f ca="1">AVERAGE(OFFSET($BH$3,0,0,'Données projet'!$E$11+1,1))-AVERAGE(OFFSET($H$3,0,0,'Données projet'!$E$11+1,1))</f>
        <v>114.02623091248347</v>
      </c>
      <c r="BJ39" s="59">
        <f t="shared" si="38"/>
        <v>185.51554083721635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1.7330891650936948</v>
      </c>
      <c r="BQ39" s="21">
        <f>EXP(-LN(2)/25)*BQ38+(1-EXP(-LN(2)/25))/(LN(2)/25)*Calculateur!BL39*Calculateur!BN39*VLOOKUP('Données projet'!$B$11,Paramètres!$A$1:$I$89,3,0)*0.475*44/12</f>
        <v>9.5310757591503705</v>
      </c>
      <c r="BR39" s="21">
        <f>EXP(-LN(2)/2)*BR38+(1-EXP(-LN(2)/2))/(LN(2)/2)*BL39*BO39*VLOOKUP('Données projet'!$B$11,Paramètres!$A$1:$I$89,3,0)*0.475*44/12</f>
        <v>2.2049091762030404</v>
      </c>
      <c r="BS39" s="22">
        <f t="shared" si="9"/>
        <v>13.469074100447106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8.1999999999999993</v>
      </c>
      <c r="BY39" s="12">
        <f>IF('Données projet'!$A$114&gt;35,BY38+BX39-CG38,IF(A39&lt;'Données projet'!$A$114,$BV$205^A39,IF(A39='Données projet'!$A$114,'Données projet'!$B$114,BY38+BX39-CG38)))</f>
        <v>125.19999999999999</v>
      </c>
      <c r="BZ39" s="13">
        <f>BY39*VLOOKUP('Données projet'!$B$12,Paramètres!$A$1:$I$89,3,0)*VLOOKUP('Données projet'!$B$12,Paramètres!$A$1:$I$89,5,0)</f>
        <v>113.28095999999998</v>
      </c>
      <c r="CA39" s="13">
        <f t="shared" si="39"/>
        <v>30.102677097724456</v>
      </c>
      <c r="CB39" s="20">
        <f t="shared" si="10"/>
        <v>249.72650127853672</v>
      </c>
      <c r="CC39" s="59">
        <f t="shared" si="11"/>
        <v>543.05983461186997</v>
      </c>
      <c r="CD39" s="59">
        <f ca="1">AVERAGE(OFFSET($CC$3,0,0,'Données projet'!$E$12+1,1))-AVERAGE(OFFSET($H$3,0,0,'Données projet'!$E$12+1,1))</f>
        <v>237.22177246688199</v>
      </c>
      <c r="CE39" s="59">
        <f t="shared" si="40"/>
        <v>149.27472147904302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2.6299385880436645</v>
      </c>
      <c r="CM39" s="21">
        <f>EXP(-LN(2)/2)*CM38+(1-EXP(-LN(2)/2))/(LN(2)/2)*CG39*CJ39*VLOOKUP('Données projet'!$B$12,Paramètres!$A$1:$I$89,3,0)*0.475*44/12</f>
        <v>0.77366848180355341</v>
      </c>
      <c r="CN39" s="22">
        <f t="shared" si="12"/>
        <v>3.4036070698472178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22</v>
      </c>
      <c r="CT39" s="12">
        <f>IF('Données projet'!$A$140&gt;35,CT38+CS39-DB38,IF(A39&lt;'Données projet'!$A$140,$CQ$205^A39,IF(A39='Données projet'!$A$140,'Données projet'!$B$140,CT38+CS39-DB38)))</f>
        <v>340.99999999999989</v>
      </c>
      <c r="CU39" s="17">
        <f>CT39*VLOOKUP('Données projet'!$B$13,Paramètres!$A$1:$I$89,3,0)*VLOOKUP('Données projet'!$B$13,Paramètres!$A$1:$I$89,5,0)</f>
        <v>190.61899999999991</v>
      </c>
      <c r="CV39" s="13">
        <f t="shared" si="41"/>
        <v>47.676779045481801</v>
      </c>
      <c r="CW39" s="20">
        <f t="shared" si="13"/>
        <v>415.03181517088063</v>
      </c>
      <c r="CX39" s="59">
        <f t="shared" si="14"/>
        <v>708.36514850421395</v>
      </c>
      <c r="CY39" s="59">
        <f ca="1">AVERAGE(OFFSET($CX$3,0,0,'Données projet'!$E$13+1,1))-AVERAGE(OFFSET($H$3,0,0,'Données projet'!$E$13+1,1))</f>
        <v>326.31232746914907</v>
      </c>
      <c r="CZ39" s="59">
        <f t="shared" si="42"/>
        <v>330.17137761430297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4.0561661310703503</v>
      </c>
      <c r="DG39" s="21">
        <f>EXP(-LN(2)/25)*DG38+(1-EXP(-LN(2)/25))/(LN(2)/25)*Calculateur!DB39*Calculateur!DD39*VLOOKUP('Données projet'!$B$13,Paramètres!$A$1:$I$89,3,0)*0.475*44/12</f>
        <v>25.548802506539641</v>
      </c>
      <c r="DH39" s="21">
        <f>EXP(-LN(2)/2)*DH38+(1-EXP(-LN(2)/2))/(LN(2)/2)*DB39*DE39*VLOOKUP('Données projet'!$B$13,Paramètres!$A$1:$I$89,3,0)*0.475*44/12</f>
        <v>4.0652610463044052</v>
      </c>
      <c r="DI39" s="22">
        <f t="shared" si="15"/>
        <v>33.6702296839144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13.3</v>
      </c>
      <c r="DO39" s="12">
        <f>IF('Données projet'!$A$166&gt;35,DO38+DN39-DW38,IF(A39&lt;'Données projet'!$A$166,$DL$205^A39,IF(A39='Données projet'!$A$166,'Données projet'!$B$166,DO38+DN39-DW38)))</f>
        <v>229.80000000000013</v>
      </c>
      <c r="DP39" s="17">
        <f>DO39*VLOOKUP('Données projet'!$B$14,Paramètres!$A$1:$I$89,3,0)*VLOOKUP('Données projet'!$B$14,Paramètres!$A$1:$I$89,5,0)</f>
        <v>143.39520000000007</v>
      </c>
      <c r="DQ39" s="13">
        <f t="shared" si="43"/>
        <v>37.073710117899822</v>
      </c>
      <c r="DR39" s="20">
        <f t="shared" si="16"/>
        <v>314.31668512200895</v>
      </c>
      <c r="DS39" s="59">
        <f t="shared" si="17"/>
        <v>607.65001845534221</v>
      </c>
      <c r="DT39" s="59">
        <f ca="1">AVERAGE(OFFSET($DS$3,0,0,'Données projet'!$E$14+1,1))-AVERAGE(OFFSET($H$3,0,0,'Données projet'!$E$14+1,1))</f>
        <v>209.93608079129638</v>
      </c>
      <c r="DU39" s="59">
        <f t="shared" si="44"/>
        <v>240.15652428700969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6.1742909394728347</v>
      </c>
      <c r="EB39" s="21">
        <f>EXP(-LN(2)/25)*EB38+(1-EXP(-LN(2)/25))/(LN(2)/25)*Calculateur!DW39*Calculateur!DY39*VLOOKUP('Données projet'!$B$14,Paramètres!$A$1:$I$89,3,0)*0.475*44/12</f>
        <v>17.602064040498092</v>
      </c>
      <c r="EC39" s="21">
        <f>EXP(-LN(2)/2)*EC38+(1-EXP(-LN(2)/2))/(LN(2)/2)*DW39*DZ39*VLOOKUP('Données projet'!$B$14,Paramètres!$A$1:$I$89,3,0)*0.475*44/12</f>
        <v>2.5238519379643867</v>
      </c>
      <c r="ED39" s="22">
        <f t="shared" si="18"/>
        <v>26.300206917935313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13.7</v>
      </c>
      <c r="EJ39" s="12">
        <f>IF('Données projet'!$A$192&gt;35,EJ38+EI39-ER38,IF(A39&lt;'Données projet'!$A$192,$EG$205^A39,IF(A39='Données projet'!$A$192,'Données projet'!$B$192,EJ38+EI39-ER38)))</f>
        <v>230.19999999999993</v>
      </c>
      <c r="EK39" s="17">
        <f>EJ39*VLOOKUP('Données projet'!$B$15,Paramètres!$A$1:$I$89,3,0)*VLOOKUP('Données projet'!$B$15,Paramètres!$A$1:$I$89,5,0)</f>
        <v>137.65959999999995</v>
      </c>
      <c r="EL39" s="13">
        <f t="shared" si="45"/>
        <v>35.760327802577585</v>
      </c>
      <c r="EM39" s="20">
        <f t="shared" si="19"/>
        <v>302.03970758948918</v>
      </c>
      <c r="EN39" s="59">
        <f t="shared" si="20"/>
        <v>595.3730409228225</v>
      </c>
      <c r="EO39" s="59">
        <f ca="1">AVERAGE(OFFSET($EN$3,0,0,'Données projet'!$E$15+1,1))-AVERAGE(OFFSET($H$3,0,0,'Données projet'!$E$15+1,1))</f>
        <v>216.94426559495264</v>
      </c>
      <c r="EP39" s="59">
        <f t="shared" si="46"/>
        <v>225.33715877618704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10.880053679839875</v>
      </c>
      <c r="EX39" s="21">
        <f>EXP(-LN(2)/2)*EX38+(1-EXP(-LN(2)/2))/(LN(2)/2)*ER39*EU39*VLOOKUP('Données projet'!$B$15,Paramètres!$A$1:$I$89,3,0)*0.475*44/12</f>
        <v>2.9661699842273714</v>
      </c>
      <c r="EY39" s="22">
        <f t="shared" si="21"/>
        <v>13.846223664067246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12.833333333333334</v>
      </c>
      <c r="FE39" s="12">
        <f>IF('Données projet'!$A$218&gt;35,FE38+FD39-FM38,IF(A39&lt;'Données projet'!$A$218,$FB$205^A39,IF(A39='Données projet'!$A$218,'Données projet'!$B$218,FE38+FD39-FM38)))</f>
        <v>223.66666666666671</v>
      </c>
      <c r="FF39" s="17">
        <f>FE39*VLOOKUP('Données projet'!$B$16,Paramètres!$A$1:$I$89,3,0)*VLOOKUP('Données projet'!$B$16,Paramètres!$A$1:$I$89,5,0)</f>
        <v>133.75266666666673</v>
      </c>
      <c r="FG39" s="13">
        <f t="shared" si="47"/>
        <v>34.86204901776788</v>
      </c>
      <c r="FH39" s="20">
        <f t="shared" si="22"/>
        <v>293.67062981705698</v>
      </c>
      <c r="FI39" s="59">
        <f t="shared" si="23"/>
        <v>587.00396315039029</v>
      </c>
      <c r="FJ39" s="59">
        <f ca="1">AVERAGE(OFFSET($FI$3,0,0,'Données projet'!$E$16+1,1))-AVERAGE(OFFSET($H$3,0,0,'Données projet'!$E$16+1,1))</f>
        <v>168.08890945052406</v>
      </c>
      <c r="FK39" s="59">
        <f t="shared" si="48"/>
        <v>182.52462557642343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5.5162606109796801</v>
      </c>
      <c r="FR39" s="21">
        <f>EXP(-LN(2)/25)*FR38+(1-EXP(-LN(2)/25))/(LN(2)/25)*Calculateur!FM39*Calculateur!FO39*VLOOKUP('Données projet'!$B$16,Paramètres!$A$1:$I$89,3,0)*0.475*44/12</f>
        <v>10.441116744137856</v>
      </c>
      <c r="FS39" s="21">
        <f>EXP(-LN(2)/2)*FS38+(1-EXP(-LN(2)/2))/(LN(2)/2)*FM39*FP39*VLOOKUP('Données projet'!$B$16,Paramètres!$A$1:$I$89,3,0)*0.475*44/12</f>
        <v>0.68071154675926904</v>
      </c>
      <c r="FT39" s="22">
        <f t="shared" si="24"/>
        <v>16.638088901876806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15.2</v>
      </c>
      <c r="FZ39" s="12">
        <f>IF('Données projet'!$A$244&gt;35,FZ38+FY39-GH38,IF(A39&lt;'Données projet'!$A$244,$FW$205^A39,IF(A39='Données projet'!$A$244,'Données projet'!$B$244,FZ38+FY39-GH38)))</f>
        <v>195.2</v>
      </c>
      <c r="GA39" s="17">
        <f>FZ39*VLOOKUP('Données projet'!$B$17,Paramètres!$A$1:$I$89,3,0)*VLOOKUP('Données projet'!$B$17,Paramètres!$A$1:$I$89,5,0)</f>
        <v>111.6544</v>
      </c>
      <c r="GB39" s="13">
        <f t="shared" si="49"/>
        <v>29.720434817267506</v>
      </c>
      <c r="GC39" s="20">
        <f t="shared" si="25"/>
        <v>246.22783730674089</v>
      </c>
      <c r="GD39" s="59">
        <f t="shared" si="26"/>
        <v>539.56117064007424</v>
      </c>
      <c r="GE39" s="59">
        <f ca="1">AVERAGE(OFFSET($GD$3,0,0,'Données projet'!$E$17+1,1))-AVERAGE(OFFSET($H$3,0,0,'Données projet'!$E$17+1,1))</f>
        <v>196.95560009657527</v>
      </c>
      <c r="GF39" s="59">
        <f t="shared" si="50"/>
        <v>168.90186968005662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0</v>
      </c>
      <c r="GM39" s="21">
        <f>EXP(-LN(2)/25)*GM38+(1-EXP(-LN(2)/25))/(LN(2)/25)*Calculateur!GH39*Calculateur!GJ39*VLOOKUP('Données projet'!$B$17,Paramètres!$A$1:$I$89,3,0)*0.475*44/12</f>
        <v>7.8162543114896819</v>
      </c>
      <c r="GN39" s="21">
        <f>EXP(-LN(2)/2)*GN38+(1-EXP(-LN(2)/2))/(LN(2)/2)*GH39*GK39*VLOOKUP('Données projet'!$B$17,Paramètres!$A$1:$I$89,3,0)*0.475*44/12</f>
        <v>1.6074472940280964</v>
      </c>
      <c r="GO39" s="21">
        <f t="shared" si="27"/>
        <v>9.4237016055177776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10.000000000000004</v>
      </c>
      <c r="N40" s="13">
        <f>IF('Données projet'!$A$36&gt;35,N39+M40-V39,IF(A40&lt;'Données projet'!$A$36,$K$205^A40,IF(A40='Données projet'!$A$36,'Données projet'!$B$36,N39+M40-V39)))</f>
        <v>261.59999999999991</v>
      </c>
      <c r="O40" s="13">
        <f>N40*VLOOKUP('Données projet'!$B$9,Paramètres!$A$1:$I$89,3,0)*VLOOKUP('Données projet'!$B$9,Paramètres!$A$1:$I$89,5,0)</f>
        <v>122.42879999999995</v>
      </c>
      <c r="P40" s="13">
        <f t="shared" si="33"/>
        <v>32.240814688958388</v>
      </c>
      <c r="Q40" s="20">
        <f t="shared" si="53"/>
        <v>269.38291224993577</v>
      </c>
      <c r="R40" s="59">
        <f t="shared" si="0"/>
        <v>562.71624558326903</v>
      </c>
      <c r="S40" s="59">
        <f ca="1">AVERAGE(OFFSET($R$3,0,0,'Données projet'!$E$9+1,1))-AVERAGE(OFFSET($H$3,0,0,'Données projet'!$E$9+1,1))</f>
        <v>215.23235148064941</v>
      </c>
      <c r="T40" s="59">
        <f t="shared" si="34"/>
        <v>184.07239726900434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2.7288117791626449</v>
      </c>
      <c r="AA40" s="21">
        <f>EXP(-LN(2)/25)*AA39+(1-EXP(-LN(2)/25))/(LN(2)/25)*Calculateur!V40*Calculateur!X40*VLOOKUP('Données projet'!$B$9,Paramètres!$A$1:$I$89,3,0)*0.475*44/12</f>
        <v>6.4696898784144414</v>
      </c>
      <c r="AB40" s="21">
        <f>EXP(-LN(2)/2)*AB39+(1-EXP(-LN(2)/2))/(LN(2)/2)*V40*Y40*VLOOKUP('Données projet'!$B$9,Paramètres!$A$1:$I$89,3,0)*0.475*44/12</f>
        <v>0.86904983288002213</v>
      </c>
      <c r="AC40" s="22">
        <f t="shared" si="3"/>
        <v>10.067551490457108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10.199999999999999</v>
      </c>
      <c r="AI40" s="13">
        <f>IF('Données projet'!$A$62&gt;35,AI39+AH40-AQ39,IF(A40&lt;'Données projet'!$A$62,$AF$205^A40,IF(A40='Données projet'!$A$62,'Données projet'!$B$62,AI39+AH40-AQ39)))</f>
        <v>189.39999999999989</v>
      </c>
      <c r="AJ40" s="13">
        <f>AI40*VLOOKUP('Données projet'!$B$10,Paramètres!$A$1:$I$89,3,0)*VLOOKUP('Données projet'!$B$10,Paramètres!$A$1:$I$89,5,0)</f>
        <v>138.86807999999991</v>
      </c>
      <c r="AK40" s="13">
        <f t="shared" si="35"/>
        <v>36.037576130973861</v>
      </c>
      <c r="AL40" s="20">
        <f t="shared" si="4"/>
        <v>304.62735109477933</v>
      </c>
      <c r="AM40" s="59">
        <f t="shared" si="5"/>
        <v>597.9606844281127</v>
      </c>
      <c r="AN40" s="59">
        <f ca="1">AVERAGE(OFFSET($AM$3,0,0,'Données projet'!$E$10+1,1))-AVERAGE(OFFSET($H$3,0,0,'Données projet'!$E$10+1,1))</f>
        <v>178.12968684094687</v>
      </c>
      <c r="AO40" s="59">
        <f t="shared" si="36"/>
        <v>219.36004077210373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6.3321429559872024</v>
      </c>
      <c r="AW40" s="21">
        <f>EXP(-LN(2)/2)*AW39+(1-EXP(-LN(2)/2))/(LN(2)/2)*AQ40*AT40*VLOOKUP('Données projet'!$B$10,Paramètres!$A$1:$I$89,3,0)*0.475*44/12</f>
        <v>0.87659272806644073</v>
      </c>
      <c r="AX40" s="21">
        <f t="shared" si="6"/>
        <v>7.208735684053643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6.5</v>
      </c>
      <c r="BD40" s="12">
        <f>IF('Données projet'!$A$88&gt;35,BD39+BC40-BL39,IF(A40&lt;'Données projet'!$A$88,$BA$205^A40,IF(A40='Données projet'!$A$88,'Données projet'!$B$88,BD39+BC40-BL39)))</f>
        <v>126.5</v>
      </c>
      <c r="BE40" s="13">
        <f>BD40*VLOOKUP('Données projet'!$B$11,Paramètres!$A$1:$I$89,3,0)*VLOOKUP('Données projet'!$B$11,Paramètres!$A$1:$I$89,5,0)</f>
        <v>110.5104</v>
      </c>
      <c r="BF40" s="13">
        <f t="shared" si="37"/>
        <v>29.451206375056387</v>
      </c>
      <c r="BG40" s="20">
        <f t="shared" si="7"/>
        <v>243.76646443655656</v>
      </c>
      <c r="BH40" s="59">
        <f t="shared" si="8"/>
        <v>537.09979776988985</v>
      </c>
      <c r="BI40" s="59">
        <f ca="1">AVERAGE(OFFSET($BH$3,0,0,'Données projet'!$E$11+1,1))-AVERAGE(OFFSET($H$3,0,0,'Données projet'!$E$11+1,1))</f>
        <v>114.02623091248347</v>
      </c>
      <c r="BJ40" s="59">
        <f t="shared" si="38"/>
        <v>185.51554083721635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1.6991043436462201</v>
      </c>
      <c r="BQ40" s="21">
        <f>EXP(-LN(2)/25)*BQ39+(1-EXP(-LN(2)/25))/(LN(2)/25)*Calculateur!BL40*Calculateur!BN40*VLOOKUP('Données projet'!$B$11,Paramètres!$A$1:$I$89,3,0)*0.475*44/12</f>
        <v>9.2704479912989122</v>
      </c>
      <c r="BR40" s="21">
        <f>EXP(-LN(2)/2)*BR39+(1-EXP(-LN(2)/2))/(LN(2)/2)*BL40*BO40*VLOOKUP('Données projet'!$B$11,Paramètres!$A$1:$I$89,3,0)*0.475*44/12</f>
        <v>1.5591062303936141</v>
      </c>
      <c r="BS40" s="22">
        <f t="shared" si="9"/>
        <v>12.528658565338745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8.1999999999999993</v>
      </c>
      <c r="BY40" s="12">
        <f>IF('Données projet'!$A$114&gt;35,BY39+BX40-CG39,IF(A40&lt;'Données projet'!$A$114,$BV$205^A40,IF(A40='Données projet'!$A$114,'Données projet'!$B$114,BY39+BX40-CG39)))</f>
        <v>133.39999999999998</v>
      </c>
      <c r="BZ40" s="13">
        <f>BY40*VLOOKUP('Données projet'!$B$12,Paramètres!$A$1:$I$89,3,0)*VLOOKUP('Données projet'!$B$12,Paramètres!$A$1:$I$89,5,0)</f>
        <v>120.70031999999998</v>
      </c>
      <c r="CA40" s="13">
        <f t="shared" si="39"/>
        <v>31.838282075030818</v>
      </c>
      <c r="CB40" s="20">
        <f t="shared" si="10"/>
        <v>265.67139861401193</v>
      </c>
      <c r="CC40" s="59">
        <f t="shared" si="11"/>
        <v>559.00473194734525</v>
      </c>
      <c r="CD40" s="59">
        <f ca="1">AVERAGE(OFFSET($CC$3,0,0,'Données projet'!$E$12+1,1))-AVERAGE(OFFSET($H$3,0,0,'Données projet'!$E$12+1,1))</f>
        <v>237.22177246688199</v>
      </c>
      <c r="CE40" s="59">
        <f t="shared" si="40"/>
        <v>149.27472147904302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2.5580227790511509</v>
      </c>
      <c r="CM40" s="21">
        <f>EXP(-LN(2)/2)*CM39+(1-EXP(-LN(2)/2))/(LN(2)/2)*CG40*CJ40*VLOOKUP('Données projet'!$B$12,Paramètres!$A$1:$I$89,3,0)*0.475*44/12</f>
        <v>0.54706622987359366</v>
      </c>
      <c r="CN40" s="22">
        <f t="shared" si="12"/>
        <v>3.1050890089247445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22</v>
      </c>
      <c r="CT40" s="12">
        <f>IF('Données projet'!$A$140&gt;35,CT39+CS40-DB39,IF(A40&lt;'Données projet'!$A$140,$CQ$205^A40,IF(A40='Données projet'!$A$140,'Données projet'!$B$140,CT39+CS40-DB39)))</f>
        <v>362.99999999999989</v>
      </c>
      <c r="CU40" s="17">
        <f>CT40*VLOOKUP('Données projet'!$B$13,Paramètres!$A$1:$I$89,3,0)*VLOOKUP('Données projet'!$B$13,Paramètres!$A$1:$I$89,5,0)</f>
        <v>202.91699999999994</v>
      </c>
      <c r="CV40" s="13">
        <f t="shared" si="41"/>
        <v>50.384694798587844</v>
      </c>
      <c r="CW40" s="20">
        <f t="shared" si="13"/>
        <v>441.16711844087371</v>
      </c>
      <c r="CX40" s="59">
        <f t="shared" si="14"/>
        <v>734.50045177420702</v>
      </c>
      <c r="CY40" s="59">
        <f ca="1">AVERAGE(OFFSET($CX$3,0,0,'Données projet'!$E$13+1,1))-AVERAGE(OFFSET($H$3,0,0,'Données projet'!$E$13+1,1))</f>
        <v>326.31232746914907</v>
      </c>
      <c r="CZ40" s="59">
        <f t="shared" si="42"/>
        <v>330.17137761430297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3.9766271872571117</v>
      </c>
      <c r="DG40" s="21">
        <f>EXP(-LN(2)/25)*DG39+(1-EXP(-LN(2)/25))/(LN(2)/25)*Calculateur!DB40*Calculateur!DD40*VLOOKUP('Données projet'!$B$13,Paramètres!$A$1:$I$89,3,0)*0.475*44/12</f>
        <v>24.850169158445183</v>
      </c>
      <c r="DH40" s="21">
        <f>EXP(-LN(2)/2)*DH39+(1-EXP(-LN(2)/2))/(LN(2)/2)*DB40*DE40*VLOOKUP('Données projet'!$B$13,Paramètres!$A$1:$I$89,3,0)*0.475*44/12</f>
        <v>2.8745736531353643</v>
      </c>
      <c r="DI40" s="22">
        <f t="shared" si="15"/>
        <v>31.701369998837659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13.3</v>
      </c>
      <c r="DO40" s="12">
        <f>IF('Données projet'!$A$166&gt;35,DO39+DN40-DW39,IF(A40&lt;'Données projet'!$A$166,$DL$205^A40,IF(A40='Données projet'!$A$166,'Données projet'!$B$166,DO39+DN40-DW39)))</f>
        <v>243.10000000000014</v>
      </c>
      <c r="DP40" s="17">
        <f>DO40*VLOOKUP('Données projet'!$B$14,Paramètres!$A$1:$I$89,3,0)*VLOOKUP('Données projet'!$B$14,Paramètres!$A$1:$I$89,5,0)</f>
        <v>151.69440000000009</v>
      </c>
      <c r="DQ40" s="13">
        <f t="shared" si="43"/>
        <v>38.963392010880654</v>
      </c>
      <c r="DR40" s="20">
        <f t="shared" si="16"/>
        <v>332.06232108561727</v>
      </c>
      <c r="DS40" s="59">
        <f t="shared" si="17"/>
        <v>625.39565441895058</v>
      </c>
      <c r="DT40" s="59">
        <f ca="1">AVERAGE(OFFSET($DS$3,0,0,'Données projet'!$E$14+1,1))-AVERAGE(OFFSET($H$3,0,0,'Données projet'!$E$14+1,1))</f>
        <v>209.93608079129638</v>
      </c>
      <c r="DU40" s="59">
        <f t="shared" si="44"/>
        <v>240.15652428700969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6.0532168600953895</v>
      </c>
      <c r="EB40" s="21">
        <f>EXP(-LN(2)/25)*EB39+(1-EXP(-LN(2)/25))/(LN(2)/25)*Calculateur!DW40*Calculateur!DY40*VLOOKUP('Données projet'!$B$14,Paramètres!$A$1:$I$89,3,0)*0.475*44/12</f>
        <v>17.120734673658355</v>
      </c>
      <c r="EC40" s="21">
        <f>EXP(-LN(2)/2)*EC39+(1-EXP(-LN(2)/2))/(LN(2)/2)*DW40*DZ40*VLOOKUP('Données projet'!$B$14,Paramètres!$A$1:$I$89,3,0)*0.475*44/12</f>
        <v>1.7846328200454276</v>
      </c>
      <c r="ED40" s="22">
        <f t="shared" si="18"/>
        <v>24.958584353799171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13.7</v>
      </c>
      <c r="EJ40" s="12">
        <f>IF('Données projet'!$A$192&gt;35,EJ39+EI40-ER39,IF(A40&lt;'Données projet'!$A$192,$EG$205^A40,IF(A40='Données projet'!$A$192,'Données projet'!$B$192,EJ39+EI40-ER39)))</f>
        <v>243.89999999999992</v>
      </c>
      <c r="EK40" s="17">
        <f>EJ40*VLOOKUP('Données projet'!$B$15,Paramètres!$A$1:$I$89,3,0)*VLOOKUP('Données projet'!$B$15,Paramètres!$A$1:$I$89,5,0)</f>
        <v>145.85219999999998</v>
      </c>
      <c r="EL40" s="13">
        <f t="shared" si="45"/>
        <v>37.634450370795903</v>
      </c>
      <c r="EM40" s="20">
        <f t="shared" si="19"/>
        <v>319.57258272913612</v>
      </c>
      <c r="EN40" s="59">
        <f t="shared" si="20"/>
        <v>612.90591606246949</v>
      </c>
      <c r="EO40" s="59">
        <f ca="1">AVERAGE(OFFSET($EN$3,0,0,'Données projet'!$E$15+1,1))-AVERAGE(OFFSET($H$3,0,0,'Données projet'!$E$15+1,1))</f>
        <v>216.94426559495264</v>
      </c>
      <c r="EP40" s="59">
        <f t="shared" si="46"/>
        <v>225.33715877618704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10.582538039807497</v>
      </c>
      <c r="EX40" s="21">
        <f>EXP(-LN(2)/2)*EX39+(1-EXP(-LN(2)/2))/(LN(2)/2)*ER40*EU40*VLOOKUP('Données projet'!$B$15,Paramètres!$A$1:$I$89,3,0)*0.475*44/12</f>
        <v>2.097398909999169</v>
      </c>
      <c r="EY40" s="22">
        <f t="shared" si="21"/>
        <v>12.679936949806667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12.833333333333334</v>
      </c>
      <c r="FE40" s="12">
        <f>IF('Données projet'!$A$218&gt;35,FE39+FD40-FM39,IF(A40&lt;'Données projet'!$A$218,$FB$205^A40,IF(A40='Données projet'!$A$218,'Données projet'!$B$218,FE39+FD40-FM39)))</f>
        <v>236.50000000000006</v>
      </c>
      <c r="FF40" s="17">
        <f>FE40*VLOOKUP('Données projet'!$B$16,Paramètres!$A$1:$I$89,3,0)*VLOOKUP('Données projet'!$B$16,Paramètres!$A$1:$I$89,5,0)</f>
        <v>141.42700000000005</v>
      </c>
      <c r="FG40" s="13">
        <f t="shared" si="47"/>
        <v>36.623717959686019</v>
      </c>
      <c r="FH40" s="20">
        <f t="shared" si="22"/>
        <v>310.10500044645323</v>
      </c>
      <c r="FI40" s="59">
        <f t="shared" si="23"/>
        <v>603.43833377978649</v>
      </c>
      <c r="FJ40" s="59">
        <f ca="1">AVERAGE(OFFSET($FI$3,0,0,'Données projet'!$E$16+1,1))-AVERAGE(OFFSET($H$3,0,0,'Données projet'!$E$16+1,1))</f>
        <v>168.08890945052406</v>
      </c>
      <c r="FK40" s="59">
        <f t="shared" si="48"/>
        <v>182.52462557642343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5.4080901049851162</v>
      </c>
      <c r="FR40" s="21">
        <f>EXP(-LN(2)/25)*FR39+(1-EXP(-LN(2)/25))/(LN(2)/25)*Calculateur!FM40*Calculateur!FO40*VLOOKUP('Données projet'!$B$16,Paramètres!$A$1:$I$89,3,0)*0.475*44/12</f>
        <v>10.15560385769494</v>
      </c>
      <c r="FS40" s="21">
        <f>EXP(-LN(2)/2)*FS39+(1-EXP(-LN(2)/2))/(LN(2)/2)*FM40*FP40*VLOOKUP('Données projet'!$B$16,Paramètres!$A$1:$I$89,3,0)*0.475*44/12</f>
        <v>0.48133575074546281</v>
      </c>
      <c r="FT40" s="22">
        <f t="shared" si="24"/>
        <v>16.045029713425517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15.2</v>
      </c>
      <c r="FZ40" s="12">
        <f>IF('Données projet'!$A$244&gt;35,FZ39+FY40-GH39,IF(A40&lt;'Données projet'!$A$244,$FW$205^A40,IF(A40='Données projet'!$A$244,'Données projet'!$B$244,FZ39+FY40-GH39)))</f>
        <v>210.39999999999998</v>
      </c>
      <c r="GA40" s="17">
        <f>FZ40*VLOOKUP('Données projet'!$B$17,Paramètres!$A$1:$I$89,3,0)*VLOOKUP('Données projet'!$B$17,Paramètres!$A$1:$I$89,5,0)</f>
        <v>120.3488</v>
      </c>
      <c r="GB40" s="13">
        <f t="shared" si="49"/>
        <v>31.756337418906501</v>
      </c>
      <c r="GC40" s="20">
        <f t="shared" si="25"/>
        <v>264.91644767126212</v>
      </c>
      <c r="GD40" s="59">
        <f t="shared" si="26"/>
        <v>558.24978100459543</v>
      </c>
      <c r="GE40" s="59">
        <f ca="1">AVERAGE(OFFSET($GD$3,0,0,'Données projet'!$E$17+1,1))-AVERAGE(OFFSET($H$3,0,0,'Données projet'!$E$17+1,1))</f>
        <v>196.95560009657527</v>
      </c>
      <c r="GF40" s="59">
        <f t="shared" si="50"/>
        <v>168.90186968005662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0</v>
      </c>
      <c r="GM40" s="21">
        <f>EXP(-LN(2)/25)*GM39+(1-EXP(-LN(2)/25))/(LN(2)/25)*Calculateur!GH40*Calculateur!GJ40*VLOOKUP('Données projet'!$B$17,Paramètres!$A$1:$I$89,3,0)*0.475*44/12</f>
        <v>7.602518426303047</v>
      </c>
      <c r="GN40" s="21">
        <f>EXP(-LN(2)/2)*GN39+(1-EXP(-LN(2)/2))/(LN(2)/2)*GH40*GK40*VLOOKUP('Données projet'!$B$17,Paramètres!$A$1:$I$89,3,0)*0.475*44/12</f>
        <v>1.1366368820072332</v>
      </c>
      <c r="GO40" s="21">
        <f t="shared" si="27"/>
        <v>8.7391553083102806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10.000000000000004</v>
      </c>
      <c r="N41" s="13">
        <f>IF('Données projet'!$A$36&gt;35,N40+M41-V40,IF(A41&lt;'Données projet'!$A$36,$K$205^A41,IF(A41='Données projet'!$A$36,'Données projet'!$B$36,N40+M41-V40)))</f>
        <v>271.59999999999991</v>
      </c>
      <c r="O41" s="13">
        <f>N41*VLOOKUP('Données projet'!$B$9,Paramètres!$A$1:$I$89,3,0)*VLOOKUP('Données projet'!$B$9,Paramètres!$A$1:$I$89,5,0)</f>
        <v>127.10879999999996</v>
      </c>
      <c r="P41" s="13">
        <f t="shared" si="33"/>
        <v>33.32741592766736</v>
      </c>
      <c r="Q41" s="20">
        <f t="shared" si="53"/>
        <v>279.4264094073539</v>
      </c>
      <c r="R41" s="59">
        <f t="shared" si="0"/>
        <v>572.75974274068722</v>
      </c>
      <c r="S41" s="59">
        <f ca="1">AVERAGE(OFFSET($R$3,0,0,'Données projet'!$E$9+1,1))-AVERAGE(OFFSET($H$3,0,0,'Données projet'!$E$9+1,1))</f>
        <v>215.23235148064941</v>
      </c>
      <c r="T41" s="59">
        <f t="shared" si="34"/>
        <v>184.07239726900434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2.6753014445841039</v>
      </c>
      <c r="AA41" s="21">
        <f>EXP(-LN(2)/25)*AA40+(1-EXP(-LN(2)/25))/(LN(2)/25)*Calculateur!V41*Calculateur!X41*VLOOKUP('Données projet'!$B$9,Paramètres!$A$1:$I$89,3,0)*0.475*44/12</f>
        <v>6.2927758684629946</v>
      </c>
      <c r="AB41" s="21">
        <f>EXP(-LN(2)/2)*AB40+(1-EXP(-LN(2)/2))/(LN(2)/2)*V41*Y41*VLOOKUP('Données projet'!$B$9,Paramètres!$A$1:$I$89,3,0)*0.475*44/12</f>
        <v>0.61451103001849949</v>
      </c>
      <c r="AC41" s="22">
        <f t="shared" si="3"/>
        <v>9.5825883430655985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10.199999999999999</v>
      </c>
      <c r="AI41" s="13">
        <f>IF('Données projet'!$A$62&gt;35,AI40+AH41-AQ40,IF(A41&lt;'Données projet'!$A$62,$AF$205^A41,IF(A41='Données projet'!$A$62,'Données projet'!$B$62,AI40+AH41-AQ40)))</f>
        <v>199.59999999999988</v>
      </c>
      <c r="AJ41" s="13">
        <f>AI41*VLOOKUP('Données projet'!$B$10,Paramètres!$A$1:$I$89,3,0)*VLOOKUP('Données projet'!$B$10,Paramètres!$A$1:$I$89,5,0)</f>
        <v>146.34671999999992</v>
      </c>
      <c r="AK41" s="13">
        <f t="shared" si="35"/>
        <v>37.747177010522925</v>
      </c>
      <c r="AL41" s="20">
        <f t="shared" si="4"/>
        <v>320.63020395999393</v>
      </c>
      <c r="AM41" s="59">
        <f t="shared" si="5"/>
        <v>613.96353729332725</v>
      </c>
      <c r="AN41" s="59">
        <f ca="1">AVERAGE(OFFSET($AM$3,0,0,'Données projet'!$E$10+1,1))-AVERAGE(OFFSET($H$3,0,0,'Données projet'!$E$10+1,1))</f>
        <v>178.12968684094687</v>
      </c>
      <c r="AO41" s="59">
        <f t="shared" si="36"/>
        <v>219.36004077210373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6.158990173862807</v>
      </c>
      <c r="AW41" s="21">
        <f>EXP(-LN(2)/2)*AW40+(1-EXP(-LN(2)/2))/(LN(2)/2)*AQ41*AT41*VLOOKUP('Données projet'!$B$10,Paramètres!$A$1:$I$89,3,0)*0.475*44/12</f>
        <v>0.61984466235459545</v>
      </c>
      <c r="AX41" s="21">
        <f t="shared" si="6"/>
        <v>6.7788348362174027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6.5</v>
      </c>
      <c r="BD41" s="12">
        <f>IF('Données projet'!$A$88&gt;35,BD40+BC41-BL40,IF(A41&lt;'Données projet'!$A$88,$BA$205^A41,IF(A41='Données projet'!$A$88,'Données projet'!$B$88,BD40+BC41-BL40)))</f>
        <v>133</v>
      </c>
      <c r="BE41" s="13">
        <f>BD41*VLOOKUP('Données projet'!$B$11,Paramètres!$A$1:$I$89,3,0)*VLOOKUP('Données projet'!$B$11,Paramètres!$A$1:$I$89,5,0)</f>
        <v>116.18880000000001</v>
      </c>
      <c r="BF41" s="13">
        <f t="shared" si="37"/>
        <v>30.784436657961731</v>
      </c>
      <c r="BG41" s="20">
        <f t="shared" si="7"/>
        <v>255.97838717928335</v>
      </c>
      <c r="BH41" s="59">
        <f t="shared" si="8"/>
        <v>549.3117205126166</v>
      </c>
      <c r="BI41" s="59">
        <f ca="1">AVERAGE(OFFSET($BH$3,0,0,'Données projet'!$E$11+1,1))-AVERAGE(OFFSET($H$3,0,0,'Données projet'!$E$11+1,1))</f>
        <v>114.02623091248347</v>
      </c>
      <c r="BJ41" s="59">
        <f t="shared" si="38"/>
        <v>185.51554083721635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1.6657859438186362</v>
      </c>
      <c r="BQ41" s="21">
        <f>EXP(-LN(2)/25)*BQ40+(1-EXP(-LN(2)/25))/(LN(2)/25)*Calculateur!BL41*Calculateur!BN41*VLOOKUP('Données projet'!$B$11,Paramètres!$A$1:$I$89,3,0)*0.475*44/12</f>
        <v>9.0169471034651707</v>
      </c>
      <c r="BR41" s="21">
        <f>EXP(-LN(2)/2)*BR40+(1-EXP(-LN(2)/2))/(LN(2)/2)*BL41*BO41*VLOOKUP('Données projet'!$B$11,Paramètres!$A$1:$I$89,3,0)*0.475*44/12</f>
        <v>1.1024545881015202</v>
      </c>
      <c r="BS41" s="22">
        <f t="shared" si="9"/>
        <v>11.785187635385327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8.1999999999999993</v>
      </c>
      <c r="BY41" s="12">
        <f>IF('Données projet'!$A$114&gt;35,BY40+BX41-CG40,IF(A41&lt;'Données projet'!$A$114,$BV$205^A41,IF(A41='Données projet'!$A$114,'Données projet'!$B$114,BY40+BX41-CG40)))</f>
        <v>141.59999999999997</v>
      </c>
      <c r="BZ41" s="13">
        <f>BY41*VLOOKUP('Données projet'!$B$12,Paramètres!$A$1:$I$89,3,0)*VLOOKUP('Données projet'!$B$12,Paramètres!$A$1:$I$89,5,0)</f>
        <v>128.11967999999996</v>
      </c>
      <c r="CA41" s="13">
        <f t="shared" si="39"/>
        <v>33.561504850994297</v>
      </c>
      <c r="CB41" s="20">
        <f t="shared" si="10"/>
        <v>281.5947302821483</v>
      </c>
      <c r="CC41" s="59">
        <f t="shared" si="11"/>
        <v>574.92806361548162</v>
      </c>
      <c r="CD41" s="59">
        <f ca="1">AVERAGE(OFFSET($CC$3,0,0,'Données projet'!$E$12+1,1))-AVERAGE(OFFSET($H$3,0,0,'Données projet'!$E$12+1,1))</f>
        <v>237.22177246688199</v>
      </c>
      <c r="CE41" s="59">
        <f t="shared" si="40"/>
        <v>149.27472147904302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2.4880735116374257</v>
      </c>
      <c r="CM41" s="21">
        <f>EXP(-LN(2)/2)*CM40+(1-EXP(-LN(2)/2))/(LN(2)/2)*CG41*CJ41*VLOOKUP('Données projet'!$B$12,Paramètres!$A$1:$I$89,3,0)*0.475*44/12</f>
        <v>0.3868342409017767</v>
      </c>
      <c r="CN41" s="22">
        <f t="shared" si="12"/>
        <v>2.8749077525392024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22</v>
      </c>
      <c r="CT41" s="12">
        <f>IF('Données projet'!$A$140&gt;35,CT40+CS41-DB40,IF(A41&lt;'Données projet'!$A$140,$CQ$205^A41,IF(A41='Données projet'!$A$140,'Données projet'!$B$140,CT40+CS41-DB40)))</f>
        <v>384.99999999999989</v>
      </c>
      <c r="CU41" s="17">
        <f>CT41*VLOOKUP('Données projet'!$B$13,Paramètres!$A$1:$I$89,3,0)*VLOOKUP('Données projet'!$B$13,Paramètres!$A$1:$I$89,5,0)</f>
        <v>215.21499999999995</v>
      </c>
      <c r="CV41" s="13">
        <f t="shared" si="41"/>
        <v>53.073562353518611</v>
      </c>
      <c r="CW41" s="20">
        <f t="shared" si="13"/>
        <v>467.26924609904478</v>
      </c>
      <c r="CX41" s="59">
        <f t="shared" si="14"/>
        <v>760.60257943237809</v>
      </c>
      <c r="CY41" s="59">
        <f ca="1">AVERAGE(OFFSET($CX$3,0,0,'Données projet'!$E$13+1,1))-AVERAGE(OFFSET($H$3,0,0,'Données projet'!$E$13+1,1))</f>
        <v>326.31232746914907</v>
      </c>
      <c r="CZ41" s="59">
        <f t="shared" si="42"/>
        <v>330.17137761430297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3.8986479536180854</v>
      </c>
      <c r="DG41" s="21">
        <f>EXP(-LN(2)/25)*DG40+(1-EXP(-LN(2)/25))/(LN(2)/25)*Calculateur!DB41*Calculateur!DD41*VLOOKUP('Données projet'!$B$13,Paramètres!$A$1:$I$89,3,0)*0.475*44/12</f>
        <v>24.1706399759939</v>
      </c>
      <c r="DH41" s="21">
        <f>EXP(-LN(2)/2)*DH40+(1-EXP(-LN(2)/2))/(LN(2)/2)*DB41*DE41*VLOOKUP('Données projet'!$B$13,Paramètres!$A$1:$I$89,3,0)*0.475*44/12</f>
        <v>2.0326305231522026</v>
      </c>
      <c r="DI41" s="22">
        <f t="shared" si="15"/>
        <v>30.101918452764188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13.3</v>
      </c>
      <c r="DO41" s="12">
        <f>IF('Données projet'!$A$166&gt;35,DO40+DN41-DW40,IF(A41&lt;'Données projet'!$A$166,$DL$205^A41,IF(A41='Données projet'!$A$166,'Données projet'!$B$166,DO40+DN41-DW40)))</f>
        <v>256.40000000000015</v>
      </c>
      <c r="DP41" s="17">
        <f>DO41*VLOOKUP('Données projet'!$B$14,Paramètres!$A$1:$I$89,3,0)*VLOOKUP('Données projet'!$B$14,Paramètres!$A$1:$I$89,5,0)</f>
        <v>159.99360000000007</v>
      </c>
      <c r="DQ41" s="13">
        <f t="shared" si="43"/>
        <v>40.841071865470695</v>
      </c>
      <c r="DR41" s="20">
        <f t="shared" si="16"/>
        <v>349.78705349902822</v>
      </c>
      <c r="DS41" s="59">
        <f t="shared" si="17"/>
        <v>643.12038683236153</v>
      </c>
      <c r="DT41" s="59">
        <f ca="1">AVERAGE(OFFSET($DS$3,0,0,'Données projet'!$E$14+1,1))-AVERAGE(OFFSET($H$3,0,0,'Données projet'!$E$14+1,1))</f>
        <v>209.93608079129638</v>
      </c>
      <c r="DU41" s="59">
        <f t="shared" si="44"/>
        <v>240.15652428700969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5.9345169695666389</v>
      </c>
      <c r="EB41" s="21">
        <f>EXP(-LN(2)/25)*EB40+(1-EXP(-LN(2)/25))/(LN(2)/25)*Calculateur!DW41*Calculateur!DY41*VLOOKUP('Données projet'!$B$14,Paramètres!$A$1:$I$89,3,0)*0.475*44/12</f>
        <v>16.652567283666862</v>
      </c>
      <c r="EC41" s="21">
        <f>EXP(-LN(2)/2)*EC40+(1-EXP(-LN(2)/2))/(LN(2)/2)*DW41*DZ41*VLOOKUP('Données projet'!$B$14,Paramètres!$A$1:$I$89,3,0)*0.475*44/12</f>
        <v>1.2619259689821936</v>
      </c>
      <c r="ED41" s="22">
        <f t="shared" si="18"/>
        <v>23.849010222215693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13.7</v>
      </c>
      <c r="EJ41" s="12">
        <f>IF('Données projet'!$A$192&gt;35,EJ40+EI41-ER40,IF(A41&lt;'Données projet'!$A$192,$EG$205^A41,IF(A41='Données projet'!$A$192,'Données projet'!$B$192,EJ40+EI41-ER40)))</f>
        <v>257.59999999999991</v>
      </c>
      <c r="EK41" s="17">
        <f>EJ41*VLOOKUP('Données projet'!$B$15,Paramètres!$A$1:$I$89,3,0)*VLOOKUP('Données projet'!$B$15,Paramètres!$A$1:$I$89,5,0)</f>
        <v>154.04479999999995</v>
      </c>
      <c r="EL41" s="13">
        <f t="shared" si="45"/>
        <v>39.496352638742984</v>
      </c>
      <c r="EM41" s="20">
        <f t="shared" si="19"/>
        <v>337.08417417914399</v>
      </c>
      <c r="EN41" s="59">
        <f t="shared" si="20"/>
        <v>630.4175075124773</v>
      </c>
      <c r="EO41" s="59">
        <f ca="1">AVERAGE(OFFSET($EN$3,0,0,'Données projet'!$E$15+1,1))-AVERAGE(OFFSET($H$3,0,0,'Données projet'!$E$15+1,1))</f>
        <v>216.94426559495264</v>
      </c>
      <c r="EP41" s="59">
        <f t="shared" si="46"/>
        <v>225.33715877618704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10.293157980597472</v>
      </c>
      <c r="EX41" s="21">
        <f>EXP(-LN(2)/2)*EX40+(1-EXP(-LN(2)/2))/(LN(2)/2)*ER41*EU41*VLOOKUP('Données projet'!$B$15,Paramètres!$A$1:$I$89,3,0)*0.475*44/12</f>
        <v>1.4830849921136857</v>
      </c>
      <c r="EY41" s="22">
        <f t="shared" si="21"/>
        <v>11.776242972711158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12.833333333333334</v>
      </c>
      <c r="FE41" s="12">
        <f>IF('Données projet'!$A$218&gt;35,FE40+FD41-FM40,IF(A41&lt;'Données projet'!$A$218,$FB$205^A41,IF(A41='Données projet'!$A$218,'Données projet'!$B$218,FE40+FD41-FM40)))</f>
        <v>249.3333333333334</v>
      </c>
      <c r="FF41" s="17">
        <f>FE41*VLOOKUP('Données projet'!$B$16,Paramètres!$A$1:$I$89,3,0)*VLOOKUP('Données projet'!$B$16,Paramètres!$A$1:$I$89,5,0)</f>
        <v>149.1013333333334</v>
      </c>
      <c r="FG41" s="13">
        <f t="shared" si="47"/>
        <v>38.37428902704788</v>
      </c>
      <c r="FH41" s="20">
        <f t="shared" si="22"/>
        <v>326.52004227766406</v>
      </c>
      <c r="FI41" s="59">
        <f t="shared" si="23"/>
        <v>619.85337561099732</v>
      </c>
      <c r="FJ41" s="59">
        <f ca="1">AVERAGE(OFFSET($FI$3,0,0,'Données projet'!$E$16+1,1))-AVERAGE(OFFSET($H$3,0,0,'Données projet'!$E$16+1,1))</f>
        <v>168.08890945052406</v>
      </c>
      <c r="FK41" s="59">
        <f t="shared" si="48"/>
        <v>182.52462557642343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5.3020407566356118</v>
      </c>
      <c r="FR41" s="21">
        <f>EXP(-LN(2)/25)*FR40+(1-EXP(-LN(2)/25))/(LN(2)/25)*Calculateur!FM41*Calculateur!FO41*VLOOKUP('Données projet'!$B$16,Paramètres!$A$1:$I$89,3,0)*0.475*44/12</f>
        <v>9.8778983361462753</v>
      </c>
      <c r="FS41" s="21">
        <f>EXP(-LN(2)/2)*FS40+(1-EXP(-LN(2)/2))/(LN(2)/2)*FM41*FP41*VLOOKUP('Données projet'!$B$16,Paramètres!$A$1:$I$89,3,0)*0.475*44/12</f>
        <v>0.34035577337963457</v>
      </c>
      <c r="FT41" s="22">
        <f t="shared" si="24"/>
        <v>15.520294866161521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15.2</v>
      </c>
      <c r="FZ41" s="12">
        <f>IF('Données projet'!$A$244&gt;35,FZ40+FY41-GH40,IF(A41&lt;'Données projet'!$A$244,$FW$205^A41,IF(A41='Données projet'!$A$244,'Données projet'!$B$244,FZ40+FY41-GH40)))</f>
        <v>225.59999999999997</v>
      </c>
      <c r="GA41" s="17">
        <f>FZ41*VLOOKUP('Données projet'!$B$17,Paramètres!$A$1:$I$89,3,0)*VLOOKUP('Données projet'!$B$17,Paramètres!$A$1:$I$89,5,0)</f>
        <v>129.04319999999998</v>
      </c>
      <c r="GB41" s="13">
        <f t="shared" si="49"/>
        <v>33.775175980637393</v>
      </c>
      <c r="GC41" s="20">
        <f t="shared" si="25"/>
        <v>283.57533816627671</v>
      </c>
      <c r="GD41" s="59">
        <f t="shared" si="26"/>
        <v>576.90867149961002</v>
      </c>
      <c r="GE41" s="59">
        <f ca="1">AVERAGE(OFFSET($GD$3,0,0,'Données projet'!$E$17+1,1))-AVERAGE(OFFSET($H$3,0,0,'Données projet'!$E$17+1,1))</f>
        <v>196.95560009657527</v>
      </c>
      <c r="GF41" s="59">
        <f t="shared" si="50"/>
        <v>168.90186968005662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0</v>
      </c>
      <c r="GM41" s="21">
        <f>EXP(-LN(2)/25)*GM40+(1-EXP(-LN(2)/25))/(LN(2)/25)*Calculateur!GH41*Calculateur!GJ41*VLOOKUP('Données projet'!$B$17,Paramètres!$A$1:$I$89,3,0)*0.475*44/12</f>
        <v>7.3946271601367215</v>
      </c>
      <c r="GN41" s="21">
        <f>EXP(-LN(2)/2)*GN40+(1-EXP(-LN(2)/2))/(LN(2)/2)*GH41*GK41*VLOOKUP('Données projet'!$B$17,Paramètres!$A$1:$I$89,3,0)*0.475*44/12</f>
        <v>0.8037236470140483</v>
      </c>
      <c r="GO41" s="21">
        <f t="shared" si="27"/>
        <v>8.1983508071507707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10.000000000000004</v>
      </c>
      <c r="N42" s="13">
        <f>IF('Données projet'!$A$36&gt;35,N41+M42-V41,IF(A42&lt;'Données projet'!$A$36,$K$205^A42,IF(A42='Données projet'!$A$36,'Données projet'!$B$36,N41+M42-V41)))</f>
        <v>281.59999999999991</v>
      </c>
      <c r="O42" s="13">
        <f>N42*VLOOKUP('Données projet'!$B$9,Paramètres!$A$1:$I$89,3,0)*VLOOKUP('Données projet'!$B$9,Paramètres!$A$1:$I$89,5,0)</f>
        <v>131.78879999999995</v>
      </c>
      <c r="P42" s="13">
        <f t="shared" si="33"/>
        <v>34.409369159409614</v>
      </c>
      <c r="Q42" s="20">
        <f t="shared" si="53"/>
        <v>289.46181128597163</v>
      </c>
      <c r="R42" s="59">
        <f t="shared" si="0"/>
        <v>582.79514461930489</v>
      </c>
      <c r="S42" s="59">
        <f ca="1">AVERAGE(OFFSET($R$3,0,0,'Données projet'!$E$9+1,1))-AVERAGE(OFFSET($H$3,0,0,'Données projet'!$E$9+1,1))</f>
        <v>215.23235148064941</v>
      </c>
      <c r="T42" s="59">
        <f t="shared" si="34"/>
        <v>184.07239726900434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2.6228404150285667</v>
      </c>
      <c r="AA42" s="21">
        <f>EXP(-LN(2)/25)*AA41+(1-EXP(-LN(2)/25))/(LN(2)/25)*Calculateur!V42*Calculateur!X42*VLOOKUP('Données projet'!$B$9,Paramètres!$A$1:$I$89,3,0)*0.475*44/12</f>
        <v>6.1206995814171732</v>
      </c>
      <c r="AB42" s="21">
        <f>EXP(-LN(2)/2)*AB41+(1-EXP(-LN(2)/2))/(LN(2)/2)*V42*Y42*VLOOKUP('Données projet'!$B$9,Paramètres!$A$1:$I$89,3,0)*0.475*44/12</f>
        <v>0.43452491644001107</v>
      </c>
      <c r="AC42" s="22">
        <f t="shared" si="3"/>
        <v>9.1780649128857519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10.199999999999999</v>
      </c>
      <c r="AI42" s="13">
        <f>IF('Données projet'!$A$62&gt;35,AI41+AH42-AQ41,IF(A42&lt;'Données projet'!$A$62,$AF$205^A42,IF(A42='Données projet'!$A$62,'Données projet'!$B$62,AI41+AH42-AQ41)))</f>
        <v>209.79999999999987</v>
      </c>
      <c r="AJ42" s="13">
        <f>AI42*VLOOKUP('Données projet'!$B$10,Paramètres!$A$1:$I$89,3,0)*VLOOKUP('Données projet'!$B$10,Paramètres!$A$1:$I$89,5,0)</f>
        <v>153.8253599999999</v>
      </c>
      <c r="AK42" s="13">
        <f t="shared" si="35"/>
        <v>39.446634200901897</v>
      </c>
      <c r="AL42" s="20">
        <f t="shared" si="4"/>
        <v>336.61538989990396</v>
      </c>
      <c r="AM42" s="59">
        <f t="shared" si="5"/>
        <v>629.94872323323727</v>
      </c>
      <c r="AN42" s="59">
        <f ca="1">AVERAGE(OFFSET($AM$3,0,0,'Données projet'!$E$10+1,1))-AVERAGE(OFFSET($H$3,0,0,'Données projet'!$E$10+1,1))</f>
        <v>178.12968684094687</v>
      </c>
      <c r="AO42" s="59">
        <f t="shared" si="36"/>
        <v>219.36004077210373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5.9905722636713117</v>
      </c>
      <c r="AW42" s="21">
        <f>EXP(-LN(2)/2)*AW41+(1-EXP(-LN(2)/2))/(LN(2)/2)*AQ42*AT42*VLOOKUP('Données projet'!$B$10,Paramètres!$A$1:$I$89,3,0)*0.475*44/12</f>
        <v>0.43829636403322036</v>
      </c>
      <c r="AX42" s="21">
        <f t="shared" si="6"/>
        <v>6.4288686277045324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6.5</v>
      </c>
      <c r="BD42" s="12">
        <f>IF('Données projet'!$A$88&gt;35,BD41+BC42-BL41,IF(A42&lt;'Données projet'!$A$88,$BA$205^A42,IF(A42='Données projet'!$A$88,'Données projet'!$B$88,BD41+BC42-BL41)))</f>
        <v>139.5</v>
      </c>
      <c r="BE42" s="13">
        <f>BD42*VLOOKUP('Données projet'!$B$11,Paramètres!$A$1:$I$89,3,0)*VLOOKUP('Données projet'!$B$11,Paramètres!$A$1:$I$89,5,0)</f>
        <v>121.86720000000001</v>
      </c>
      <c r="BF42" s="13">
        <f t="shared" si="37"/>
        <v>32.110100916567376</v>
      </c>
      <c r="BG42" s="20">
        <f t="shared" si="7"/>
        <v>268.17713242968824</v>
      </c>
      <c r="BH42" s="59">
        <f t="shared" si="8"/>
        <v>561.51046576302156</v>
      </c>
      <c r="BI42" s="59">
        <f ca="1">AVERAGE(OFFSET($BH$3,0,0,'Données projet'!$E$11+1,1))-AVERAGE(OFFSET($H$3,0,0,'Données projet'!$E$11+1,1))</f>
        <v>114.02623091248347</v>
      </c>
      <c r="BJ42" s="59">
        <f t="shared" si="38"/>
        <v>185.51554083721635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1.633120897489454</v>
      </c>
      <c r="BQ42" s="21">
        <f>EXP(-LN(2)/25)*BQ41+(1-EXP(-LN(2)/25))/(LN(2)/25)*Calculateur!BL42*Calculateur!BN42*VLOOKUP('Données projet'!$B$11,Paramètres!$A$1:$I$89,3,0)*0.475*44/12</f>
        <v>8.7703782107402759</v>
      </c>
      <c r="BR42" s="21">
        <f>EXP(-LN(2)/2)*BR41+(1-EXP(-LN(2)/2))/(LN(2)/2)*BL42*BO42*VLOOKUP('Données projet'!$B$11,Paramètres!$A$1:$I$89,3,0)*0.475*44/12</f>
        <v>0.77955311519680703</v>
      </c>
      <c r="BS42" s="22">
        <f t="shared" si="9"/>
        <v>11.183052223426536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8.1999999999999993</v>
      </c>
      <c r="BY42" s="12">
        <f>IF('Données projet'!$A$114&gt;35,BY41+BX42-CG41,IF(A42&lt;'Données projet'!$A$114,$BV$205^A42,IF(A42='Données projet'!$A$114,'Données projet'!$B$114,BY41+BX42-CG41)))</f>
        <v>149.79999999999995</v>
      </c>
      <c r="BZ42" s="13">
        <f>BY42*VLOOKUP('Données projet'!$B$12,Paramètres!$A$1:$I$89,3,0)*VLOOKUP('Données projet'!$B$12,Paramètres!$A$1:$I$89,5,0)</f>
        <v>135.53903999999997</v>
      </c>
      <c r="CA42" s="13">
        <f t="shared" si="39"/>
        <v>35.273144164630104</v>
      </c>
      <c r="CB42" s="20">
        <f t="shared" si="10"/>
        <v>297.49788742006405</v>
      </c>
      <c r="CC42" s="59">
        <f t="shared" si="11"/>
        <v>590.83122075339736</v>
      </c>
      <c r="CD42" s="59">
        <f ca="1">AVERAGE(OFFSET($CC$3,0,0,'Données projet'!$E$12+1,1))-AVERAGE(OFFSET($H$3,0,0,'Données projet'!$E$12+1,1))</f>
        <v>237.22177246688199</v>
      </c>
      <c r="CE42" s="59">
        <f t="shared" si="40"/>
        <v>149.27472147904302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2.420037010619601</v>
      </c>
      <c r="CM42" s="21">
        <f>EXP(-LN(2)/2)*CM41+(1-EXP(-LN(2)/2))/(LN(2)/2)*CG42*CJ42*VLOOKUP('Données projet'!$B$12,Paramètres!$A$1:$I$89,3,0)*0.475*44/12</f>
        <v>0.27353311493679683</v>
      </c>
      <c r="CN42" s="22">
        <f t="shared" si="12"/>
        <v>2.693570125556398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22</v>
      </c>
      <c r="CT42" s="12">
        <f>IF('Données projet'!$A$140&gt;35,CT41+CS42-DB41,IF(A42&lt;'Données projet'!$A$140,$CQ$205^A42,IF(A42='Données projet'!$A$140,'Données projet'!$B$140,CT41+CS42-DB41)))</f>
        <v>406.99999999999989</v>
      </c>
      <c r="CU42" s="17">
        <f>CT42*VLOOKUP('Données projet'!$B$13,Paramètres!$A$1:$I$89,3,0)*VLOOKUP('Données projet'!$B$13,Paramètres!$A$1:$I$89,5,0)</f>
        <v>227.51299999999995</v>
      </c>
      <c r="CV42" s="13">
        <f t="shared" si="41"/>
        <v>55.744594200664011</v>
      </c>
      <c r="CW42" s="20">
        <f t="shared" si="13"/>
        <v>493.34030989948968</v>
      </c>
      <c r="CX42" s="59">
        <f t="shared" si="14"/>
        <v>786.673643232823</v>
      </c>
      <c r="CY42" s="59">
        <f ca="1">AVERAGE(OFFSET($CX$3,0,0,'Données projet'!$E$13+1,1))-AVERAGE(OFFSET($H$3,0,0,'Données projet'!$E$13+1,1))</f>
        <v>326.31232746914907</v>
      </c>
      <c r="CZ42" s="59">
        <f t="shared" si="42"/>
        <v>330.17137761430297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3.8221978451880845</v>
      </c>
      <c r="DG42" s="21">
        <f>EXP(-LN(2)/25)*DG41+(1-EXP(-LN(2)/25))/(LN(2)/25)*Calculateur!DB42*Calculateur!DD42*VLOOKUP('Données projet'!$B$13,Paramètres!$A$1:$I$89,3,0)*0.475*44/12</f>
        <v>23.509692554771632</v>
      </c>
      <c r="DH42" s="21">
        <f>EXP(-LN(2)/2)*DH41+(1-EXP(-LN(2)/2))/(LN(2)/2)*DB42*DE42*VLOOKUP('Données projet'!$B$13,Paramètres!$A$1:$I$89,3,0)*0.475*44/12</f>
        <v>1.4372868265676821</v>
      </c>
      <c r="DI42" s="22">
        <f t="shared" si="15"/>
        <v>28.7691772265274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13.3</v>
      </c>
      <c r="DO42" s="12">
        <f>IF('Données projet'!$A$166&gt;35,DO41+DN42-DW41,IF(A42&lt;'Données projet'!$A$166,$DL$205^A42,IF(A42='Données projet'!$A$166,'Données projet'!$B$166,DO41+DN42-DW41)))</f>
        <v>269.70000000000016</v>
      </c>
      <c r="DP42" s="17">
        <f>DO42*VLOOKUP('Données projet'!$B$14,Paramètres!$A$1:$I$89,3,0)*VLOOKUP('Données projet'!$B$14,Paramètres!$A$1:$I$89,5,0)</f>
        <v>168.29280000000011</v>
      </c>
      <c r="DQ42" s="13">
        <f t="shared" si="43"/>
        <v>42.707443263135104</v>
      </c>
      <c r="DR42" s="20">
        <f t="shared" si="16"/>
        <v>367.49209034996051</v>
      </c>
      <c r="DS42" s="59">
        <f t="shared" si="17"/>
        <v>660.82542368329382</v>
      </c>
      <c r="DT42" s="59">
        <f ca="1">AVERAGE(OFFSET($DS$3,0,0,'Données projet'!$E$14+1,1))-AVERAGE(OFFSET($H$3,0,0,'Données projet'!$E$14+1,1))</f>
        <v>209.93608079129638</v>
      </c>
      <c r="DU42" s="59">
        <f t="shared" si="44"/>
        <v>240.15652428700969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5.8181447114913727</v>
      </c>
      <c r="EB42" s="21">
        <f>EXP(-LN(2)/25)*EB41+(1-EXP(-LN(2)/25))/(LN(2)/25)*Calculateur!DW42*Calculateur!DY42*VLOOKUP('Données projet'!$B$14,Paramètres!$A$1:$I$89,3,0)*0.475*44/12</f>
        <v>16.197201955574538</v>
      </c>
      <c r="EC42" s="21">
        <f>EXP(-LN(2)/2)*EC41+(1-EXP(-LN(2)/2))/(LN(2)/2)*DW42*DZ42*VLOOKUP('Données projet'!$B$14,Paramètres!$A$1:$I$89,3,0)*0.475*44/12</f>
        <v>0.892316410022714</v>
      </c>
      <c r="ED42" s="22">
        <f t="shared" si="18"/>
        <v>22.907663077088628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13.7</v>
      </c>
      <c r="EJ42" s="12">
        <f>IF('Données projet'!$A$192&gt;35,EJ41+EI42-ER41,IF(A42&lt;'Données projet'!$A$192,$EG$205^A42,IF(A42='Données projet'!$A$192,'Données projet'!$B$192,EJ41+EI42-ER41)))</f>
        <v>271.2999999999999</v>
      </c>
      <c r="EK42" s="17">
        <f>EJ42*VLOOKUP('Données projet'!$B$15,Paramètres!$A$1:$I$89,3,0)*VLOOKUP('Données projet'!$B$15,Paramètres!$A$1:$I$89,5,0)</f>
        <v>162.23739999999995</v>
      </c>
      <c r="EL42" s="13">
        <f t="shared" si="45"/>
        <v>41.346758630600348</v>
      </c>
      <c r="EM42" s="20">
        <f t="shared" si="19"/>
        <v>354.57574294829556</v>
      </c>
      <c r="EN42" s="59">
        <f t="shared" si="20"/>
        <v>647.90907628162881</v>
      </c>
      <c r="EO42" s="59">
        <f ca="1">AVERAGE(OFFSET($EN$3,0,0,'Données projet'!$E$15+1,1))-AVERAGE(OFFSET($H$3,0,0,'Données projet'!$E$15+1,1))</f>
        <v>216.94426559495264</v>
      </c>
      <c r="EP42" s="59">
        <f t="shared" si="46"/>
        <v>225.33715877618704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10.011691034324382</v>
      </c>
      <c r="EX42" s="21">
        <f>EXP(-LN(2)/2)*EX41+(1-EXP(-LN(2)/2))/(LN(2)/2)*ER42*EU42*VLOOKUP('Données projet'!$B$15,Paramètres!$A$1:$I$89,3,0)*0.475*44/12</f>
        <v>1.0486994549995845</v>
      </c>
      <c r="EY42" s="22">
        <f t="shared" si="21"/>
        <v>11.060390489323966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12.833333333333334</v>
      </c>
      <c r="FE42" s="12">
        <f>IF('Données projet'!$A$218&gt;35,FE41+FD42-FM41,IF(A42&lt;'Données projet'!$A$218,$FB$205^A42,IF(A42='Données projet'!$A$218,'Données projet'!$B$218,FE41+FD42-FM41)))</f>
        <v>262.16666666666674</v>
      </c>
      <c r="FF42" s="17">
        <f>FE42*VLOOKUP('Données projet'!$B$16,Paramètres!$A$1:$I$89,3,0)*VLOOKUP('Données projet'!$B$16,Paramètres!$A$1:$I$89,5,0)</f>
        <v>156.77566666666672</v>
      </c>
      <c r="FG42" s="13">
        <f t="shared" si="47"/>
        <v>40.114398592763365</v>
      </c>
      <c r="FH42" s="20">
        <f t="shared" si="22"/>
        <v>342.9168636601741</v>
      </c>
      <c r="FI42" s="59">
        <f t="shared" si="23"/>
        <v>636.25019699350742</v>
      </c>
      <c r="FJ42" s="59">
        <f ca="1">AVERAGE(OFFSET($FI$3,0,0,'Données projet'!$E$16+1,1))-AVERAGE(OFFSET($H$3,0,0,'Données projet'!$E$16+1,1))</f>
        <v>168.08890945052406</v>
      </c>
      <c r="FK42" s="59">
        <f t="shared" si="48"/>
        <v>182.52462557642343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5.1980709713235251</v>
      </c>
      <c r="FR42" s="21">
        <f>EXP(-LN(2)/25)*FR41+(1-EXP(-LN(2)/25))/(LN(2)/25)*Calculateur!FM42*Calculateur!FO42*VLOOKUP('Données projet'!$B$16,Paramètres!$A$1:$I$89,3,0)*0.475*44/12</f>
        <v>9.6077866866882573</v>
      </c>
      <c r="FS42" s="21">
        <f>EXP(-LN(2)/2)*FS41+(1-EXP(-LN(2)/2))/(LN(2)/2)*FM42*FP42*VLOOKUP('Données projet'!$B$16,Paramètres!$A$1:$I$89,3,0)*0.475*44/12</f>
        <v>0.24066787537273143</v>
      </c>
      <c r="FT42" s="22">
        <f t="shared" si="24"/>
        <v>15.046525533384512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15.2</v>
      </c>
      <c r="FZ42" s="12">
        <f>IF('Données projet'!$A$244&gt;35,FZ41+FY42-GH41,IF(A42&lt;'Données projet'!$A$244,$FW$205^A42,IF(A42='Données projet'!$A$244,'Données projet'!$B$244,FZ41+FY42-GH41)))</f>
        <v>240.79999999999995</v>
      </c>
      <c r="GA42" s="17">
        <f>FZ42*VLOOKUP('Données projet'!$B$17,Paramètres!$A$1:$I$89,3,0)*VLOOKUP('Données projet'!$B$17,Paramètres!$A$1:$I$89,5,0)</f>
        <v>137.73759999999999</v>
      </c>
      <c r="GB42" s="13">
        <f t="shared" si="49"/>
        <v>35.778231015585945</v>
      </c>
      <c r="GC42" s="20">
        <f t="shared" si="25"/>
        <v>302.20673901881219</v>
      </c>
      <c r="GD42" s="59">
        <f t="shared" si="26"/>
        <v>595.54007235214544</v>
      </c>
      <c r="GE42" s="59">
        <f ca="1">AVERAGE(OFFSET($GD$3,0,0,'Données projet'!$E$17+1,1))-AVERAGE(OFFSET($H$3,0,0,'Données projet'!$E$17+1,1))</f>
        <v>196.95560009657527</v>
      </c>
      <c r="GF42" s="59">
        <f t="shared" si="50"/>
        <v>168.90186968005662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0</v>
      </c>
      <c r="GM42" s="21">
        <f>EXP(-LN(2)/25)*GM41+(1-EXP(-LN(2)/25))/(LN(2)/25)*Calculateur!GH42*Calculateur!GJ42*VLOOKUP('Données projet'!$B$17,Paramètres!$A$1:$I$89,3,0)*0.475*44/12</f>
        <v>7.192420691576241</v>
      </c>
      <c r="GN42" s="21">
        <f>EXP(-LN(2)/2)*GN41+(1-EXP(-LN(2)/2))/(LN(2)/2)*GH42*GK42*VLOOKUP('Données projet'!$B$17,Paramètres!$A$1:$I$89,3,0)*0.475*44/12</f>
        <v>0.56831844100361661</v>
      </c>
      <c r="GO42" s="21">
        <f t="shared" si="27"/>
        <v>7.7607391325798574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291.60000000000002</v>
      </c>
      <c r="L43" s="12">
        <f>VLOOKUP(A43,'Données projet'!$A$35:$I$55,9,0)</f>
        <v>10.000000000000004</v>
      </c>
      <c r="M43" s="12">
        <f t="array" ref="M43">INDEX(L:L,MIN(IF(ISNUMBER(L43:L239),ROW(L43:L239),"")))</f>
        <v>10.000000000000004</v>
      </c>
      <c r="N43" s="13">
        <f>IF('Données projet'!$A$36&gt;35,N42+M43-V42,IF(A43&lt;'Données projet'!$A$36,$K$205^A43,IF(A43='Données projet'!$A$36,'Données projet'!$B$36,N42+M43-V42)))</f>
        <v>291.59999999999991</v>
      </c>
      <c r="O43" s="13">
        <f>N43*VLOOKUP('Données projet'!$B$9,Paramètres!$A$1:$I$89,3,0)*VLOOKUP('Données projet'!$B$9,Paramètres!$A$1:$I$89,5,0)</f>
        <v>136.46879999999996</v>
      </c>
      <c r="P43" s="13">
        <f t="shared" si="33"/>
        <v>35.486858352195874</v>
      </c>
      <c r="Q43" s="20">
        <f t="shared" si="53"/>
        <v>299.48943829674107</v>
      </c>
      <c r="R43" s="59">
        <f t="shared" si="0"/>
        <v>592.82277163007439</v>
      </c>
      <c r="S43" s="59">
        <f ca="1">AVERAGE(OFFSET($R$3,0,0,'Données projet'!$E$9+1,1))-AVERAGE(OFFSET($H$3,0,0,'Données projet'!$E$9+1,1))</f>
        <v>215.23235148064941</v>
      </c>
      <c r="T43" s="59">
        <f t="shared" si="34"/>
        <v>184.07239726900434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83.4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2.5714081142645449</v>
      </c>
      <c r="AA43" s="21">
        <f>EXP(-LN(2)/25)*AA42+(1-EXP(-LN(2)/25))/(LN(2)/25)*Calculateur!V43*Calculateur!X43*VLOOKUP('Données projet'!$B$9,Paramètres!$A$1:$I$89,3,0)*0.475*44/12</f>
        <v>5.9533287294897184</v>
      </c>
      <c r="AB43" s="21">
        <f>EXP(-LN(2)/2)*AB42+(1-EXP(-LN(2)/2))/(LN(2)/2)*V43*Y43*VLOOKUP('Données projet'!$B$9,Paramètres!$A$1:$I$89,3,0)*0.475*44/12</f>
        <v>0.30725551500924975</v>
      </c>
      <c r="AC43" s="22">
        <f t="shared" si="3"/>
        <v>8.8319923587635127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220</v>
      </c>
      <c r="AG43" s="12">
        <f>VLOOKUP(A43,'Données projet'!$A$61:$I$81,9,0)</f>
        <v>10.199999999999999</v>
      </c>
      <c r="AH43" s="12">
        <f t="array" ref="AH43">INDEX(AG:AG,MIN(IF(ISNUMBER(AG43:AG239),ROW(AG43:AG239),"")))</f>
        <v>10.199999999999999</v>
      </c>
      <c r="AI43" s="13">
        <f>IF('Données projet'!$A$62&gt;35,AI42+AH43-AQ42,IF(A43&lt;'Données projet'!$A$62,$AF$205^A43,IF(A43='Données projet'!$A$62,'Données projet'!$B$62,AI42+AH43-AQ42)))</f>
        <v>219.99999999999986</v>
      </c>
      <c r="AJ43" s="13">
        <f>AI43*VLOOKUP('Données projet'!$B$10,Paramètres!$A$1:$I$89,3,0)*VLOOKUP('Données projet'!$B$10,Paramètres!$A$1:$I$89,5,0)</f>
        <v>161.30399999999989</v>
      </c>
      <c r="AK43" s="13">
        <f t="shared" si="35"/>
        <v>41.136497157560363</v>
      </c>
      <c r="AL43" s="20">
        <f t="shared" si="4"/>
        <v>352.58386588275079</v>
      </c>
      <c r="AM43" s="59">
        <f t="shared" si="5"/>
        <v>645.9171992160841</v>
      </c>
      <c r="AN43" s="59">
        <f ca="1">AVERAGE(OFFSET($AM$3,0,0,'Données projet'!$E$10+1,1))-AVERAGE(OFFSET($H$3,0,0,'Données projet'!$E$10+1,1))</f>
        <v>178.12968684094687</v>
      </c>
      <c r="AO43" s="59">
        <f t="shared" si="36"/>
        <v>219.36004077210373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56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5.8267597500907158</v>
      </c>
      <c r="AW43" s="21">
        <f>EXP(-LN(2)/2)*AW42+(1-EXP(-LN(2)/2))/(LN(2)/2)*AQ43*AT43*VLOOKUP('Données projet'!$B$10,Paramètres!$A$1:$I$89,3,0)*0.475*44/12</f>
        <v>0.30992233117729773</v>
      </c>
      <c r="AX43" s="21">
        <f t="shared" si="6"/>
        <v>6.1366820812680132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146</v>
      </c>
      <c r="BB43" s="12">
        <f>VLOOKUP(A43,'Données projet'!$A$87:$I$107,9,0)</f>
        <v>6.5</v>
      </c>
      <c r="BC43" s="12">
        <f t="array" ref="BC43">INDEX(BB:BB,MIN(IF(ISNUMBER(BB43:BB239),ROW(BB43:BB239),"")))</f>
        <v>6.5</v>
      </c>
      <c r="BD43" s="12">
        <f>IF('Données projet'!$A$88&gt;35,BD42+BC43-BL42,IF(A43&lt;'Données projet'!$A$88,$BA$205^A43,IF(A43='Données projet'!$A$88,'Données projet'!$B$88,BD42+BC43-BL42)))</f>
        <v>146</v>
      </c>
      <c r="BE43" s="13">
        <f>BD43*VLOOKUP('Données projet'!$B$11,Paramètres!$A$1:$I$89,3,0)*VLOOKUP('Données projet'!$B$11,Paramètres!$A$1:$I$89,5,0)</f>
        <v>127.54560000000001</v>
      </c>
      <c r="BF43" s="13">
        <f t="shared" si="37"/>
        <v>33.428591950384806</v>
      </c>
      <c r="BG43" s="20">
        <f t="shared" si="7"/>
        <v>280.36338431358689</v>
      </c>
      <c r="BH43" s="59">
        <f t="shared" si="8"/>
        <v>573.69671764692021</v>
      </c>
      <c r="BI43" s="59">
        <f ca="1">AVERAGE(OFFSET($BH$3,0,0,'Données projet'!$E$11+1,1))-AVERAGE(OFFSET($H$3,0,0,'Données projet'!$E$11+1,1))</f>
        <v>114.02623091248347</v>
      </c>
      <c r="BJ43" s="59">
        <f t="shared" si="38"/>
        <v>185.51554083721635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44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1.6010963927950761</v>
      </c>
      <c r="BQ43" s="21">
        <f>EXP(-LN(2)/25)*BQ42+(1-EXP(-LN(2)/25))/(LN(2)/25)*Calculateur!BL43*Calculateur!BN43*VLOOKUP('Données projet'!$B$11,Paramètres!$A$1:$I$89,3,0)*0.475*44/12</f>
        <v>8.5305517573534377</v>
      </c>
      <c r="BR43" s="21">
        <f>EXP(-LN(2)/2)*BR42+(1-EXP(-LN(2)/2))/(LN(2)/2)*BL43*BO43*VLOOKUP('Données projet'!$B$11,Paramètres!$A$1:$I$89,3,0)*0.475*44/12</f>
        <v>0.5512272940507601</v>
      </c>
      <c r="BS43" s="22">
        <f t="shared" si="9"/>
        <v>10.682875444199274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158</v>
      </c>
      <c r="BW43" s="12">
        <f>VLOOKUP(A43,'Données projet'!$A$113:$I$133,9,0)</f>
        <v>8.1999999999999993</v>
      </c>
      <c r="BX43" s="12">
        <f t="array" ref="BX43">INDEX(BW:BW,MIN(IF(ISNUMBER(BW43:BW239),ROW(BW43:BW239),"")))</f>
        <v>8.1999999999999993</v>
      </c>
      <c r="BY43" s="12">
        <f>IF('Données projet'!$A$114&gt;35,BY42+BX43-CG42,IF(A43&lt;'Données projet'!$A$114,$BV$205^A43,IF(A43='Données projet'!$A$114,'Données projet'!$B$114,BY42+BX43-CG42)))</f>
        <v>157.99999999999994</v>
      </c>
      <c r="BZ43" s="13">
        <f>BY43*VLOOKUP('Données projet'!$B$12,Paramètres!$A$1:$I$89,3,0)*VLOOKUP('Données projet'!$B$12,Paramètres!$A$1:$I$89,5,0)</f>
        <v>142.95839999999993</v>
      </c>
      <c r="CA43" s="13">
        <f t="shared" si="39"/>
        <v>36.973906370811264</v>
      </c>
      <c r="CB43" s="20">
        <f t="shared" si="10"/>
        <v>313.38210026249618</v>
      </c>
      <c r="CC43" s="59">
        <f t="shared" si="11"/>
        <v>606.7154335958295</v>
      </c>
      <c r="CD43" s="59">
        <f ca="1">AVERAGE(OFFSET($CC$3,0,0,'Données projet'!$E$12+1,1))-AVERAGE(OFFSET($H$3,0,0,'Données projet'!$E$12+1,1))</f>
        <v>237.22177246688199</v>
      </c>
      <c r="CE43" s="59">
        <f t="shared" si="40"/>
        <v>149.27472147904302</v>
      </c>
      <c r="CF43" s="15">
        <f>IF(ISNA(VLOOKUP(A43,'Données projet'!$A$113:$I$133,3,0)),0,VLOOKUP(A43,'Données projet'!$A$113:$I$133,3,0))</f>
        <v>2</v>
      </c>
      <c r="CG43" s="15">
        <f>IF(ISNA(VLOOKUP(A43,'Données projet'!$A$113:$I$133,4,0)),0,VLOOKUP(A43,'Données projet'!$A$113:$I$133,4,0))</f>
        <v>42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2.3538609712999925</v>
      </c>
      <c r="CM43" s="21">
        <f>EXP(-LN(2)/2)*CM42+(1-EXP(-LN(2)/2))/(LN(2)/2)*CG43*CJ43*VLOOKUP('Données projet'!$B$12,Paramètres!$A$1:$I$89,3,0)*0.475*44/12</f>
        <v>0.19341712045088835</v>
      </c>
      <c r="CN43" s="22">
        <f t="shared" si="12"/>
        <v>2.547278091750881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429</v>
      </c>
      <c r="CR43" s="12">
        <f>VLOOKUP(A43,'Données projet'!$A$139:$I$159,9,0)</f>
        <v>22</v>
      </c>
      <c r="CS43" s="12">
        <f t="array" ref="CS43">INDEX(CR:CR,MIN(IF(ISNUMBER(CR43:CR239),ROW(CR43:CR239),"")))</f>
        <v>22</v>
      </c>
      <c r="CT43" s="12">
        <f>IF('Données projet'!$A$140&gt;35,CT42+CS43-DB42,IF(A43&lt;'Données projet'!$A$140,$CQ$205^A43,IF(A43='Données projet'!$A$140,'Données projet'!$B$140,CT42+CS43-DB42)))</f>
        <v>428.99999999999989</v>
      </c>
      <c r="CU43" s="17">
        <f>CT43*VLOOKUP('Données projet'!$B$13,Paramètres!$A$1:$I$89,3,0)*VLOOKUP('Données projet'!$B$13,Paramètres!$A$1:$I$89,5,0)</f>
        <v>239.81099999999992</v>
      </c>
      <c r="CV43" s="13">
        <f t="shared" si="41"/>
        <v>58.398864347229804</v>
      </c>
      <c r="CW43" s="20">
        <f t="shared" si="13"/>
        <v>519.3821804047584</v>
      </c>
      <c r="CX43" s="59">
        <f t="shared" si="14"/>
        <v>812.71551373809166</v>
      </c>
      <c r="CY43" s="59">
        <f ca="1">AVERAGE(OFFSET($CX$3,0,0,'Données projet'!$E$13+1,1))-AVERAGE(OFFSET($H$3,0,0,'Données projet'!$E$13+1,1))</f>
        <v>326.31232746914907</v>
      </c>
      <c r="CZ43" s="59">
        <f t="shared" si="42"/>
        <v>330.17137761430297</v>
      </c>
      <c r="DA43" s="15">
        <f>IF(ISNA(VLOOKUP(A43,'Données projet'!$A$139:$I$159,3,0)),0,VLOOKUP(A43,'Données projet'!$A$139:$I$159,3,0))</f>
        <v>3</v>
      </c>
      <c r="DB43" s="15">
        <f>IF(ISNA(VLOOKUP(A43,'Données projet'!$A$139:$I$159,4,0)),0,VLOOKUP(A43,'Données projet'!$A$139:$I$159,4,0))</f>
        <v>112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3.747246876754434</v>
      </c>
      <c r="DG43" s="21">
        <f>EXP(-LN(2)/25)*DG42+(1-EXP(-LN(2)/25))/(LN(2)/25)*Calculateur!DB43*Calculateur!DD43*VLOOKUP('Données projet'!$B$13,Paramètres!$A$1:$I$89,3,0)*0.475*44/12</f>
        <v>22.866818775540402</v>
      </c>
      <c r="DH43" s="21">
        <f>EXP(-LN(2)/2)*DH42+(1-EXP(-LN(2)/2))/(LN(2)/2)*DB43*DE43*VLOOKUP('Données projet'!$B$13,Paramètres!$A$1:$I$89,3,0)*0.475*44/12</f>
        <v>1.0163152615761013</v>
      </c>
      <c r="DI43" s="22">
        <f t="shared" si="15"/>
        <v>27.630380913870937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283</v>
      </c>
      <c r="DM43" s="12">
        <f>VLOOKUP(A43,'Données projet'!$A$165:$I$185,9,0)</f>
        <v>13.3</v>
      </c>
      <c r="DN43" s="12">
        <f t="array" ref="DN43">INDEX(DM:DM,MIN(IF(ISNUMBER(DM43:DM239),ROW(DM43:DM239),"")))</f>
        <v>13.3</v>
      </c>
      <c r="DO43" s="12">
        <f>IF('Données projet'!$A$166&gt;35,DO42+DN43-DW42,IF(A43&lt;'Données projet'!$A$166,$DL$205^A43,IF(A43='Données projet'!$A$166,'Données projet'!$B$166,DO42+DN43-DW42)))</f>
        <v>283.00000000000017</v>
      </c>
      <c r="DP43" s="17">
        <f>DO43*VLOOKUP('Données projet'!$B$14,Paramètres!$A$1:$I$89,3,0)*VLOOKUP('Données projet'!$B$14,Paramètres!$A$1:$I$89,5,0)</f>
        <v>176.59200000000013</v>
      </c>
      <c r="DQ43" s="13">
        <f t="shared" si="43"/>
        <v>44.56312751418794</v>
      </c>
      <c r="DR43" s="20">
        <f t="shared" si="16"/>
        <v>385.1785137538775</v>
      </c>
      <c r="DS43" s="59">
        <f t="shared" si="17"/>
        <v>678.51184708721075</v>
      </c>
      <c r="DT43" s="59">
        <f ca="1">AVERAGE(OFFSET($DS$3,0,0,'Données projet'!$E$14+1,1))-AVERAGE(OFFSET($H$3,0,0,'Données projet'!$E$14+1,1))</f>
        <v>209.93608079129638</v>
      </c>
      <c r="DU43" s="59">
        <f t="shared" si="44"/>
        <v>240.15652428700969</v>
      </c>
      <c r="DV43" s="15">
        <f>IF(ISNA(VLOOKUP(A43,'Données projet'!$A$165:$I$185,3,0)),0,VLOOKUP(A43,'Données projet'!$A$165:$I$185,3,0))</f>
        <v>3</v>
      </c>
      <c r="DW43" s="15">
        <f>IF(ISNA(VLOOKUP(A43,'Données projet'!$A$165:$I$185,4,0)),0,VLOOKUP(A43,'Données projet'!$A$165:$I$185,4,0))</f>
        <v>70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5.7040544424168944</v>
      </c>
      <c r="EB43" s="21">
        <f>EXP(-LN(2)/25)*EB42+(1-EXP(-LN(2)/25))/(LN(2)/25)*Calculateur!DW43*Calculateur!DY43*VLOOKUP('Données projet'!$B$14,Paramètres!$A$1:$I$89,3,0)*0.475*44/12</f>
        <v>15.754288616325521</v>
      </c>
      <c r="EC43" s="21">
        <f>EXP(-LN(2)/2)*EC42+(1-EXP(-LN(2)/2))/(LN(2)/2)*DW43*DZ43*VLOOKUP('Données projet'!$B$14,Paramètres!$A$1:$I$89,3,0)*0.475*44/12</f>
        <v>0.63096298449109689</v>
      </c>
      <c r="ED43" s="22">
        <f t="shared" si="18"/>
        <v>22.089306043233513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285</v>
      </c>
      <c r="EH43" s="12">
        <f>VLOOKUP(A43,'Données projet'!$A$191:$I$211,9,0)</f>
        <v>13.7</v>
      </c>
      <c r="EI43" s="12">
        <f t="array" ref="EI43">INDEX(EH:EH,MIN(IF(ISNUMBER(EH43:EH239),ROW(EH43:EH239),"")))</f>
        <v>13.7</v>
      </c>
      <c r="EJ43" s="12">
        <f>IF('Données projet'!$A$192&gt;35,EJ42+EI43-ER42,IF(A43&lt;'Données projet'!$A$192,$EG$205^A43,IF(A43='Données projet'!$A$192,'Données projet'!$B$192,EJ42+EI43-ER42)))</f>
        <v>284.99999999999989</v>
      </c>
      <c r="EK43" s="17">
        <f>EJ43*VLOOKUP('Données projet'!$B$15,Paramètres!$A$1:$I$89,3,0)*VLOOKUP('Données projet'!$B$15,Paramètres!$A$1:$I$89,5,0)</f>
        <v>170.42999999999995</v>
      </c>
      <c r="EL43" s="13">
        <f t="shared" si="45"/>
        <v>43.186315117079396</v>
      </c>
      <c r="EM43" s="20">
        <f t="shared" si="19"/>
        <v>372.04841549557983</v>
      </c>
      <c r="EN43" s="59">
        <f t="shared" si="20"/>
        <v>665.38174882891315</v>
      </c>
      <c r="EO43" s="59">
        <f ca="1">AVERAGE(OFFSET($EN$3,0,0,'Données projet'!$E$15+1,1))-AVERAGE(OFFSET($H$3,0,0,'Données projet'!$E$15+1,1))</f>
        <v>216.94426559495264</v>
      </c>
      <c r="EP43" s="59">
        <f t="shared" si="46"/>
        <v>225.33715877618704</v>
      </c>
      <c r="EQ43" s="15">
        <f>IF(ISNA(VLOOKUP(A43,'Données projet'!$A$191:$I$211,3,0)),0,VLOOKUP(A43,'Données projet'!$A$191:$I$211,3,0))</f>
        <v>3</v>
      </c>
      <c r="ER43" s="15">
        <f>IF(ISNA(VLOOKUP(A43,'Données projet'!$A$191:$I$211,4,0)),0,VLOOKUP(A43,'Données projet'!$A$191:$I$211,4,0))</f>
        <v>70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9.737920816498832</v>
      </c>
      <c r="EX43" s="21">
        <f>EXP(-LN(2)/2)*EX42+(1-EXP(-LN(2)/2))/(LN(2)/2)*ER43*EU43*VLOOKUP('Données projet'!$B$15,Paramètres!$A$1:$I$89,3,0)*0.475*44/12</f>
        <v>0.74154249605684286</v>
      </c>
      <c r="EY43" s="22">
        <f t="shared" si="21"/>
        <v>10.479463312555675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275</v>
      </c>
      <c r="FC43" s="12">
        <f>VLOOKUP(A43,'Données projet'!$A$217:$I$237,9,0)</f>
        <v>12.833333333333334</v>
      </c>
      <c r="FD43" s="12">
        <f t="array" ref="FD43">INDEX(FC:FC,MIN(IF(ISNUMBER(FC43:FC239),ROW(FC43:FC239),"")))</f>
        <v>12.833333333333334</v>
      </c>
      <c r="FE43" s="12">
        <f>IF('Données projet'!$A$218&gt;35,FE42+FD43-FM42,IF(A43&lt;'Données projet'!$A$218,$FB$205^A43,IF(A43='Données projet'!$A$218,'Données projet'!$B$218,FE42+FD43-FM42)))</f>
        <v>275.00000000000006</v>
      </c>
      <c r="FF43" s="17">
        <f>FE43*VLOOKUP('Données projet'!$B$16,Paramètres!$A$1:$I$89,3,0)*VLOOKUP('Données projet'!$B$16,Paramètres!$A$1:$I$89,5,0)</f>
        <v>164.45000000000005</v>
      </c>
      <c r="FG43" s="13">
        <f t="shared" si="47"/>
        <v>41.844617207687371</v>
      </c>
      <c r="FH43" s="20">
        <f t="shared" si="22"/>
        <v>359.29645830338887</v>
      </c>
      <c r="FI43" s="59">
        <f t="shared" si="23"/>
        <v>652.62979163672219</v>
      </c>
      <c r="FJ43" s="59">
        <f ca="1">AVERAGE(OFFSET($FI$3,0,0,'Données projet'!$E$16+1,1))-AVERAGE(OFFSET($H$3,0,0,'Données projet'!$E$16+1,1))</f>
        <v>168.08890945052406</v>
      </c>
      <c r="FK43" s="59">
        <f t="shared" si="48"/>
        <v>182.52462557642343</v>
      </c>
      <c r="FL43" s="15">
        <f>IF(ISNA(VLOOKUP(A43,'Données projet'!$A$217:$I$237,3,0)),0,VLOOKUP(A43,'Données projet'!$A$217:$I$237,3,0))</f>
        <v>6</v>
      </c>
      <c r="FM43" s="15">
        <f>IF(ISNA(VLOOKUP(A43,'Données projet'!$A$217:$I$237,4,0)),0,VLOOKUP(A43,'Données projet'!$A$217:$I$237,4,0))</f>
        <v>41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5.0961399700861012</v>
      </c>
      <c r="FR43" s="21">
        <f>EXP(-LN(2)/25)*FR42+(1-EXP(-LN(2)/25))/(LN(2)/25)*Calculateur!FM43*Calculateur!FO43*VLOOKUP('Données projet'!$B$16,Paramètres!$A$1:$I$89,3,0)*0.475*44/12</f>
        <v>9.3450612544892238</v>
      </c>
      <c r="FS43" s="21">
        <f>EXP(-LN(2)/2)*FS42+(1-EXP(-LN(2)/2))/(LN(2)/2)*FM43*FP43*VLOOKUP('Données projet'!$B$16,Paramètres!$A$1:$I$89,3,0)*0.475*44/12</f>
        <v>0.17017788668981731</v>
      </c>
      <c r="FT43" s="22">
        <f t="shared" si="24"/>
        <v>14.611379111265142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256</v>
      </c>
      <c r="FX43" s="12">
        <f>VLOOKUP(A43,'Données projet'!$A$243:$I$263,9,0)</f>
        <v>15.2</v>
      </c>
      <c r="FY43" s="12">
        <f t="array" ref="FY43">INDEX(FX:FX,MIN(IF(ISNUMBER(FX43:FX239),ROW(FX43:FX239),"")))</f>
        <v>15.2</v>
      </c>
      <c r="FZ43" s="12">
        <f>IF('Données projet'!$A$244&gt;35,FZ42+FY43-GH42,IF(A43&lt;'Données projet'!$A$244,$FW$205^A43,IF(A43='Données projet'!$A$244,'Données projet'!$B$244,FZ42+FY43-GH42)))</f>
        <v>255.99999999999994</v>
      </c>
      <c r="GA43" s="17">
        <f>FZ43*VLOOKUP('Données projet'!$B$17,Paramètres!$A$1:$I$89,3,0)*VLOOKUP('Données projet'!$B$17,Paramètres!$A$1:$I$89,5,0)</f>
        <v>146.43199999999996</v>
      </c>
      <c r="GB43" s="13">
        <f t="shared" si="49"/>
        <v>37.766612239306838</v>
      </c>
      <c r="GC43" s="20">
        <f t="shared" si="25"/>
        <v>320.81258298345932</v>
      </c>
      <c r="GD43" s="59">
        <f t="shared" si="26"/>
        <v>614.14591631679264</v>
      </c>
      <c r="GE43" s="59">
        <f ca="1">AVERAGE(OFFSET($GD$3,0,0,'Données projet'!$E$17+1,1))-AVERAGE(OFFSET($H$3,0,0,'Données projet'!$E$17+1,1))</f>
        <v>196.95560009657527</v>
      </c>
      <c r="GF43" s="59">
        <f t="shared" si="50"/>
        <v>168.90186968005662</v>
      </c>
      <c r="GG43" s="15">
        <f>IF(ISNA(VLOOKUP(A43,'Données projet'!$A$243:$I$263,3,0)),0,VLOOKUP(A43,'Données projet'!$A$243:$I$263,3,0))</f>
        <v>5</v>
      </c>
      <c r="GH43" s="15">
        <f>IF(ISNA(VLOOKUP(A43,'Données projet'!$A$243:$I$263,4,0)),0,VLOOKUP(A43,'Données projet'!$A$243:$I$263,4,0))</f>
        <v>42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0</v>
      </c>
      <c r="GM43" s="21">
        <f>EXP(-LN(2)/25)*GM42+(1-EXP(-LN(2)/25))/(LN(2)/25)*Calculateur!GH43*Calculateur!GJ43*VLOOKUP('Données projet'!$B$17,Paramètres!$A$1:$I$89,3,0)*0.475*44/12</f>
        <v>6.9957435695321228</v>
      </c>
      <c r="GN43" s="21">
        <f>EXP(-LN(2)/2)*GN42+(1-EXP(-LN(2)/2))/(LN(2)/2)*GH43*GK43*VLOOKUP('Données projet'!$B$17,Paramètres!$A$1:$I$89,3,0)*0.475*44/12</f>
        <v>0.40186182350702415</v>
      </c>
      <c r="GO43" s="21">
        <f t="shared" si="27"/>
        <v>7.3976053930391465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11.499999999999996</v>
      </c>
      <c r="N44" s="13">
        <f>IF('Données projet'!$A$36&gt;35,N43+M44-V43,IF(A44&lt;'Données projet'!$A$36,$K$205^A44,IF(A44='Données projet'!$A$36,'Données projet'!$B$36,N43+M44-V43)))</f>
        <v>219.6999999999999</v>
      </c>
      <c r="O44" s="13">
        <f>N44*VLOOKUP('Données projet'!$B$9,Paramètres!$A$1:$I$89,3,0)*VLOOKUP('Données projet'!$B$9,Paramètres!$A$1:$I$89,5,0)</f>
        <v>102.81959999999995</v>
      </c>
      <c r="P44" s="13">
        <f t="shared" si="33"/>
        <v>27.632637448562328</v>
      </c>
      <c r="Q44" s="20">
        <f t="shared" si="53"/>
        <v>227.20431355624598</v>
      </c>
      <c r="R44" s="59">
        <f t="shared" si="0"/>
        <v>520.53764688957926</v>
      </c>
      <c r="S44" s="59">
        <f ca="1">AVERAGE(OFFSET($R$3,0,0,'Données projet'!$E$9+1,1))-AVERAGE(OFFSET($H$3,0,0,'Données projet'!$E$9+1,1))</f>
        <v>215.23235148064941</v>
      </c>
      <c r="T44" s="59">
        <f t="shared" si="34"/>
        <v>184.07239726900434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2.5209843695478997</v>
      </c>
      <c r="AA44" s="21">
        <f>EXP(-LN(2)/25)*AA43+(1-EXP(-LN(2)/25))/(LN(2)/25)*Calculateur!V44*Calculateur!X44*VLOOKUP('Données projet'!$B$9,Paramètres!$A$1:$I$89,3,0)*0.475*44/12</f>
        <v>5.7905346423098703</v>
      </c>
      <c r="AB44" s="21">
        <f>EXP(-LN(2)/2)*AB43+(1-EXP(-LN(2)/2))/(LN(2)/2)*V44*Y44*VLOOKUP('Données projet'!$B$9,Paramètres!$A$1:$I$89,3,0)*0.475*44/12</f>
        <v>0.21726245822000553</v>
      </c>
      <c r="AC44" s="22">
        <f t="shared" si="3"/>
        <v>8.5287814700777762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7.7</v>
      </c>
      <c r="AI44" s="13">
        <f>IF('Données projet'!$A$62&gt;35,AI43+AH44-AQ43,IF(A44&lt;'Données projet'!$A$62,$AF$205^A44,IF(A44='Données projet'!$A$62,'Données projet'!$B$62,AI43+AH44-AQ43)))</f>
        <v>171.69999999999985</v>
      </c>
      <c r="AJ44" s="13">
        <f>AI44*VLOOKUP('Données projet'!$B$10,Paramètres!$A$1:$I$89,3,0)*VLOOKUP('Données projet'!$B$10,Paramètres!$A$1:$I$89,5,0)</f>
        <v>125.89043999999988</v>
      </c>
      <c r="AK44" s="13">
        <f t="shared" si="35"/>
        <v>33.044992683692321</v>
      </c>
      <c r="AL44" s="20">
        <f t="shared" si="4"/>
        <v>276.8125452574306</v>
      </c>
      <c r="AM44" s="59">
        <f t="shared" si="5"/>
        <v>570.14587859076391</v>
      </c>
      <c r="AN44" s="59">
        <f ca="1">AVERAGE(OFFSET($AM$3,0,0,'Données projet'!$E$10+1,1))-AVERAGE(OFFSET($H$3,0,0,'Données projet'!$E$10+1,1))</f>
        <v>178.12968684094687</v>
      </c>
      <c r="AO44" s="59">
        <f t="shared" si="36"/>
        <v>219.36004077210373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5.6674266983085069</v>
      </c>
      <c r="AW44" s="21">
        <f>EXP(-LN(2)/2)*AW43+(1-EXP(-LN(2)/2))/(LN(2)/2)*AQ44*AT44*VLOOKUP('Données projet'!$B$10,Paramètres!$A$1:$I$89,3,0)*0.475*44/12</f>
        <v>0.21914818201661018</v>
      </c>
      <c r="AX44" s="21">
        <f t="shared" si="6"/>
        <v>5.8865748803251172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5.2</v>
      </c>
      <c r="BD44" s="12">
        <f>IF('Données projet'!$A$88&gt;35,BD43+BC44-BL43,IF(A44&lt;'Données projet'!$A$88,$BA$205^A44,IF(A44='Données projet'!$A$88,'Données projet'!$B$88,BD43+BC44-BL43)))</f>
        <v>107.19999999999999</v>
      </c>
      <c r="BE44" s="13">
        <f>BD44*VLOOKUP('Données projet'!$B$11,Paramètres!$A$1:$I$89,3,0)*VLOOKUP('Données projet'!$B$11,Paramètres!$A$1:$I$89,5,0)</f>
        <v>93.649919999999995</v>
      </c>
      <c r="BF44" s="13">
        <f t="shared" si="37"/>
        <v>25.443450816014074</v>
      </c>
      <c r="BG44" s="20">
        <f t="shared" si="7"/>
        <v>207.42095417122448</v>
      </c>
      <c r="BH44" s="59">
        <f t="shared" si="8"/>
        <v>500.75428750455779</v>
      </c>
      <c r="BI44" s="59">
        <f ca="1">AVERAGE(OFFSET($BH$3,0,0,'Données projet'!$E$11+1,1))-AVERAGE(OFFSET($H$3,0,0,'Données projet'!$E$11+1,1))</f>
        <v>114.02623091248347</v>
      </c>
      <c r="BJ44" s="59">
        <f t="shared" si="38"/>
        <v>185.51554083721635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1.5696998691047357</v>
      </c>
      <c r="BQ44" s="21">
        <f>EXP(-LN(2)/25)*BQ43+(1-EXP(-LN(2)/25))/(LN(2)/25)*Calculateur!BL44*Calculateur!BN44*VLOOKUP('Données projet'!$B$11,Paramètres!$A$1:$I$89,3,0)*0.475*44/12</f>
        <v>8.2972833709463885</v>
      </c>
      <c r="BR44" s="21">
        <f>EXP(-LN(2)/2)*BR43+(1-EXP(-LN(2)/2))/(LN(2)/2)*BL44*BO44*VLOOKUP('Données projet'!$B$11,Paramètres!$A$1:$I$89,3,0)*0.475*44/12</f>
        <v>0.38977655759840352</v>
      </c>
      <c r="BS44" s="22">
        <f t="shared" si="9"/>
        <v>10.256759797649527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8.3000000000000007</v>
      </c>
      <c r="BY44" s="12">
        <f>IF('Données projet'!$A$114&gt;35,BY43+BX44-CG43,IF(A44&lt;'Données projet'!$A$114,$BV$205^A44,IF(A44='Données projet'!$A$114,'Données projet'!$B$114,BY43+BX44-CG43)))</f>
        <v>124.29999999999995</v>
      </c>
      <c r="BZ44" s="13">
        <f>BY44*VLOOKUP('Données projet'!$B$12,Paramètres!$A$1:$I$89,3,0)*VLOOKUP('Données projet'!$B$12,Paramètres!$A$1:$I$89,5,0)</f>
        <v>112.46663999999996</v>
      </c>
      <c r="CA44" s="13">
        <f t="shared" si="39"/>
        <v>29.911391992758421</v>
      </c>
      <c r="CB44" s="20">
        <f t="shared" si="10"/>
        <v>247.97507238738748</v>
      </c>
      <c r="CC44" s="59">
        <f t="shared" si="11"/>
        <v>541.30840572072077</v>
      </c>
      <c r="CD44" s="59">
        <f ca="1">AVERAGE(OFFSET($CC$3,0,0,'Données projet'!$E$12+1,1))-AVERAGE(OFFSET($H$3,0,0,'Données projet'!$E$12+1,1))</f>
        <v>237.22177246688199</v>
      </c>
      <c r="CE44" s="59">
        <f t="shared" si="40"/>
        <v>149.27472147904302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2.2894945192556255</v>
      </c>
      <c r="CM44" s="21">
        <f>EXP(-LN(2)/2)*CM43+(1-EXP(-LN(2)/2))/(LN(2)/2)*CG44*CJ44*VLOOKUP('Données projet'!$B$12,Paramètres!$A$1:$I$89,3,0)*0.475*44/12</f>
        <v>0.13676655746839841</v>
      </c>
      <c r="CN44" s="22">
        <f t="shared" si="12"/>
        <v>2.4262610767240238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19.2</v>
      </c>
      <c r="CT44" s="12">
        <f>IF('Données projet'!$A$140&gt;35,CT43+CS44-DB43,IF(A44&lt;'Données projet'!$A$140,$CQ$205^A44,IF(A44='Données projet'!$A$140,'Données projet'!$B$140,CT43+CS44-DB43)))</f>
        <v>336.19999999999987</v>
      </c>
      <c r="CU44" s="17">
        <f>CT44*VLOOKUP('Données projet'!$B$13,Paramètres!$A$1:$I$89,3,0)*VLOOKUP('Données projet'!$B$13,Paramètres!$A$1:$I$89,5,0)</f>
        <v>187.93579999999994</v>
      </c>
      <c r="CV44" s="13">
        <f t="shared" si="41"/>
        <v>47.083297807364765</v>
      </c>
      <c r="CW44" s="20">
        <f t="shared" si="13"/>
        <v>409.3249286811602</v>
      </c>
      <c r="CX44" s="59">
        <f t="shared" si="14"/>
        <v>702.65826201449352</v>
      </c>
      <c r="CY44" s="59">
        <f ca="1">AVERAGE(OFFSET($CX$3,0,0,'Données projet'!$E$13+1,1))-AVERAGE(OFFSET($H$3,0,0,'Données projet'!$E$13+1,1))</f>
        <v>326.31232746914907</v>
      </c>
      <c r="CZ44" s="59">
        <f t="shared" si="42"/>
        <v>330.17137761430297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3.6737656510961907</v>
      </c>
      <c r="DG44" s="21">
        <f>EXP(-LN(2)/25)*DG43+(1-EXP(-LN(2)/25))/(LN(2)/25)*Calculateur!DB44*Calculateur!DD44*VLOOKUP('Données projet'!$B$13,Paramètres!$A$1:$I$89,3,0)*0.475*44/12</f>
        <v>22.241524413609515</v>
      </c>
      <c r="DH44" s="21">
        <f>EXP(-LN(2)/2)*DH43+(1-EXP(-LN(2)/2))/(LN(2)/2)*DB44*DE44*VLOOKUP('Données projet'!$B$13,Paramètres!$A$1:$I$89,3,0)*0.475*44/12</f>
        <v>0.71864341328384107</v>
      </c>
      <c r="DI44" s="22">
        <f t="shared" si="15"/>
        <v>26.633933477989544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11</v>
      </c>
      <c r="DO44" s="12">
        <f>IF('Données projet'!$A$166&gt;35,DO43+DN44-DW43,IF(A44&lt;'Données projet'!$A$166,$DL$205^A44,IF(A44='Données projet'!$A$166,'Données projet'!$B$166,DO43+DN44-DW43)))</f>
        <v>224.00000000000017</v>
      </c>
      <c r="DP44" s="17">
        <f>DO44*VLOOKUP('Données projet'!$B$14,Paramètres!$A$1:$I$89,3,0)*VLOOKUP('Données projet'!$B$14,Paramètres!$A$1:$I$89,5,0)</f>
        <v>139.77600000000012</v>
      </c>
      <c r="DQ44" s="13">
        <f t="shared" si="43"/>
        <v>36.245685459195322</v>
      </c>
      <c r="DR44" s="20">
        <f t="shared" si="16"/>
        <v>306.57110217476543</v>
      </c>
      <c r="DS44" s="59">
        <f t="shared" si="17"/>
        <v>599.90443550809869</v>
      </c>
      <c r="DT44" s="59">
        <f ca="1">AVERAGE(OFFSET($DS$3,0,0,'Données projet'!$E$14+1,1))-AVERAGE(OFFSET($H$3,0,0,'Données projet'!$E$14+1,1))</f>
        <v>209.93608079129638</v>
      </c>
      <c r="DU44" s="59">
        <f t="shared" si="44"/>
        <v>240.15652428700969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5.5922014139307734</v>
      </c>
      <c r="EB44" s="21">
        <f>EXP(-LN(2)/25)*EB43+(1-EXP(-LN(2)/25))/(LN(2)/25)*Calculateur!DW44*Calculateur!DY44*VLOOKUP('Données projet'!$B$14,Paramètres!$A$1:$I$89,3,0)*0.475*44/12</f>
        <v>15.323486765630069</v>
      </c>
      <c r="EC44" s="21">
        <f>EXP(-LN(2)/2)*EC43+(1-EXP(-LN(2)/2))/(LN(2)/2)*DW44*DZ44*VLOOKUP('Données projet'!$B$14,Paramètres!$A$1:$I$89,3,0)*0.475*44/12</f>
        <v>0.44615820501135706</v>
      </c>
      <c r="ED44" s="22">
        <f t="shared" si="18"/>
        <v>21.3618463845722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12.8</v>
      </c>
      <c r="EJ44" s="12">
        <f>IF('Données projet'!$A$192&gt;35,EJ43+EI44-ER43,IF(A44&lt;'Données projet'!$A$192,$EG$205^A44,IF(A44='Données projet'!$A$192,'Données projet'!$B$192,EJ43+EI44-ER43)))</f>
        <v>227.7999999999999</v>
      </c>
      <c r="EK44" s="17">
        <f>EJ44*VLOOKUP('Données projet'!$B$15,Paramètres!$A$1:$I$89,3,0)*VLOOKUP('Données projet'!$B$15,Paramètres!$A$1:$I$89,5,0)</f>
        <v>136.22439999999995</v>
      </c>
      <c r="EL44" s="13">
        <f t="shared" si="45"/>
        <v>35.430697151629076</v>
      </c>
      <c r="EM44" s="20">
        <f t="shared" si="19"/>
        <v>298.96596087242057</v>
      </c>
      <c r="EN44" s="59">
        <f t="shared" si="20"/>
        <v>592.29929420575388</v>
      </c>
      <c r="EO44" s="59">
        <f ca="1">AVERAGE(OFFSET($EN$3,0,0,'Données projet'!$E$15+1,1))-AVERAGE(OFFSET($H$3,0,0,'Données projet'!$E$15+1,1))</f>
        <v>216.94426559495264</v>
      </c>
      <c r="EP44" s="59">
        <f t="shared" si="46"/>
        <v>225.33715877618704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9.4716368596766713</v>
      </c>
      <c r="EX44" s="21">
        <f>EXP(-LN(2)/2)*EX43+(1-EXP(-LN(2)/2))/(LN(2)/2)*ER44*EU44*VLOOKUP('Données projet'!$B$15,Paramètres!$A$1:$I$89,3,0)*0.475*44/12</f>
        <v>0.52434972749979225</v>
      </c>
      <c r="EY44" s="22">
        <f t="shared" si="21"/>
        <v>9.9959865871764642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9.8333333333333339</v>
      </c>
      <c r="FE44" s="12">
        <f>IF('Données projet'!$A$218&gt;35,FE43+FD44-FM43,IF(A44&lt;'Données projet'!$A$218,$FB$205^A44,IF(A44='Données projet'!$A$218,'Données projet'!$B$218,FE43+FD44-FM43)))</f>
        <v>243.83333333333337</v>
      </c>
      <c r="FF44" s="17">
        <f>FE44*VLOOKUP('Données projet'!$B$16,Paramètres!$A$1:$I$89,3,0)*VLOOKUP('Données projet'!$B$16,Paramètres!$A$1:$I$89,5,0)</f>
        <v>145.81233333333336</v>
      </c>
      <c r="FG44" s="13">
        <f t="shared" si="47"/>
        <v>37.625360763194948</v>
      </c>
      <c r="FH44" s="20">
        <f t="shared" si="22"/>
        <v>319.4873172181201</v>
      </c>
      <c r="FI44" s="59">
        <f t="shared" si="23"/>
        <v>612.82065055145335</v>
      </c>
      <c r="FJ44" s="59">
        <f ca="1">AVERAGE(OFFSET($FI$3,0,0,'Données projet'!$E$16+1,1))-AVERAGE(OFFSET($H$3,0,0,'Données projet'!$E$16+1,1))</f>
        <v>168.08890945052406</v>
      </c>
      <c r="FK44" s="59">
        <f t="shared" si="48"/>
        <v>182.52462557642343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4.9962077736111716</v>
      </c>
      <c r="FR44" s="21">
        <f>EXP(-LN(2)/25)*FR43+(1-EXP(-LN(2)/25))/(LN(2)/25)*Calculateur!FM44*Calculateur!FO44*VLOOKUP('Données projet'!$B$16,Paramètres!$A$1:$I$89,3,0)*0.475*44/12</f>
        <v>9.0895200630498039</v>
      </c>
      <c r="FS44" s="21">
        <f>EXP(-LN(2)/2)*FS43+(1-EXP(-LN(2)/2))/(LN(2)/2)*FM44*FP44*VLOOKUP('Données projet'!$B$16,Paramètres!$A$1:$I$89,3,0)*0.475*44/12</f>
        <v>0.12033393768636574</v>
      </c>
      <c r="FT44" s="22">
        <f t="shared" si="24"/>
        <v>14.206061774347342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13.8</v>
      </c>
      <c r="FZ44" s="12">
        <f>IF('Données projet'!$A$244&gt;35,FZ43+FY44-GH43,IF(A44&lt;'Données projet'!$A$244,$FW$205^A44,IF(A44='Données projet'!$A$244,'Données projet'!$B$244,FZ43+FY44-GH43)))</f>
        <v>227.79999999999995</v>
      </c>
      <c r="GA44" s="17">
        <f>FZ44*VLOOKUP('Données projet'!$B$17,Paramètres!$A$1:$I$89,3,0)*VLOOKUP('Données projet'!$B$17,Paramètres!$A$1:$I$89,5,0)</f>
        <v>130.30159999999998</v>
      </c>
      <c r="GB44" s="13">
        <f t="shared" si="49"/>
        <v>34.066040835325218</v>
      </c>
      <c r="GC44" s="20">
        <f t="shared" si="25"/>
        <v>286.27364112152469</v>
      </c>
      <c r="GD44" s="59">
        <f t="shared" si="26"/>
        <v>579.606974454858</v>
      </c>
      <c r="GE44" s="59">
        <f ca="1">AVERAGE(OFFSET($GD$3,0,0,'Données projet'!$E$17+1,1))-AVERAGE(OFFSET($H$3,0,0,'Données projet'!$E$17+1,1))</f>
        <v>196.95560009657527</v>
      </c>
      <c r="GF44" s="59">
        <f t="shared" si="50"/>
        <v>168.90186968005662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0</v>
      </c>
      <c r="GM44" s="21">
        <f>EXP(-LN(2)/25)*GM43+(1-EXP(-LN(2)/25))/(LN(2)/25)*Calculateur!GH44*Calculateur!GJ44*VLOOKUP('Données projet'!$B$17,Paramètres!$A$1:$I$89,3,0)*0.475*44/12</f>
        <v>6.804444593733102</v>
      </c>
      <c r="GN44" s="21">
        <f>EXP(-LN(2)/2)*GN43+(1-EXP(-LN(2)/2))/(LN(2)/2)*GH44*GK44*VLOOKUP('Données projet'!$B$17,Paramètres!$A$1:$I$89,3,0)*0.475*44/12</f>
        <v>0.28415922050180831</v>
      </c>
      <c r="GO44" s="21">
        <f t="shared" si="27"/>
        <v>7.0886038142349106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11.499999999999996</v>
      </c>
      <c r="N45" s="13">
        <f>IF('Données projet'!$A$36&gt;35,N44+M45-V44,IF(A45&lt;'Données projet'!$A$36,$K$205^A45,IF(A45='Données projet'!$A$36,'Données projet'!$B$36,N44+M45-V44)))</f>
        <v>231.1999999999999</v>
      </c>
      <c r="O45" s="13">
        <f>N45*VLOOKUP('Données projet'!$B$9,Paramètres!$A$1:$I$89,3,0)*VLOOKUP('Données projet'!$B$9,Paramètres!$A$1:$I$89,5,0)</f>
        <v>108.20159999999994</v>
      </c>
      <c r="P45" s="13">
        <f t="shared" si="33"/>
        <v>28.906861857161235</v>
      </c>
      <c r="Q45" s="20">
        <f t="shared" si="53"/>
        <v>238.79723773455569</v>
      </c>
      <c r="R45" s="59">
        <f t="shared" si="0"/>
        <v>532.13057106788904</v>
      </c>
      <c r="S45" s="59">
        <f ca="1">AVERAGE(OFFSET($R$3,0,0,'Données projet'!$E$9+1,1))-AVERAGE(OFFSET($H$3,0,0,'Données projet'!$E$9+1,1))</f>
        <v>215.23235148064941</v>
      </c>
      <c r="T45" s="59">
        <f t="shared" si="34"/>
        <v>184.07239726900434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2.4715494037097008</v>
      </c>
      <c r="AA45" s="21">
        <f>EXP(-LN(2)/25)*AA44+(1-EXP(-LN(2)/25))/(LN(2)/25)*Calculateur!V45*Calculateur!X45*VLOOKUP('Données projet'!$B$9,Paramètres!$A$1:$I$89,3,0)*0.475*44/12</f>
        <v>5.6321921680049245</v>
      </c>
      <c r="AB45" s="21">
        <f>EXP(-LN(2)/2)*AB44+(1-EXP(-LN(2)/2))/(LN(2)/2)*V45*Y45*VLOOKUP('Données projet'!$B$9,Paramètres!$A$1:$I$89,3,0)*0.475*44/12</f>
        <v>0.15362775750462487</v>
      </c>
      <c r="AC45" s="22">
        <f t="shared" si="3"/>
        <v>8.2573693292192498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7.7</v>
      </c>
      <c r="AI45" s="13">
        <f>IF('Données projet'!$A$62&gt;35,AI44+AH45-AQ44,IF(A45&lt;'Données projet'!$A$62,$AF$205^A45,IF(A45='Données projet'!$A$62,'Données projet'!$B$62,AI44+AH45-AQ44)))</f>
        <v>179.39999999999984</v>
      </c>
      <c r="AJ45" s="13">
        <f>AI45*VLOOKUP('Données projet'!$B$10,Paramètres!$A$1:$I$89,3,0)*VLOOKUP('Données projet'!$B$10,Paramètres!$A$1:$I$89,5,0)</f>
        <v>131.53607999999986</v>
      </c>
      <c r="AK45" s="13">
        <f t="shared" si="35"/>
        <v>34.35105929540083</v>
      </c>
      <c r="AL45" s="20">
        <f t="shared" si="4"/>
        <v>288.92010093948954</v>
      </c>
      <c r="AM45" s="59">
        <f t="shared" si="5"/>
        <v>582.25343427282291</v>
      </c>
      <c r="AN45" s="59">
        <f ca="1">AVERAGE(OFFSET($AM$3,0,0,'Données projet'!$E$10+1,1))-AVERAGE(OFFSET($H$3,0,0,'Données projet'!$E$10+1,1))</f>
        <v>178.12968684094687</v>
      </c>
      <c r="AO45" s="59">
        <f t="shared" si="36"/>
        <v>219.36004077210373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5.5124506172062437</v>
      </c>
      <c r="AW45" s="21">
        <f>EXP(-LN(2)/2)*AW44+(1-EXP(-LN(2)/2))/(LN(2)/2)*AQ45*AT45*VLOOKUP('Données projet'!$B$10,Paramètres!$A$1:$I$89,3,0)*0.475*44/12</f>
        <v>0.15496116558864886</v>
      </c>
      <c r="AX45" s="21">
        <f t="shared" si="6"/>
        <v>5.6674117827948924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5.2</v>
      </c>
      <c r="BD45" s="12">
        <f>IF('Données projet'!$A$88&gt;35,BD44+BC45-BL44,IF(A45&lt;'Données projet'!$A$88,$BA$205^A45,IF(A45='Données projet'!$A$88,'Données projet'!$B$88,BD44+BC45-BL44)))</f>
        <v>112.39999999999999</v>
      </c>
      <c r="BE45" s="13">
        <f>BD45*VLOOKUP('Données projet'!$B$11,Paramètres!$A$1:$I$89,3,0)*VLOOKUP('Données projet'!$B$11,Paramètres!$A$1:$I$89,5,0)</f>
        <v>98.192640000000011</v>
      </c>
      <c r="BF45" s="13">
        <f t="shared" si="37"/>
        <v>26.530962957008427</v>
      </c>
      <c r="BG45" s="20">
        <f t="shared" si="7"/>
        <v>217.22694181678969</v>
      </c>
      <c r="BH45" s="59">
        <f t="shared" si="8"/>
        <v>510.560275150123</v>
      </c>
      <c r="BI45" s="59">
        <f ca="1">AVERAGE(OFFSET($BH$3,0,0,'Données projet'!$E$11+1,1))-AVERAGE(OFFSET($H$3,0,0,'Données projet'!$E$11+1,1))</f>
        <v>114.02623091248347</v>
      </c>
      <c r="BJ45" s="59">
        <f t="shared" si="38"/>
        <v>185.51554083721635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1.5389190120939744</v>
      </c>
      <c r="BQ45" s="21">
        <f>EXP(-LN(2)/25)*BQ44+(1-EXP(-LN(2)/25))/(LN(2)/25)*Calculateur!BL45*Calculateur!BN45*VLOOKUP('Données projet'!$B$11,Paramètres!$A$1:$I$89,3,0)*0.475*44/12</f>
        <v>8.0703937208326906</v>
      </c>
      <c r="BR45" s="21">
        <f>EXP(-LN(2)/2)*BR44+(1-EXP(-LN(2)/2))/(LN(2)/2)*BL45*BO45*VLOOKUP('Données projet'!$B$11,Paramètres!$A$1:$I$89,3,0)*0.475*44/12</f>
        <v>0.27561364702538005</v>
      </c>
      <c r="BS45" s="22">
        <f t="shared" si="9"/>
        <v>9.884926379952045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8.3000000000000007</v>
      </c>
      <c r="BY45" s="12">
        <f>IF('Données projet'!$A$114&gt;35,BY44+BX45-CG44,IF(A45&lt;'Données projet'!$A$114,$BV$205^A45,IF(A45='Données projet'!$A$114,'Données projet'!$B$114,BY44+BX45-CG44)))</f>
        <v>132.59999999999997</v>
      </c>
      <c r="BZ45" s="13">
        <f>BY45*VLOOKUP('Données projet'!$B$12,Paramètres!$A$1:$I$89,3,0)*VLOOKUP('Données projet'!$B$12,Paramètres!$A$1:$I$89,5,0)</f>
        <v>119.97647999999997</v>
      </c>
      <c r="CA45" s="13">
        <f t="shared" si="39"/>
        <v>31.669513577784763</v>
      </c>
      <c r="CB45" s="20">
        <f t="shared" si="10"/>
        <v>264.11677214797504</v>
      </c>
      <c r="CC45" s="59">
        <f t="shared" si="11"/>
        <v>557.45010548130836</v>
      </c>
      <c r="CD45" s="59">
        <f ca="1">AVERAGE(OFFSET($CC$3,0,0,'Données projet'!$E$12+1,1))-AVERAGE(OFFSET($H$3,0,0,'Données projet'!$E$12+1,1))</f>
        <v>237.22177246688199</v>
      </c>
      <c r="CE45" s="59">
        <f t="shared" si="40"/>
        <v>149.27472147904302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2.2268881712272965</v>
      </c>
      <c r="CM45" s="21">
        <f>EXP(-LN(2)/2)*CM44+(1-EXP(-LN(2)/2))/(LN(2)/2)*CG45*CJ45*VLOOKUP('Données projet'!$B$12,Paramètres!$A$1:$I$89,3,0)*0.475*44/12</f>
        <v>9.6708560225444176E-2</v>
      </c>
      <c r="CN45" s="22">
        <f t="shared" si="12"/>
        <v>2.3235967314527408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19.2</v>
      </c>
      <c r="CT45" s="12">
        <f>IF('Données projet'!$A$140&gt;35,CT44+CS45-DB44,IF(A45&lt;'Données projet'!$A$140,$CQ$205^A45,IF(A45='Données projet'!$A$140,'Données projet'!$B$140,CT44+CS45-DB44)))</f>
        <v>355.39999999999986</v>
      </c>
      <c r="CU45" s="17">
        <f>CT45*VLOOKUP('Données projet'!$B$13,Paramètres!$A$1:$I$89,3,0)*VLOOKUP('Données projet'!$B$13,Paramètres!$A$1:$I$89,5,0)</f>
        <v>198.66859999999994</v>
      </c>
      <c r="CV45" s="13">
        <f t="shared" si="41"/>
        <v>49.451452656287465</v>
      </c>
      <c r="CW45" s="20">
        <f t="shared" si="13"/>
        <v>432.14242504303388</v>
      </c>
      <c r="CX45" s="59">
        <f t="shared" si="14"/>
        <v>725.47575837636714</v>
      </c>
      <c r="CY45" s="59">
        <f ca="1">AVERAGE(OFFSET($CX$3,0,0,'Données projet'!$E$13+1,1))-AVERAGE(OFFSET($H$3,0,0,'Données projet'!$E$13+1,1))</f>
        <v>326.31232746914907</v>
      </c>
      <c r="CZ45" s="59">
        <f t="shared" si="42"/>
        <v>330.17137761430297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3.6017253474539834</v>
      </c>
      <c r="DG45" s="21">
        <f>EXP(-LN(2)/25)*DG44+(1-EXP(-LN(2)/25))/(LN(2)/25)*Calculateur!DB45*Calculateur!DD45*VLOOKUP('Données projet'!$B$13,Paramètres!$A$1:$I$89,3,0)*0.475*44/12</f>
        <v>21.633328758888428</v>
      </c>
      <c r="DH45" s="21">
        <f>EXP(-LN(2)/2)*DH44+(1-EXP(-LN(2)/2))/(LN(2)/2)*DB45*DE45*VLOOKUP('Données projet'!$B$13,Paramètres!$A$1:$I$89,3,0)*0.475*44/12</f>
        <v>0.50815763078805065</v>
      </c>
      <c r="DI45" s="22">
        <f t="shared" si="15"/>
        <v>25.743211737130462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11</v>
      </c>
      <c r="DO45" s="12">
        <f>IF('Données projet'!$A$166&gt;35,DO44+DN45-DW44,IF(A45&lt;'Données projet'!$A$166,$DL$205^A45,IF(A45='Données projet'!$A$166,'Données projet'!$B$166,DO44+DN45-DW44)))</f>
        <v>235.00000000000017</v>
      </c>
      <c r="DP45" s="17">
        <f>DO45*VLOOKUP('Données projet'!$B$14,Paramètres!$A$1:$I$89,3,0)*VLOOKUP('Données projet'!$B$14,Paramètres!$A$1:$I$89,5,0)</f>
        <v>146.6400000000001</v>
      </c>
      <c r="DQ45" s="13">
        <f t="shared" si="43"/>
        <v>37.814009712703054</v>
      </c>
      <c r="DR45" s="20">
        <f t="shared" si="16"/>
        <v>321.25740024962471</v>
      </c>
      <c r="DS45" s="59">
        <f t="shared" si="17"/>
        <v>614.59073358295802</v>
      </c>
      <c r="DT45" s="59">
        <f ca="1">AVERAGE(OFFSET($DS$3,0,0,'Données projet'!$E$14+1,1))-AVERAGE(OFFSET($H$3,0,0,'Données projet'!$E$14+1,1))</f>
        <v>209.93608079129638</v>
      </c>
      <c r="DU45" s="59">
        <f t="shared" si="44"/>
        <v>240.15652428700969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5.4825417551096542</v>
      </c>
      <c r="EB45" s="21">
        <f>EXP(-LN(2)/25)*EB44+(1-EXP(-LN(2)/25))/(LN(2)/25)*Calculateur!DW45*Calculateur!DY45*VLOOKUP('Données projet'!$B$14,Paramètres!$A$1:$I$89,3,0)*0.475*44/12</f>
        <v>14.904465214196767</v>
      </c>
      <c r="EC45" s="21">
        <f>EXP(-LN(2)/2)*EC44+(1-EXP(-LN(2)/2))/(LN(2)/2)*DW45*DZ45*VLOOKUP('Données projet'!$B$14,Paramètres!$A$1:$I$89,3,0)*0.475*44/12</f>
        <v>0.3154814922455485</v>
      </c>
      <c r="ED45" s="22">
        <f t="shared" si="18"/>
        <v>20.702488461551969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12.8</v>
      </c>
      <c r="EJ45" s="12">
        <f>IF('Données projet'!$A$192&gt;35,EJ44+EI45-ER44,IF(A45&lt;'Données projet'!$A$192,$EG$205^A45,IF(A45='Données projet'!$A$192,'Données projet'!$B$192,EJ44+EI45-ER44)))</f>
        <v>240.59999999999991</v>
      </c>
      <c r="EK45" s="17">
        <f>EJ45*VLOOKUP('Données projet'!$B$15,Paramètres!$A$1:$I$89,3,0)*VLOOKUP('Données projet'!$B$15,Paramètres!$A$1:$I$89,5,0)</f>
        <v>143.87879999999996</v>
      </c>
      <c r="EL45" s="13">
        <f t="shared" si="45"/>
        <v>37.184165858158067</v>
      </c>
      <c r="EM45" s="20">
        <f t="shared" si="19"/>
        <v>315.35133220295853</v>
      </c>
      <c r="EN45" s="59">
        <f t="shared" si="20"/>
        <v>608.68466553629185</v>
      </c>
      <c r="EO45" s="59">
        <f ca="1">AVERAGE(OFFSET($EN$3,0,0,'Données projet'!$E$15+1,1))-AVERAGE(OFFSET($H$3,0,0,'Données projet'!$E$15+1,1))</f>
        <v>216.94426559495264</v>
      </c>
      <c r="EP45" s="59">
        <f t="shared" si="46"/>
        <v>225.33715877618704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9.2126344516570775</v>
      </c>
      <c r="EX45" s="21">
        <f>EXP(-LN(2)/2)*EX44+(1-EXP(-LN(2)/2))/(LN(2)/2)*ER45*EU45*VLOOKUP('Données projet'!$B$15,Paramètres!$A$1:$I$89,3,0)*0.475*44/12</f>
        <v>0.37077124802842143</v>
      </c>
      <c r="EY45" s="22">
        <f t="shared" si="21"/>
        <v>9.5834056996854997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9.8333333333333339</v>
      </c>
      <c r="FE45" s="12">
        <f>IF('Données projet'!$A$218&gt;35,FE44+FD45-FM44,IF(A45&lt;'Données projet'!$A$218,$FB$205^A45,IF(A45='Données projet'!$A$218,'Données projet'!$B$218,FE44+FD45-FM44)))</f>
        <v>253.66666666666671</v>
      </c>
      <c r="FF45" s="17">
        <f>FE45*VLOOKUP('Données projet'!$B$16,Paramètres!$A$1:$I$89,3,0)*VLOOKUP('Données projet'!$B$16,Paramètres!$A$1:$I$89,5,0)</f>
        <v>151.6926666666667</v>
      </c>
      <c r="FG45" s="13">
        <f t="shared" si="47"/>
        <v>38.96299861908853</v>
      </c>
      <c r="FH45" s="20">
        <f t="shared" si="22"/>
        <v>332.05861703935699</v>
      </c>
      <c r="FI45" s="59">
        <f t="shared" si="23"/>
        <v>625.3919503726903</v>
      </c>
      <c r="FJ45" s="59">
        <f ca="1">AVERAGE(OFFSET($FI$3,0,0,'Données projet'!$E$16+1,1))-AVERAGE(OFFSET($H$3,0,0,'Données projet'!$E$16+1,1))</f>
        <v>168.08890945052406</v>
      </c>
      <c r="FK45" s="59">
        <f t="shared" si="48"/>
        <v>182.52462557642343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4.8982351865564944</v>
      </c>
      <c r="FR45" s="21">
        <f>EXP(-LN(2)/25)*FR44+(1-EXP(-LN(2)/25))/(LN(2)/25)*Calculateur!FM45*Calculateur!FO45*VLOOKUP('Données projet'!$B$16,Paramètres!$A$1:$I$89,3,0)*0.475*44/12</f>
        <v>8.8409666589286218</v>
      </c>
      <c r="FS45" s="21">
        <f>EXP(-LN(2)/2)*FS44+(1-EXP(-LN(2)/2))/(LN(2)/2)*FM45*FP45*VLOOKUP('Données projet'!$B$16,Paramètres!$A$1:$I$89,3,0)*0.475*44/12</f>
        <v>8.5088943344908671E-2</v>
      </c>
      <c r="FT45" s="22">
        <f t="shared" si="24"/>
        <v>13.824290788830025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13.8</v>
      </c>
      <c r="FZ45" s="12">
        <f>IF('Données projet'!$A$244&gt;35,FZ44+FY45-GH44,IF(A45&lt;'Données projet'!$A$244,$FW$205^A45,IF(A45='Données projet'!$A$244,'Données projet'!$B$244,FZ44+FY45-GH44)))</f>
        <v>241.59999999999997</v>
      </c>
      <c r="GA45" s="17">
        <f>FZ45*VLOOKUP('Données projet'!$B$17,Paramètres!$A$1:$I$89,3,0)*VLOOKUP('Données projet'!$B$17,Paramètres!$A$1:$I$89,5,0)</f>
        <v>138.1952</v>
      </c>
      <c r="GB45" s="13">
        <f t="shared" si="49"/>
        <v>35.883239453452433</v>
      </c>
      <c r="GC45" s="20">
        <f t="shared" si="25"/>
        <v>303.18661538142965</v>
      </c>
      <c r="GD45" s="59">
        <f t="shared" si="26"/>
        <v>596.5199487147629</v>
      </c>
      <c r="GE45" s="59">
        <f ca="1">AVERAGE(OFFSET($GD$3,0,0,'Données projet'!$E$17+1,1))-AVERAGE(OFFSET($H$3,0,0,'Données projet'!$E$17+1,1))</f>
        <v>196.95560009657527</v>
      </c>
      <c r="GF45" s="59">
        <f t="shared" si="50"/>
        <v>168.90186968005662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0</v>
      </c>
      <c r="GM45" s="21">
        <f>EXP(-LN(2)/25)*GM44+(1-EXP(-LN(2)/25))/(LN(2)/25)*Calculateur!GH45*Calculateur!GJ45*VLOOKUP('Données projet'!$B$17,Paramètres!$A$1:$I$89,3,0)*0.475*44/12</f>
        <v>6.6183766984872809</v>
      </c>
      <c r="GN45" s="21">
        <f>EXP(-LN(2)/2)*GN44+(1-EXP(-LN(2)/2))/(LN(2)/2)*GH45*GK45*VLOOKUP('Données projet'!$B$17,Paramètres!$A$1:$I$89,3,0)*0.475*44/12</f>
        <v>0.20093091175351208</v>
      </c>
      <c r="GO45" s="21">
        <f t="shared" si="27"/>
        <v>6.8193076102407932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11.499999999999996</v>
      </c>
      <c r="N46" s="13">
        <f>IF('Données projet'!$A$36&gt;35,N45+M46-V45,IF(A46&lt;'Données projet'!$A$36,$K$205^A46,IF(A46='Données projet'!$A$36,'Données projet'!$B$36,N45+M46-V45)))</f>
        <v>242.6999999999999</v>
      </c>
      <c r="O46" s="13">
        <f>N46*VLOOKUP('Données projet'!$B$9,Paramètres!$A$1:$I$89,3,0)*VLOOKUP('Données projet'!$B$9,Paramètres!$A$1:$I$89,5,0)</f>
        <v>113.58359999999995</v>
      </c>
      <c r="P46" s="13">
        <f t="shared" si="33"/>
        <v>30.17372688298952</v>
      </c>
      <c r="Q46" s="20">
        <f t="shared" si="53"/>
        <v>250.37734432120666</v>
      </c>
      <c r="R46" s="59">
        <f t="shared" si="0"/>
        <v>543.71067765453995</v>
      </c>
      <c r="S46" s="59">
        <f ca="1">AVERAGE(OFFSET($R$3,0,0,'Données projet'!$E$9+1,1))-AVERAGE(OFFSET($H$3,0,0,'Données projet'!$E$9+1,1))</f>
        <v>215.23235148064941</v>
      </c>
      <c r="T46" s="59">
        <f t="shared" si="34"/>
        <v>184.07239726900434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2.4230838273992368</v>
      </c>
      <c r="AA46" s="21">
        <f>EXP(-LN(2)/25)*AA45+(1-EXP(-LN(2)/25))/(LN(2)/25)*Calculateur!V46*Calculateur!X46*VLOOKUP('Données projet'!$B$9,Paramètres!$A$1:$I$89,3,0)*0.475*44/12</f>
        <v>5.4781795769867161</v>
      </c>
      <c r="AB46" s="21">
        <f>EXP(-LN(2)/2)*AB45+(1-EXP(-LN(2)/2))/(LN(2)/2)*V46*Y46*VLOOKUP('Données projet'!$B$9,Paramètres!$A$1:$I$89,3,0)*0.475*44/12</f>
        <v>0.10863122911000277</v>
      </c>
      <c r="AC46" s="22">
        <f t="shared" si="3"/>
        <v>8.0098946334959553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7.7</v>
      </c>
      <c r="AI46" s="13">
        <f>IF('Données projet'!$A$62&gt;35,AI45+AH46-AQ45,IF(A46&lt;'Données projet'!$A$62,$AF$205^A46,IF(A46='Données projet'!$A$62,'Données projet'!$B$62,AI45+AH46-AQ45)))</f>
        <v>187.09999999999982</v>
      </c>
      <c r="AJ46" s="13">
        <f>AI46*VLOOKUP('Données projet'!$B$10,Paramètres!$A$1:$I$89,3,0)*VLOOKUP('Données projet'!$B$10,Paramètres!$A$1:$I$89,5,0)</f>
        <v>137.18171999999987</v>
      </c>
      <c r="AK46" s="13">
        <f t="shared" si="35"/>
        <v>35.650614977233133</v>
      </c>
      <c r="AL46" s="20">
        <f t="shared" si="4"/>
        <v>301.01631675201418</v>
      </c>
      <c r="AM46" s="59">
        <f t="shared" si="5"/>
        <v>594.34965008534755</v>
      </c>
      <c r="AN46" s="59">
        <f ca="1">AVERAGE(OFFSET($AM$3,0,0,'Données projet'!$E$10+1,1))-AVERAGE(OFFSET($H$3,0,0,'Données projet'!$E$10+1,1))</f>
        <v>178.12968684094687</v>
      </c>
      <c r="AO46" s="59">
        <f t="shared" si="36"/>
        <v>219.36004077210373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5.3617123651915604</v>
      </c>
      <c r="AW46" s="21">
        <f>EXP(-LN(2)/2)*AW45+(1-EXP(-LN(2)/2))/(LN(2)/2)*AQ46*AT46*VLOOKUP('Données projet'!$B$10,Paramètres!$A$1:$I$89,3,0)*0.475*44/12</f>
        <v>0.10957409100830509</v>
      </c>
      <c r="AX46" s="21">
        <f t="shared" si="6"/>
        <v>5.4712864561998655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5.2</v>
      </c>
      <c r="BD46" s="12">
        <f>IF('Données projet'!$A$88&gt;35,BD45+BC46-BL45,IF(A46&lt;'Données projet'!$A$88,$BA$205^A46,IF(A46='Données projet'!$A$88,'Données projet'!$B$88,BD45+BC46-BL45)))</f>
        <v>117.6</v>
      </c>
      <c r="BE46" s="13">
        <f>BD46*VLOOKUP('Données projet'!$B$11,Paramètres!$A$1:$I$89,3,0)*VLOOKUP('Données projet'!$B$11,Paramètres!$A$1:$I$89,5,0)</f>
        <v>102.73536000000001</v>
      </c>
      <c r="BF46" s="13">
        <f t="shared" si="37"/>
        <v>27.612632326357044</v>
      </c>
      <c r="BG46" s="20">
        <f t="shared" si="7"/>
        <v>227.0227533017385</v>
      </c>
      <c r="BH46" s="59">
        <f t="shared" si="8"/>
        <v>520.35608663507185</v>
      </c>
      <c r="BI46" s="59">
        <f ca="1">AVERAGE(OFFSET($BH$3,0,0,'Données projet'!$E$11+1,1))-AVERAGE(OFFSET($H$3,0,0,'Données projet'!$E$11+1,1))</f>
        <v>114.02623091248347</v>
      </c>
      <c r="BJ46" s="59">
        <f t="shared" si="38"/>
        <v>185.51554083721635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1.5087417489147252</v>
      </c>
      <c r="BQ46" s="21">
        <f>EXP(-LN(2)/25)*BQ45+(1-EXP(-LN(2)/25))/(LN(2)/25)*Calculateur!BL46*Calculateur!BN46*VLOOKUP('Données projet'!$B$11,Paramètres!$A$1:$I$89,3,0)*0.475*44/12</f>
        <v>7.8497083801329604</v>
      </c>
      <c r="BR46" s="21">
        <f>EXP(-LN(2)/2)*BR45+(1-EXP(-LN(2)/2))/(LN(2)/2)*BL46*BO46*VLOOKUP('Données projet'!$B$11,Paramètres!$A$1:$I$89,3,0)*0.475*44/12</f>
        <v>0.19488827879920176</v>
      </c>
      <c r="BS46" s="22">
        <f t="shared" si="9"/>
        <v>9.553338407846887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8.3000000000000007</v>
      </c>
      <c r="BY46" s="12">
        <f>IF('Données projet'!$A$114&gt;35,BY45+BX46-CG45,IF(A46&lt;'Données projet'!$A$114,$BV$205^A46,IF(A46='Données projet'!$A$114,'Données projet'!$B$114,BY45+BX46-CG45)))</f>
        <v>140.89999999999998</v>
      </c>
      <c r="BZ46" s="13">
        <f>BY46*VLOOKUP('Données projet'!$B$12,Paramètres!$A$1:$I$89,3,0)*VLOOKUP('Données projet'!$B$12,Paramètres!$A$1:$I$89,5,0)</f>
        <v>127.48631999999998</v>
      </c>
      <c r="CA46" s="13">
        <f t="shared" si="39"/>
        <v>33.414863287066048</v>
      </c>
      <c r="CB46" s="20">
        <f t="shared" si="10"/>
        <v>280.23622755830667</v>
      </c>
      <c r="CC46" s="59">
        <f t="shared" si="11"/>
        <v>573.56956089163998</v>
      </c>
      <c r="CD46" s="59">
        <f ca="1">AVERAGE(OFFSET($CC$3,0,0,'Données projet'!$E$12+1,1))-AVERAGE(OFFSET($H$3,0,0,'Données projet'!$E$12+1,1))</f>
        <v>237.22177246688199</v>
      </c>
      <c r="CE46" s="59">
        <f t="shared" si="40"/>
        <v>149.27472147904302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2.1659937970781269</v>
      </c>
      <c r="CM46" s="21">
        <f>EXP(-LN(2)/2)*CM45+(1-EXP(-LN(2)/2))/(LN(2)/2)*CG46*CJ46*VLOOKUP('Données projet'!$B$12,Paramètres!$A$1:$I$89,3,0)*0.475*44/12</f>
        <v>6.8383278734199207E-2</v>
      </c>
      <c r="CN46" s="22">
        <f t="shared" si="12"/>
        <v>2.234377075812326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19.2</v>
      </c>
      <c r="CT46" s="12">
        <f>IF('Données projet'!$A$140&gt;35,CT45+CS46-DB45,IF(A46&lt;'Données projet'!$A$140,$CQ$205^A46,IF(A46='Données projet'!$A$140,'Données projet'!$B$140,CT45+CS46-DB45)))</f>
        <v>374.59999999999985</v>
      </c>
      <c r="CU46" s="17">
        <f>CT46*VLOOKUP('Données projet'!$B$13,Paramètres!$A$1:$I$89,3,0)*VLOOKUP('Données projet'!$B$13,Paramètres!$A$1:$I$89,5,0)</f>
        <v>209.40139999999994</v>
      </c>
      <c r="CV46" s="13">
        <f t="shared" si="41"/>
        <v>51.804754813749405</v>
      </c>
      <c r="CW46" s="20">
        <f t="shared" si="13"/>
        <v>454.93405296728002</v>
      </c>
      <c r="CX46" s="59">
        <f t="shared" si="14"/>
        <v>748.26738630061334</v>
      </c>
      <c r="CY46" s="59">
        <f ca="1">AVERAGE(OFFSET($CX$3,0,0,'Données projet'!$E$13+1,1))-AVERAGE(OFFSET($H$3,0,0,'Données projet'!$E$13+1,1))</f>
        <v>326.31232746914907</v>
      </c>
      <c r="CZ46" s="59">
        <f t="shared" si="42"/>
        <v>330.17137761430297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3.5310977102259531</v>
      </c>
      <c r="DG46" s="21">
        <f>EXP(-LN(2)/25)*DG45+(1-EXP(-LN(2)/25))/(LN(2)/25)*Calculateur!DB46*Calculateur!DD46*VLOOKUP('Données projet'!$B$13,Paramètres!$A$1:$I$89,3,0)*0.475*44/12</f>
        <v>21.041764246329308</v>
      </c>
      <c r="DH46" s="21">
        <f>EXP(-LN(2)/2)*DH45+(1-EXP(-LN(2)/2))/(LN(2)/2)*DB46*DE46*VLOOKUP('Données projet'!$B$13,Paramètres!$A$1:$I$89,3,0)*0.475*44/12</f>
        <v>0.35932170664192054</v>
      </c>
      <c r="DI46" s="22">
        <f t="shared" si="15"/>
        <v>24.932183663197183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11</v>
      </c>
      <c r="DO46" s="12">
        <f>IF('Données projet'!$A$166&gt;35,DO45+DN46-DW45,IF(A46&lt;'Données projet'!$A$166,$DL$205^A46,IF(A46='Données projet'!$A$166,'Données projet'!$B$166,DO45+DN46-DW45)))</f>
        <v>246.00000000000017</v>
      </c>
      <c r="DP46" s="17">
        <f>DO46*VLOOKUP('Données projet'!$B$14,Paramètres!$A$1:$I$89,3,0)*VLOOKUP('Données projet'!$B$14,Paramètres!$A$1:$I$89,5,0)</f>
        <v>153.5040000000001</v>
      </c>
      <c r="DQ46" s="13">
        <f t="shared" si="43"/>
        <v>39.373808884365637</v>
      </c>
      <c r="DR46" s="20">
        <f t="shared" si="16"/>
        <v>335.92885047360363</v>
      </c>
      <c r="DS46" s="59">
        <f t="shared" si="17"/>
        <v>629.26218380693695</v>
      </c>
      <c r="DT46" s="59">
        <f ca="1">AVERAGE(OFFSET($DS$3,0,0,'Données projet'!$E$14+1,1))-AVERAGE(OFFSET($H$3,0,0,'Données projet'!$E$14+1,1))</f>
        <v>209.93608079129638</v>
      </c>
      <c r="DU46" s="59">
        <f t="shared" si="44"/>
        <v>240.15652428700969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5.3750324553122297</v>
      </c>
      <c r="EB46" s="21">
        <f>EXP(-LN(2)/25)*EB45+(1-EXP(-LN(2)/25))/(LN(2)/25)*Calculateur!DW46*Calculateur!DY46*VLOOKUP('Données projet'!$B$14,Paramètres!$A$1:$I$89,3,0)*0.475*44/12</f>
        <v>14.496901829122795</v>
      </c>
      <c r="EC46" s="21">
        <f>EXP(-LN(2)/2)*EC45+(1-EXP(-LN(2)/2))/(LN(2)/2)*DW46*DZ46*VLOOKUP('Données projet'!$B$14,Paramètres!$A$1:$I$89,3,0)*0.475*44/12</f>
        <v>0.22307910250567856</v>
      </c>
      <c r="ED46" s="22">
        <f t="shared" si="18"/>
        <v>20.095013386940703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12.8</v>
      </c>
      <c r="EJ46" s="12">
        <f>IF('Données projet'!$A$192&gt;35,EJ45+EI46-ER45,IF(A46&lt;'Données projet'!$A$192,$EG$205^A46,IF(A46='Données projet'!$A$192,'Données projet'!$B$192,EJ45+EI46-ER45)))</f>
        <v>253.39999999999992</v>
      </c>
      <c r="EK46" s="17">
        <f>EJ46*VLOOKUP('Données projet'!$B$15,Paramètres!$A$1:$I$89,3,0)*VLOOKUP('Données projet'!$B$15,Paramètres!$A$1:$I$89,5,0)</f>
        <v>151.53319999999997</v>
      </c>
      <c r="EL46" s="13">
        <f t="shared" si="45"/>
        <v>38.926804334954284</v>
      </c>
      <c r="EM46" s="20">
        <f t="shared" si="19"/>
        <v>331.71784088337864</v>
      </c>
      <c r="EN46" s="59">
        <f t="shared" si="20"/>
        <v>625.05117421671196</v>
      </c>
      <c r="EO46" s="59">
        <f ca="1">AVERAGE(OFFSET($EN$3,0,0,'Données projet'!$E$15+1,1))-AVERAGE(OFFSET($H$3,0,0,'Données projet'!$E$15+1,1))</f>
        <v>216.94426559495264</v>
      </c>
      <c r="EP46" s="59">
        <f t="shared" si="46"/>
        <v>225.33715877618704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8.9607144781051247</v>
      </c>
      <c r="EX46" s="21">
        <f>EXP(-LN(2)/2)*EX45+(1-EXP(-LN(2)/2))/(LN(2)/2)*ER46*EU46*VLOOKUP('Données projet'!$B$15,Paramètres!$A$1:$I$89,3,0)*0.475*44/12</f>
        <v>0.26217486374989613</v>
      </c>
      <c r="EY46" s="22">
        <f t="shared" si="21"/>
        <v>9.2228893418550211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9.8333333333333339</v>
      </c>
      <c r="FE46" s="12">
        <f>IF('Données projet'!$A$218&gt;35,FE45+FD46-FM45,IF(A46&lt;'Données projet'!$A$218,$FB$205^A46,IF(A46='Données projet'!$A$218,'Données projet'!$B$218,FE45+FD46-FM45)))</f>
        <v>263.50000000000006</v>
      </c>
      <c r="FF46" s="17">
        <f>FE46*VLOOKUP('Données projet'!$B$16,Paramètres!$A$1:$I$89,3,0)*VLOOKUP('Données projet'!$B$16,Paramètres!$A$1:$I$89,5,0)</f>
        <v>157.57300000000006</v>
      </c>
      <c r="FG46" s="13">
        <f t="shared" si="47"/>
        <v>40.294612761030372</v>
      </c>
      <c r="FH46" s="20">
        <f t="shared" si="22"/>
        <v>344.61942555879472</v>
      </c>
      <c r="FI46" s="59">
        <f t="shared" si="23"/>
        <v>637.95275889212803</v>
      </c>
      <c r="FJ46" s="59">
        <f ca="1">AVERAGE(OFFSET($FI$3,0,0,'Données projet'!$E$16+1,1))-AVERAGE(OFFSET($H$3,0,0,'Données projet'!$E$16+1,1))</f>
        <v>168.08890945052406</v>
      </c>
      <c r="FK46" s="59">
        <f t="shared" si="48"/>
        <v>182.52462557642343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4.8021837821765816</v>
      </c>
      <c r="FR46" s="21">
        <f>EXP(-LN(2)/25)*FR45+(1-EXP(-LN(2)/25))/(LN(2)/25)*Calculateur!FM46*Calculateur!FO46*VLOOKUP('Données projet'!$B$16,Paramètres!$A$1:$I$89,3,0)*0.475*44/12</f>
        <v>8.5992099607139885</v>
      </c>
      <c r="FS46" s="21">
        <f>EXP(-LN(2)/2)*FS45+(1-EXP(-LN(2)/2))/(LN(2)/2)*FM46*FP46*VLOOKUP('Données projet'!$B$16,Paramètres!$A$1:$I$89,3,0)*0.475*44/12</f>
        <v>6.0166968843182879E-2</v>
      </c>
      <c r="FT46" s="22">
        <f t="shared" si="24"/>
        <v>13.461560711733751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13.8</v>
      </c>
      <c r="FZ46" s="12">
        <f>IF('Données projet'!$A$244&gt;35,FZ45+FY46-GH45,IF(A46&lt;'Données projet'!$A$244,$FW$205^A46,IF(A46='Données projet'!$A$244,'Données projet'!$B$244,FZ45+FY46-GH45)))</f>
        <v>255.39999999999998</v>
      </c>
      <c r="GA46" s="17">
        <f>FZ46*VLOOKUP('Données projet'!$B$17,Paramètres!$A$1:$I$89,3,0)*VLOOKUP('Données projet'!$B$17,Paramètres!$A$1:$I$89,5,0)</f>
        <v>146.08879999999999</v>
      </c>
      <c r="GB46" s="13">
        <f t="shared" si="49"/>
        <v>37.688389267810216</v>
      </c>
      <c r="GC46" s="20">
        <f t="shared" si="25"/>
        <v>320.07860464143613</v>
      </c>
      <c r="GD46" s="59">
        <f t="shared" si="26"/>
        <v>613.41193797476944</v>
      </c>
      <c r="GE46" s="59">
        <f ca="1">AVERAGE(OFFSET($GD$3,0,0,'Données projet'!$E$17+1,1))-AVERAGE(OFFSET($H$3,0,0,'Données projet'!$E$17+1,1))</f>
        <v>196.95560009657527</v>
      </c>
      <c r="GF46" s="59">
        <f t="shared" si="50"/>
        <v>168.90186968005662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0</v>
      </c>
      <c r="GM46" s="21">
        <f>EXP(-LN(2)/25)*GM45+(1-EXP(-LN(2)/25))/(LN(2)/25)*Calculateur!GH46*Calculateur!GJ46*VLOOKUP('Données projet'!$B$17,Paramètres!$A$1:$I$89,3,0)*0.475*44/12</f>
        <v>6.4373968396218419</v>
      </c>
      <c r="GN46" s="21">
        <f>EXP(-LN(2)/2)*GN45+(1-EXP(-LN(2)/2))/(LN(2)/2)*GH46*GK46*VLOOKUP('Données projet'!$B$17,Paramètres!$A$1:$I$89,3,0)*0.475*44/12</f>
        <v>0.14207961025090415</v>
      </c>
      <c r="GO46" s="21">
        <f t="shared" si="27"/>
        <v>6.5794764498727458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11.499999999999996</v>
      </c>
      <c r="N47" s="13">
        <f>IF('Données projet'!$A$36&gt;35,N46+M47-V46,IF(A47&lt;'Données projet'!$A$36,$K$205^A47,IF(A47='Données projet'!$A$36,'Données projet'!$B$36,N46+M47-V46)))</f>
        <v>254.1999999999999</v>
      </c>
      <c r="O47" s="13">
        <f>N47*VLOOKUP('Données projet'!$B$9,Paramètres!$A$1:$I$89,3,0)*VLOOKUP('Données projet'!$B$9,Paramètres!$A$1:$I$89,5,0)</f>
        <v>118.96559999999995</v>
      </c>
      <c r="P47" s="13">
        <f t="shared" si="33"/>
        <v>31.433621056182272</v>
      </c>
      <c r="Q47" s="20">
        <f t="shared" si="53"/>
        <v>261.945310006184</v>
      </c>
      <c r="R47" s="59">
        <f t="shared" si="0"/>
        <v>555.27864333951732</v>
      </c>
      <c r="S47" s="59">
        <f ca="1">AVERAGE(OFFSET($R$3,0,0,'Données projet'!$E$9+1,1))-AVERAGE(OFFSET($H$3,0,0,'Données projet'!$E$9+1,1))</f>
        <v>215.23235148064941</v>
      </c>
      <c r="T47" s="59">
        <f t="shared" si="34"/>
        <v>184.07239726900434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2.3755686314791387</v>
      </c>
      <c r="AA47" s="21">
        <f>EXP(-LN(2)/25)*AA46+(1-EXP(-LN(2)/25))/(LN(2)/25)*Calculateur!V47*Calculateur!X47*VLOOKUP('Données projet'!$B$9,Paramètres!$A$1:$I$89,3,0)*0.475*44/12</f>
        <v>5.3283784683690714</v>
      </c>
      <c r="AB47" s="21">
        <f>EXP(-LN(2)/2)*AB46+(1-EXP(-LN(2)/2))/(LN(2)/2)*V47*Y47*VLOOKUP('Données projet'!$B$9,Paramètres!$A$1:$I$89,3,0)*0.475*44/12</f>
        <v>7.6813878752312437E-2</v>
      </c>
      <c r="AC47" s="22">
        <f t="shared" si="3"/>
        <v>7.7807609786005223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7.7</v>
      </c>
      <c r="AI47" s="13">
        <f>IF('Données projet'!$A$62&gt;35,AI46+AH47-AQ46,IF(A47&lt;'Données projet'!$A$62,$AF$205^A47,IF(A47='Données projet'!$A$62,'Données projet'!$B$62,AI46+AH47-AQ46)))</f>
        <v>194.79999999999981</v>
      </c>
      <c r="AJ47" s="13">
        <f>AI47*VLOOKUP('Données projet'!$B$10,Paramètres!$A$1:$I$89,3,0)*VLOOKUP('Données projet'!$B$10,Paramètres!$A$1:$I$89,5,0)</f>
        <v>142.82735999999986</v>
      </c>
      <c r="AK47" s="13">
        <f t="shared" si="35"/>
        <v>36.943958329340774</v>
      </c>
      <c r="AL47" s="20">
        <f t="shared" si="4"/>
        <v>313.10171275693489</v>
      </c>
      <c r="AM47" s="59">
        <f t="shared" si="5"/>
        <v>606.4350460902682</v>
      </c>
      <c r="AN47" s="59">
        <f ca="1">AVERAGE(OFFSET($AM$3,0,0,'Données projet'!$E$10+1,1))-AVERAGE(OFFSET($H$3,0,0,'Données projet'!$E$10+1,1))</f>
        <v>178.12968684094687</v>
      </c>
      <c r="AO47" s="59">
        <f t="shared" si="36"/>
        <v>219.36004077210373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5.215096058605198</v>
      </c>
      <c r="AW47" s="21">
        <f>EXP(-LN(2)/2)*AW46+(1-EXP(-LN(2)/2))/(LN(2)/2)*AQ47*AT47*VLOOKUP('Données projet'!$B$10,Paramètres!$A$1:$I$89,3,0)*0.475*44/12</f>
        <v>7.7480582794324432E-2</v>
      </c>
      <c r="AX47" s="21">
        <f t="shared" si="6"/>
        <v>5.2925766413995223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5.2</v>
      </c>
      <c r="BD47" s="12">
        <f>IF('Données projet'!$A$88&gt;35,BD46+BC47-BL46,IF(A47&lt;'Données projet'!$A$88,$BA$205^A47,IF(A47='Données projet'!$A$88,'Données projet'!$B$88,BD46+BC47-BL46)))</f>
        <v>122.8</v>
      </c>
      <c r="BE47" s="13">
        <f>BD47*VLOOKUP('Données projet'!$B$11,Paramètres!$A$1:$I$89,3,0)*VLOOKUP('Données projet'!$B$11,Paramètres!$A$1:$I$89,5,0)</f>
        <v>107.27808</v>
      </c>
      <c r="BF47" s="13">
        <f t="shared" si="37"/>
        <v>28.688746800886673</v>
      </c>
      <c r="BG47" s="20">
        <f t="shared" si="7"/>
        <v>236.80889001154426</v>
      </c>
      <c r="BH47" s="59">
        <f t="shared" si="8"/>
        <v>530.14222334487761</v>
      </c>
      <c r="BI47" s="59">
        <f ca="1">AVERAGE(OFFSET($BH$3,0,0,'Données projet'!$E$11+1,1))-AVERAGE(OFFSET($H$3,0,0,'Données projet'!$E$11+1,1))</f>
        <v>114.02623091248347</v>
      </c>
      <c r="BJ47" s="59">
        <f t="shared" si="38"/>
        <v>185.51554083721635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1.479156243460108</v>
      </c>
      <c r="BQ47" s="21">
        <f>EXP(-LN(2)/25)*BQ46+(1-EXP(-LN(2)/25))/(LN(2)/25)*Calculateur!BL47*Calculateur!BN47*VLOOKUP('Données projet'!$B$11,Paramètres!$A$1:$I$89,3,0)*0.475*44/12</f>
        <v>7.6350576916800019</v>
      </c>
      <c r="BR47" s="21">
        <f>EXP(-LN(2)/2)*BR46+(1-EXP(-LN(2)/2))/(LN(2)/2)*BL47*BO47*VLOOKUP('Données projet'!$B$11,Paramètres!$A$1:$I$89,3,0)*0.475*44/12</f>
        <v>0.13780682351269002</v>
      </c>
      <c r="BS47" s="22">
        <f t="shared" si="9"/>
        <v>9.2520207586528009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8.3000000000000007</v>
      </c>
      <c r="BY47" s="12">
        <f>IF('Données projet'!$A$114&gt;35,BY46+BX47-CG46,IF(A47&lt;'Données projet'!$A$114,$BV$205^A47,IF(A47='Données projet'!$A$114,'Données projet'!$B$114,BY46+BX47-CG46)))</f>
        <v>149.19999999999999</v>
      </c>
      <c r="BZ47" s="13">
        <f>BY47*VLOOKUP('Données projet'!$B$12,Paramètres!$A$1:$I$89,3,0)*VLOOKUP('Données projet'!$B$12,Paramètres!$A$1:$I$89,5,0)</f>
        <v>134.99615999999997</v>
      </c>
      <c r="CA47" s="13">
        <f t="shared" si="39"/>
        <v>35.148279172043118</v>
      </c>
      <c r="CB47" s="20">
        <f t="shared" si="10"/>
        <v>296.33489822464168</v>
      </c>
      <c r="CC47" s="59">
        <f t="shared" si="11"/>
        <v>589.66823155797499</v>
      </c>
      <c r="CD47" s="59">
        <f ca="1">AVERAGE(OFFSET($CC$3,0,0,'Données projet'!$E$12+1,1))-AVERAGE(OFFSET($H$3,0,0,'Données projet'!$E$12+1,1))</f>
        <v>237.22177246688199</v>
      </c>
      <c r="CE47" s="59">
        <f t="shared" si="40"/>
        <v>149.27472147904302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2.106764582792362</v>
      </c>
      <c r="CM47" s="21">
        <f>EXP(-LN(2)/2)*CM46+(1-EXP(-LN(2)/2))/(LN(2)/2)*CG47*CJ47*VLOOKUP('Données projet'!$B$12,Paramètres!$A$1:$I$89,3,0)*0.475*44/12</f>
        <v>4.8354280112722088E-2</v>
      </c>
      <c r="CN47" s="22">
        <f t="shared" si="12"/>
        <v>2.1551188629050841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19.2</v>
      </c>
      <c r="CT47" s="12">
        <f>IF('Données projet'!$A$140&gt;35,CT46+CS47-DB46,IF(A47&lt;'Données projet'!$A$140,$CQ$205^A47,IF(A47='Données projet'!$A$140,'Données projet'!$B$140,CT46+CS47-DB46)))</f>
        <v>393.79999999999984</v>
      </c>
      <c r="CU47" s="17">
        <f>CT47*VLOOKUP('Données projet'!$B$13,Paramètres!$A$1:$I$89,3,0)*VLOOKUP('Données projet'!$B$13,Paramètres!$A$1:$I$89,5,0)</f>
        <v>220.13419999999991</v>
      </c>
      <c r="CV47" s="13">
        <f t="shared" si="41"/>
        <v>54.144052392262886</v>
      </c>
      <c r="CW47" s="20">
        <f t="shared" si="13"/>
        <v>477.701289583191</v>
      </c>
      <c r="CX47" s="59">
        <f t="shared" si="14"/>
        <v>771.03462291652431</v>
      </c>
      <c r="CY47" s="59">
        <f ca="1">AVERAGE(OFFSET($CX$3,0,0,'Données projet'!$E$13+1,1))-AVERAGE(OFFSET($H$3,0,0,'Données projet'!$E$13+1,1))</f>
        <v>326.31232746914907</v>
      </c>
      <c r="CZ47" s="59">
        <f t="shared" si="42"/>
        <v>330.17137761430297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3.4618550378853596</v>
      </c>
      <c r="DG47" s="21">
        <f>EXP(-LN(2)/25)*DG46+(1-EXP(-LN(2)/25))/(LN(2)/25)*Calculateur!DB47*Calculateur!DD47*VLOOKUP('Données projet'!$B$13,Paramètres!$A$1:$I$89,3,0)*0.475*44/12</f>
        <v>20.466376096475141</v>
      </c>
      <c r="DH47" s="21">
        <f>EXP(-LN(2)/2)*DH46+(1-EXP(-LN(2)/2))/(LN(2)/2)*DB47*DE47*VLOOKUP('Données projet'!$B$13,Paramètres!$A$1:$I$89,3,0)*0.475*44/12</f>
        <v>0.25407881539402533</v>
      </c>
      <c r="DI47" s="22">
        <f t="shared" si="15"/>
        <v>24.182309949754526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11</v>
      </c>
      <c r="DO47" s="12">
        <f>IF('Données projet'!$A$166&gt;35,DO46+DN47-DW46,IF(A47&lt;'Données projet'!$A$166,$DL$205^A47,IF(A47='Données projet'!$A$166,'Données projet'!$B$166,DO46+DN47-DW46)))</f>
        <v>257.00000000000017</v>
      </c>
      <c r="DP47" s="17">
        <f>DO47*VLOOKUP('Données projet'!$B$14,Paramètres!$A$1:$I$89,3,0)*VLOOKUP('Données projet'!$B$14,Paramètres!$A$1:$I$89,5,0)</f>
        <v>160.36800000000011</v>
      </c>
      <c r="DQ47" s="13">
        <f t="shared" si="43"/>
        <v>40.925507732566111</v>
      </c>
      <c r="DR47" s="20">
        <f t="shared" si="16"/>
        <v>350.58619263421946</v>
      </c>
      <c r="DS47" s="59">
        <f t="shared" si="17"/>
        <v>643.91952596755277</v>
      </c>
      <c r="DT47" s="59">
        <f ca="1">AVERAGE(OFFSET($DS$3,0,0,'Données projet'!$E$14+1,1))-AVERAGE(OFFSET($H$3,0,0,'Données projet'!$E$14+1,1))</f>
        <v>209.93608079129638</v>
      </c>
      <c r="DU47" s="59">
        <f t="shared" si="44"/>
        <v>240.15652428700969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5.2696313473096348</v>
      </c>
      <c r="EB47" s="21">
        <f>EXP(-LN(2)/25)*EB46+(1-EXP(-LN(2)/25))/(LN(2)/25)*Calculateur!DW47*Calculateur!DY47*VLOOKUP('Données projet'!$B$14,Paramètres!$A$1:$I$89,3,0)*0.475*44/12</f>
        <v>14.100483286246497</v>
      </c>
      <c r="EC47" s="21">
        <f>EXP(-LN(2)/2)*EC46+(1-EXP(-LN(2)/2))/(LN(2)/2)*DW47*DZ47*VLOOKUP('Données projet'!$B$14,Paramètres!$A$1:$I$89,3,0)*0.475*44/12</f>
        <v>0.15774074612277425</v>
      </c>
      <c r="ED47" s="22">
        <f t="shared" si="18"/>
        <v>19.527855379678904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12.8</v>
      </c>
      <c r="EJ47" s="12">
        <f>IF('Données projet'!$A$192&gt;35,EJ46+EI47-ER46,IF(A47&lt;'Données projet'!$A$192,$EG$205^A47,IF(A47='Données projet'!$A$192,'Données projet'!$B$192,EJ46+EI47-ER46)))</f>
        <v>266.19999999999993</v>
      </c>
      <c r="EK47" s="17">
        <f>EJ47*VLOOKUP('Données projet'!$B$15,Paramètres!$A$1:$I$89,3,0)*VLOOKUP('Données projet'!$B$15,Paramètres!$A$1:$I$89,5,0)</f>
        <v>159.18759999999997</v>
      </c>
      <c r="EL47" s="13">
        <f t="shared" si="45"/>
        <v>40.659222067351315</v>
      </c>
      <c r="EM47" s="20">
        <f t="shared" si="19"/>
        <v>348.06654843397018</v>
      </c>
      <c r="EN47" s="59">
        <f t="shared" si="20"/>
        <v>641.39988176730344</v>
      </c>
      <c r="EO47" s="59">
        <f ca="1">AVERAGE(OFFSET($EN$3,0,0,'Données projet'!$E$15+1,1))-AVERAGE(OFFSET($H$3,0,0,'Données projet'!$E$15+1,1))</f>
        <v>216.94426559495264</v>
      </c>
      <c r="EP47" s="59">
        <f t="shared" si="46"/>
        <v>225.33715877618704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8.7156832694778448</v>
      </c>
      <c r="EX47" s="21">
        <f>EXP(-LN(2)/2)*EX46+(1-EXP(-LN(2)/2))/(LN(2)/2)*ER47*EU47*VLOOKUP('Données projet'!$B$15,Paramètres!$A$1:$I$89,3,0)*0.475*44/12</f>
        <v>0.18538562401421071</v>
      </c>
      <c r="EY47" s="22">
        <f t="shared" si="21"/>
        <v>8.9010688934920559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9.8333333333333339</v>
      </c>
      <c r="FE47" s="12">
        <f>IF('Données projet'!$A$218&gt;35,FE46+FD47-FM46,IF(A47&lt;'Données projet'!$A$218,$FB$205^A47,IF(A47='Données projet'!$A$218,'Données projet'!$B$218,FE46+FD47-FM46)))</f>
        <v>273.33333333333337</v>
      </c>
      <c r="FF47" s="17">
        <f>FE47*VLOOKUP('Données projet'!$B$16,Paramètres!$A$1:$I$89,3,0)*VLOOKUP('Données projet'!$B$16,Paramètres!$A$1:$I$89,5,0)</f>
        <v>163.45333333333338</v>
      </c>
      <c r="FG47" s="13">
        <f t="shared" si="47"/>
        <v>41.620453722976563</v>
      </c>
      <c r="FH47" s="20">
        <f t="shared" si="22"/>
        <v>357.17017912307307</v>
      </c>
      <c r="FI47" s="59">
        <f t="shared" si="23"/>
        <v>650.50351245640638</v>
      </c>
      <c r="FJ47" s="59">
        <f ca="1">AVERAGE(OFFSET($FI$3,0,0,'Données projet'!$E$16+1,1))-AVERAGE(OFFSET($H$3,0,0,'Données projet'!$E$16+1,1))</f>
        <v>168.08890945052406</v>
      </c>
      <c r="FK47" s="59">
        <f t="shared" si="48"/>
        <v>182.52462557642343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4.708015887250987</v>
      </c>
      <c r="FR47" s="21">
        <f>EXP(-LN(2)/25)*FR46+(1-EXP(-LN(2)/25))/(LN(2)/25)*Calculateur!FM47*Calculateur!FO47*VLOOKUP('Données projet'!$B$16,Paramètres!$A$1:$I$89,3,0)*0.475*44/12</f>
        <v>8.3640641121254671</v>
      </c>
      <c r="FS47" s="21">
        <f>EXP(-LN(2)/2)*FS46+(1-EXP(-LN(2)/2))/(LN(2)/2)*FM47*FP47*VLOOKUP('Données projet'!$B$16,Paramètres!$A$1:$I$89,3,0)*0.475*44/12</f>
        <v>4.2544471672454343E-2</v>
      </c>
      <c r="FT47" s="22">
        <f t="shared" si="24"/>
        <v>13.114624471048909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13.8</v>
      </c>
      <c r="FZ47" s="12">
        <f>IF('Données projet'!$A$244&gt;35,FZ46+FY47-GH46,IF(A47&lt;'Données projet'!$A$244,$FW$205^A47,IF(A47='Données projet'!$A$244,'Données projet'!$B$244,FZ46+FY47-GH46)))</f>
        <v>269.2</v>
      </c>
      <c r="GA47" s="17">
        <f>FZ47*VLOOKUP('Données projet'!$B$17,Paramètres!$A$1:$I$89,3,0)*VLOOKUP('Données projet'!$B$17,Paramètres!$A$1:$I$89,5,0)</f>
        <v>153.98239999999998</v>
      </c>
      <c r="GB47" s="13">
        <f t="shared" si="49"/>
        <v>39.482215533662355</v>
      </c>
      <c r="GC47" s="20">
        <f t="shared" si="25"/>
        <v>336.95087205446191</v>
      </c>
      <c r="GD47" s="59">
        <f t="shared" si="26"/>
        <v>630.28420538779528</v>
      </c>
      <c r="GE47" s="59">
        <f ca="1">AVERAGE(OFFSET($GD$3,0,0,'Données projet'!$E$17+1,1))-AVERAGE(OFFSET($H$3,0,0,'Données projet'!$E$17+1,1))</f>
        <v>196.95560009657527</v>
      </c>
      <c r="GF47" s="59">
        <f t="shared" si="50"/>
        <v>168.90186968005662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0</v>
      </c>
      <c r="GM47" s="21">
        <f>EXP(-LN(2)/25)*GM46+(1-EXP(-LN(2)/25))/(LN(2)/25)*Calculateur!GH47*Calculateur!GJ47*VLOOKUP('Données projet'!$B$17,Paramètres!$A$1:$I$89,3,0)*0.475*44/12</f>
        <v>6.2613658845143956</v>
      </c>
      <c r="GN47" s="21">
        <f>EXP(-LN(2)/2)*GN46+(1-EXP(-LN(2)/2))/(LN(2)/2)*GH47*GK47*VLOOKUP('Données projet'!$B$17,Paramètres!$A$1:$I$89,3,0)*0.475*44/12</f>
        <v>0.10046545587675604</v>
      </c>
      <c r="GO47" s="21">
        <f t="shared" si="27"/>
        <v>6.3618313403911513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11.499999999999996</v>
      </c>
      <c r="N48" s="13">
        <f>IF('Données projet'!$A$36&gt;35,N47+M48-V47,IF(A48&lt;'Données projet'!$A$36,$K$205^A48,IF(A48='Données projet'!$A$36,'Données projet'!$B$36,N47+M48-V47)))</f>
        <v>265.69999999999987</v>
      </c>
      <c r="O48" s="13">
        <f>N48*VLOOKUP('Données projet'!$B$9,Paramètres!$A$1:$I$89,3,0)*VLOOKUP('Données projet'!$B$9,Paramètres!$A$1:$I$89,5,0)</f>
        <v>124.34759999999994</v>
      </c>
      <c r="P48" s="13">
        <f t="shared" si="33"/>
        <v>32.68689576547478</v>
      </c>
      <c r="Q48" s="20">
        <f t="shared" si="53"/>
        <v>273.50174679153514</v>
      </c>
      <c r="R48" s="59">
        <f t="shared" si="0"/>
        <v>566.83508012486845</v>
      </c>
      <c r="S48" s="59">
        <f ca="1">AVERAGE(OFFSET($R$3,0,0,'Données projet'!$E$9+1,1))-AVERAGE(OFFSET($H$3,0,0,'Données projet'!$E$9+1,1))</f>
        <v>215.23235148064941</v>
      </c>
      <c r="T48" s="59">
        <f t="shared" si="34"/>
        <v>184.07239726900434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2.3289851795696257</v>
      </c>
      <c r="AA48" s="21">
        <f>EXP(-LN(2)/25)*AA47+(1-EXP(-LN(2)/25))/(LN(2)/25)*Calculateur!V48*Calculateur!X48*VLOOKUP('Données projet'!$B$9,Paramètres!$A$1:$I$89,3,0)*0.475*44/12</f>
        <v>5.1826736789442736</v>
      </c>
      <c r="AB48" s="21">
        <f>EXP(-LN(2)/2)*AB47+(1-EXP(-LN(2)/2))/(LN(2)/2)*V48*Y48*VLOOKUP('Données projet'!$B$9,Paramètres!$A$1:$I$89,3,0)*0.475*44/12</f>
        <v>5.4315614555001383E-2</v>
      </c>
      <c r="AC48" s="22">
        <f t="shared" si="3"/>
        <v>7.5659744730689003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7.7</v>
      </c>
      <c r="AI48" s="13">
        <f>IF('Données projet'!$A$62&gt;35,AI47+AH48-AQ47,IF(A48&lt;'Données projet'!$A$62,$AF$205^A48,IF(A48='Données projet'!$A$62,'Données projet'!$B$62,AI47+AH48-AQ47)))</f>
        <v>202.4999999999998</v>
      </c>
      <c r="AJ48" s="13">
        <f>AI48*VLOOKUP('Données projet'!$B$10,Paramètres!$A$1:$I$89,3,0)*VLOOKUP('Données projet'!$B$10,Paramètres!$A$1:$I$89,5,0)</f>
        <v>148.47299999999984</v>
      </c>
      <c r="AK48" s="13">
        <f t="shared" si="35"/>
        <v>38.231363009538931</v>
      </c>
      <c r="AL48" s="20">
        <f t="shared" si="4"/>
        <v>325.17676557494673</v>
      </c>
      <c r="AM48" s="59">
        <f t="shared" si="5"/>
        <v>618.51009890828004</v>
      </c>
      <c r="AN48" s="59">
        <f ca="1">AVERAGE(OFFSET($AM$3,0,0,'Données projet'!$E$10+1,1))-AVERAGE(OFFSET($H$3,0,0,'Données projet'!$E$10+1,1))</f>
        <v>178.12968684094687</v>
      </c>
      <c r="AO48" s="59">
        <f t="shared" si="36"/>
        <v>219.36004077210373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5.072488982632656</v>
      </c>
      <c r="AW48" s="21">
        <f>EXP(-LN(2)/2)*AW47+(1-EXP(-LN(2)/2))/(LN(2)/2)*AQ48*AT48*VLOOKUP('Données projet'!$B$10,Paramètres!$A$1:$I$89,3,0)*0.475*44/12</f>
        <v>5.4787045504152546E-2</v>
      </c>
      <c r="AX48" s="21">
        <f t="shared" si="6"/>
        <v>5.1272760281368086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5.2</v>
      </c>
      <c r="BD48" s="12">
        <f>IF('Données projet'!$A$88&gt;35,BD47+BC48-BL47,IF(A48&lt;'Données projet'!$A$88,$BA$205^A48,IF(A48='Données projet'!$A$88,'Données projet'!$B$88,BD47+BC48-BL47)))</f>
        <v>128</v>
      </c>
      <c r="BE48" s="13">
        <f>BD48*VLOOKUP('Données projet'!$B$11,Paramètres!$A$1:$I$89,3,0)*VLOOKUP('Données projet'!$B$11,Paramètres!$A$1:$I$89,5,0)</f>
        <v>111.82080000000002</v>
      </c>
      <c r="BF48" s="13">
        <f t="shared" si="37"/>
        <v>29.759568497877257</v>
      </c>
      <c r="BG48" s="20">
        <f t="shared" si="7"/>
        <v>246.5858084671363</v>
      </c>
      <c r="BH48" s="59">
        <f t="shared" si="8"/>
        <v>539.91914180046956</v>
      </c>
      <c r="BI48" s="59">
        <f ca="1">AVERAGE(OFFSET($BH$3,0,0,'Données projet'!$E$11+1,1))-AVERAGE(OFFSET($H$3,0,0,'Données projet'!$E$11+1,1))</f>
        <v>114.02623091248347</v>
      </c>
      <c r="BJ48" s="59">
        <f t="shared" si="38"/>
        <v>185.51554083721635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1.4501508917220793</v>
      </c>
      <c r="BQ48" s="21">
        <f>EXP(-LN(2)/25)*BQ47+(1-EXP(-LN(2)/25))/(LN(2)/25)*Calculateur!BL48*Calculateur!BN48*VLOOKUP('Données projet'!$B$11,Paramètres!$A$1:$I$89,3,0)*0.475*44/12</f>
        <v>7.4262766375907781</v>
      </c>
      <c r="BR48" s="21">
        <f>EXP(-LN(2)/2)*BR47+(1-EXP(-LN(2)/2))/(LN(2)/2)*BL48*BO48*VLOOKUP('Données projet'!$B$11,Paramètres!$A$1:$I$89,3,0)*0.475*44/12</f>
        <v>9.7444139399600879E-2</v>
      </c>
      <c r="BS48" s="22">
        <f t="shared" si="9"/>
        <v>8.9738716687124587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8.3000000000000007</v>
      </c>
      <c r="BY48" s="12">
        <f>IF('Données projet'!$A$114&gt;35,BY47+BX48-CG47,IF(A48&lt;'Données projet'!$A$114,$BV$205^A48,IF(A48='Données projet'!$A$114,'Données projet'!$B$114,BY47+BX48-CG47)))</f>
        <v>157.5</v>
      </c>
      <c r="BZ48" s="13">
        <f>BY48*VLOOKUP('Données projet'!$B$12,Paramètres!$A$1:$I$89,3,0)*VLOOKUP('Données projet'!$B$12,Paramètres!$A$1:$I$89,5,0)</f>
        <v>142.506</v>
      </c>
      <c r="CA48" s="13">
        <f t="shared" si="39"/>
        <v>36.870500776307537</v>
      </c>
      <c r="CB48" s="20">
        <f t="shared" si="10"/>
        <v>312.41407218540223</v>
      </c>
      <c r="CC48" s="59">
        <f t="shared" si="11"/>
        <v>605.7474055187356</v>
      </c>
      <c r="CD48" s="59">
        <f ca="1">AVERAGE(OFFSET($CC$3,0,0,'Données projet'!$E$12+1,1))-AVERAGE(OFFSET($H$3,0,0,'Données projet'!$E$12+1,1))</f>
        <v>237.22177246688199</v>
      </c>
      <c r="CE48" s="59">
        <f t="shared" si="40"/>
        <v>149.27472147904302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2.0491549944859706</v>
      </c>
      <c r="CM48" s="21">
        <f>EXP(-LN(2)/2)*CM47+(1-EXP(-LN(2)/2))/(LN(2)/2)*CG48*CJ48*VLOOKUP('Données projet'!$B$12,Paramètres!$A$1:$I$89,3,0)*0.475*44/12</f>
        <v>3.4191639367099604E-2</v>
      </c>
      <c r="CN48" s="22">
        <f t="shared" si="12"/>
        <v>2.0833466338530702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19.2</v>
      </c>
      <c r="CT48" s="12">
        <f>IF('Données projet'!$A$140&gt;35,CT47+CS48-DB47,IF(A48&lt;'Données projet'!$A$140,$CQ$205^A48,IF(A48='Données projet'!$A$140,'Données projet'!$B$140,CT47+CS48-DB47)))</f>
        <v>412.99999999999983</v>
      </c>
      <c r="CU48" s="17">
        <f>CT48*VLOOKUP('Données projet'!$B$13,Paramètres!$A$1:$I$89,3,0)*VLOOKUP('Données projet'!$B$13,Paramètres!$A$1:$I$89,5,0)</f>
        <v>230.8669999999999</v>
      </c>
      <c r="CV48" s="13">
        <f t="shared" si="41"/>
        <v>56.470106131334084</v>
      </c>
      <c r="CW48" s="20">
        <f t="shared" si="13"/>
        <v>500.44545984540667</v>
      </c>
      <c r="CX48" s="59">
        <f t="shared" si="14"/>
        <v>793.77879317873999</v>
      </c>
      <c r="CY48" s="59">
        <f ca="1">AVERAGE(OFFSET($CX$3,0,0,'Données projet'!$E$13+1,1))-AVERAGE(OFFSET($H$3,0,0,'Données projet'!$E$13+1,1))</f>
        <v>326.31232746914907</v>
      </c>
      <c r="CZ48" s="59">
        <f t="shared" si="42"/>
        <v>330.17137761430297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3.3939701721155053</v>
      </c>
      <c r="DG48" s="21">
        <f>EXP(-LN(2)/25)*DG47+(1-EXP(-LN(2)/25))/(LN(2)/25)*Calculateur!DB48*Calculateur!DD48*VLOOKUP('Données projet'!$B$13,Paramètres!$A$1:$I$89,3,0)*0.475*44/12</f>
        <v>19.906721965837086</v>
      </c>
      <c r="DH48" s="21">
        <f>EXP(-LN(2)/2)*DH47+(1-EXP(-LN(2)/2))/(LN(2)/2)*DB48*DE48*VLOOKUP('Données projet'!$B$13,Paramètres!$A$1:$I$89,3,0)*0.475*44/12</f>
        <v>0.17966085332096027</v>
      </c>
      <c r="DI48" s="22">
        <f t="shared" si="15"/>
        <v>23.480352991273552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11</v>
      </c>
      <c r="DO48" s="12">
        <f>IF('Données projet'!$A$166&gt;35,DO47+DN48-DW47,IF(A48&lt;'Données projet'!$A$166,$DL$205^A48,IF(A48='Données projet'!$A$166,'Données projet'!$B$166,DO47+DN48-DW47)))</f>
        <v>268.00000000000017</v>
      </c>
      <c r="DP48" s="17">
        <f>DO48*VLOOKUP('Données projet'!$B$14,Paramètres!$A$1:$I$89,3,0)*VLOOKUP('Données projet'!$B$14,Paramètres!$A$1:$I$89,5,0)</f>
        <v>167.23200000000011</v>
      </c>
      <c r="DQ48" s="13">
        <f t="shared" si="43"/>
        <v>42.469492598516958</v>
      </c>
      <c r="DR48" s="20">
        <f t="shared" si="16"/>
        <v>365.23009960908388</v>
      </c>
      <c r="DS48" s="59">
        <f t="shared" si="17"/>
        <v>658.56343294241719</v>
      </c>
      <c r="DT48" s="59">
        <f ca="1">AVERAGE(OFFSET($DS$3,0,0,'Données projet'!$E$14+1,1))-AVERAGE(OFFSET($H$3,0,0,'Données projet'!$E$14+1,1))</f>
        <v>209.93608079129638</v>
      </c>
      <c r="DU48" s="59">
        <f t="shared" si="44"/>
        <v>240.15652428700969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5.1662970907466432</v>
      </c>
      <c r="EB48" s="21">
        <f>EXP(-LN(2)/25)*EB47+(1-EXP(-LN(2)/25))/(LN(2)/25)*Calculateur!DW48*Calculateur!DY48*VLOOKUP('Données projet'!$B$14,Paramètres!$A$1:$I$89,3,0)*0.475*44/12</f>
        <v>13.714904829271898</v>
      </c>
      <c r="EC48" s="21">
        <f>EXP(-LN(2)/2)*EC47+(1-EXP(-LN(2)/2))/(LN(2)/2)*DW48*DZ48*VLOOKUP('Données projet'!$B$14,Paramètres!$A$1:$I$89,3,0)*0.475*44/12</f>
        <v>0.11153955125283928</v>
      </c>
      <c r="ED48" s="22">
        <f t="shared" si="18"/>
        <v>18.99274147127138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12.8</v>
      </c>
      <c r="EJ48" s="12">
        <f>IF('Données projet'!$A$192&gt;35,EJ47+EI48-ER47,IF(A48&lt;'Données projet'!$A$192,$EG$205^A48,IF(A48='Données projet'!$A$192,'Données projet'!$B$192,EJ47+EI48-ER47)))</f>
        <v>278.99999999999994</v>
      </c>
      <c r="EK48" s="17">
        <f>EJ48*VLOOKUP('Données projet'!$B$15,Paramètres!$A$1:$I$89,3,0)*VLOOKUP('Données projet'!$B$15,Paramètres!$A$1:$I$89,5,0)</f>
        <v>166.84199999999998</v>
      </c>
      <c r="EL48" s="13">
        <f t="shared" si="45"/>
        <v>42.381966615760334</v>
      </c>
      <c r="EM48" s="20">
        <f t="shared" si="19"/>
        <v>364.39840852244924</v>
      </c>
      <c r="EN48" s="59">
        <f t="shared" si="20"/>
        <v>657.7317418557825</v>
      </c>
      <c r="EO48" s="59">
        <f ca="1">AVERAGE(OFFSET($EN$3,0,0,'Données projet'!$E$15+1,1))-AVERAGE(OFFSET($H$3,0,0,'Données projet'!$E$15+1,1))</f>
        <v>216.94426559495264</v>
      </c>
      <c r="EP48" s="59">
        <f t="shared" si="46"/>
        <v>225.33715877618704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8.4773524521361097</v>
      </c>
      <c r="EX48" s="21">
        <f>EXP(-LN(2)/2)*EX47+(1-EXP(-LN(2)/2))/(LN(2)/2)*ER48*EU48*VLOOKUP('Données projet'!$B$15,Paramètres!$A$1:$I$89,3,0)*0.475*44/12</f>
        <v>0.13108743187494806</v>
      </c>
      <c r="EY48" s="22">
        <f t="shared" si="21"/>
        <v>8.608439884011057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9.8333333333333339</v>
      </c>
      <c r="FE48" s="12">
        <f>IF('Données projet'!$A$218&gt;35,FE47+FD48-FM47,IF(A48&lt;'Données projet'!$A$218,$FB$205^A48,IF(A48='Données projet'!$A$218,'Données projet'!$B$218,FE47+FD48-FM47)))</f>
        <v>283.16666666666669</v>
      </c>
      <c r="FF48" s="17">
        <f>FE48*VLOOKUP('Données projet'!$B$16,Paramètres!$A$1:$I$89,3,0)*VLOOKUP('Données projet'!$B$16,Paramètres!$A$1:$I$89,5,0)</f>
        <v>169.33366666666672</v>
      </c>
      <c r="FG48" s="13">
        <f t="shared" si="47"/>
        <v>42.940752990888512</v>
      </c>
      <c r="FH48" s="20">
        <f t="shared" si="22"/>
        <v>369.7112809035753</v>
      </c>
      <c r="FI48" s="59">
        <f t="shared" si="23"/>
        <v>663.04461423690861</v>
      </c>
      <c r="FJ48" s="59">
        <f ca="1">AVERAGE(OFFSET($FI$3,0,0,'Données projet'!$E$16+1,1))-AVERAGE(OFFSET($H$3,0,0,'Données projet'!$E$16+1,1))</f>
        <v>168.08890945052406</v>
      </c>
      <c r="FK48" s="59">
        <f t="shared" si="48"/>
        <v>182.52462557642343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4.6156945673081387</v>
      </c>
      <c r="FR48" s="21">
        <f>EXP(-LN(2)/25)*FR47+(1-EXP(-LN(2)/25))/(LN(2)/25)*Calculateur!FM48*Calculateur!FO48*VLOOKUP('Données projet'!$B$16,Paramètres!$A$1:$I$89,3,0)*0.475*44/12</f>
        <v>8.1353483391323813</v>
      </c>
      <c r="FS48" s="21">
        <f>EXP(-LN(2)/2)*FS47+(1-EXP(-LN(2)/2))/(LN(2)/2)*FM48*FP48*VLOOKUP('Données projet'!$B$16,Paramètres!$A$1:$I$89,3,0)*0.475*44/12</f>
        <v>3.0083484421591443E-2</v>
      </c>
      <c r="FT48" s="22">
        <f t="shared" si="24"/>
        <v>12.781126390862113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>
        <f>VLOOKUP(A48,'Données projet'!$A$243:$I$263,2,0)</f>
        <v>283</v>
      </c>
      <c r="FX48" s="12">
        <f>VLOOKUP(A48,'Données projet'!$A$243:$I$263,9,0)</f>
        <v>13.8</v>
      </c>
      <c r="FY48" s="12">
        <f t="array" ref="FY48">INDEX(FX:FX,MIN(IF(ISNUMBER(FX48:FX244),ROW(FX48:FX244),"")))</f>
        <v>13.8</v>
      </c>
      <c r="FZ48" s="12">
        <f>IF('Données projet'!$A$244&gt;35,FZ47+FY48-GH47,IF(A48&lt;'Données projet'!$A$244,$FW$205^A48,IF(A48='Données projet'!$A$244,'Données projet'!$B$244,FZ47+FY48-GH47)))</f>
        <v>283</v>
      </c>
      <c r="GA48" s="17">
        <f>FZ48*VLOOKUP('Données projet'!$B$17,Paramètres!$A$1:$I$89,3,0)*VLOOKUP('Données projet'!$B$17,Paramètres!$A$1:$I$89,5,0)</f>
        <v>161.876</v>
      </c>
      <c r="GB48" s="13">
        <f t="shared" si="49"/>
        <v>41.2653649487576</v>
      </c>
      <c r="GC48" s="20">
        <f t="shared" si="25"/>
        <v>353.80454395241946</v>
      </c>
      <c r="GD48" s="59">
        <f t="shared" si="26"/>
        <v>647.13787728575278</v>
      </c>
      <c r="GE48" s="59">
        <f ca="1">AVERAGE(OFFSET($GD$3,0,0,'Données projet'!$E$17+1,1))-AVERAGE(OFFSET($H$3,0,0,'Données projet'!$E$17+1,1))</f>
        <v>196.95560009657527</v>
      </c>
      <c r="GF48" s="59">
        <f t="shared" si="50"/>
        <v>168.90186968005662</v>
      </c>
      <c r="GG48" s="15">
        <f>IF(ISNA(VLOOKUP(A48,'Données projet'!$A$243:$I$263,3,0)),0,VLOOKUP(A48,'Données projet'!$A$243:$I$263,3,0))</f>
        <v>6</v>
      </c>
      <c r="GH48" s="15">
        <f>IF(ISNA(VLOOKUP(A48,'Données projet'!$A$243:$I$263,4,0)),0,VLOOKUP(A48,'Données projet'!$A$243:$I$263,4,0))</f>
        <v>38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0</v>
      </c>
      <c r="GM48" s="21">
        <f>EXP(-LN(2)/25)*GM47+(1-EXP(-LN(2)/25))/(LN(2)/25)*Calculateur!GH48*Calculateur!GJ48*VLOOKUP('Données projet'!$B$17,Paramètres!$A$1:$I$89,3,0)*0.475*44/12</f>
        <v>6.0901485051314284</v>
      </c>
      <c r="GN48" s="21">
        <f>EXP(-LN(2)/2)*GN47+(1-EXP(-LN(2)/2))/(LN(2)/2)*GH48*GK48*VLOOKUP('Données projet'!$B$17,Paramètres!$A$1:$I$89,3,0)*0.475*44/12</f>
        <v>7.1039805125452077E-2</v>
      </c>
      <c r="GO48" s="21">
        <f t="shared" si="27"/>
        <v>6.1611883102568807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11.499999999999996</v>
      </c>
      <c r="N49" s="13">
        <f>IF('Données projet'!$A$36&gt;35,N48+M49-V48,IF(A49&lt;'Données projet'!$A$36,$K$205^A49,IF(A49='Données projet'!$A$36,'Données projet'!$B$36,N48+M49-V48)))</f>
        <v>277.19999999999987</v>
      </c>
      <c r="O49" s="13">
        <f>N49*VLOOKUP('Données projet'!$B$9,Paramètres!$A$1:$I$89,3,0)*VLOOKUP('Données projet'!$B$9,Paramètres!$A$1:$I$89,5,0)</f>
        <v>129.72959999999992</v>
      </c>
      <c r="P49" s="13">
        <f t="shared" si="33"/>
        <v>33.933870261867483</v>
      </c>
      <c r="Q49" s="20">
        <f t="shared" si="53"/>
        <v>285.04721070608576</v>
      </c>
      <c r="R49" s="59">
        <f t="shared" si="0"/>
        <v>578.38054403941908</v>
      </c>
      <c r="S49" s="59">
        <f ca="1">AVERAGE(OFFSET($R$3,0,0,'Données projet'!$E$9+1,1))-AVERAGE(OFFSET($H$3,0,0,'Données projet'!$E$9+1,1))</f>
        <v>215.23235148064941</v>
      </c>
      <c r="T49" s="59">
        <f t="shared" si="34"/>
        <v>184.07239726900434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2.2833152007389583</v>
      </c>
      <c r="AA49" s="21">
        <f>EXP(-LN(2)/25)*AA48+(1-EXP(-LN(2)/25))/(LN(2)/25)*Calculateur!V49*Calculateur!X49*VLOOKUP('Données projet'!$B$9,Paramètres!$A$1:$I$89,3,0)*0.475*44/12</f>
        <v>5.040953194648579</v>
      </c>
      <c r="AB49" s="21">
        <f>EXP(-LN(2)/2)*AB48+(1-EXP(-LN(2)/2))/(LN(2)/2)*V49*Y49*VLOOKUP('Données projet'!$B$9,Paramètres!$A$1:$I$89,3,0)*0.475*44/12</f>
        <v>3.8406939376156218E-2</v>
      </c>
      <c r="AC49" s="22">
        <f t="shared" si="3"/>
        <v>7.3626753347636944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7.7</v>
      </c>
      <c r="AI49" s="13">
        <f>IF('Données projet'!$A$62&gt;35,AI48+AH49-AQ48,IF(A49&lt;'Données projet'!$A$62,$AF$205^A49,IF(A49='Données projet'!$A$62,'Données projet'!$B$62,AI48+AH49-AQ48)))</f>
        <v>210.19999999999979</v>
      </c>
      <c r="AJ49" s="13">
        <f>AI49*VLOOKUP('Données projet'!$B$10,Paramètres!$A$1:$I$89,3,0)*VLOOKUP('Données projet'!$B$10,Paramètres!$A$1:$I$89,5,0)</f>
        <v>154.11863999999986</v>
      </c>
      <c r="AK49" s="13">
        <f t="shared" si="35"/>
        <v>39.513080685376558</v>
      </c>
      <c r="AL49" s="20">
        <f t="shared" si="4"/>
        <v>337.24191352703059</v>
      </c>
      <c r="AM49" s="59">
        <f t="shared" si="5"/>
        <v>630.5752468603639</v>
      </c>
      <c r="AN49" s="59">
        <f ca="1">AVERAGE(OFFSET($AM$3,0,0,'Données projet'!$E$10+1,1))-AVERAGE(OFFSET($H$3,0,0,'Données projet'!$E$10+1,1))</f>
        <v>178.12968684094687</v>
      </c>
      <c r="AO49" s="59">
        <f t="shared" si="36"/>
        <v>219.36004077210373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4.9337815046519635</v>
      </c>
      <c r="AW49" s="21">
        <f>EXP(-LN(2)/2)*AW48+(1-EXP(-LN(2)/2))/(LN(2)/2)*AQ49*AT49*VLOOKUP('Données projet'!$B$10,Paramètres!$A$1:$I$89,3,0)*0.475*44/12</f>
        <v>3.8740291397162216E-2</v>
      </c>
      <c r="AX49" s="21">
        <f t="shared" si="6"/>
        <v>4.9725217960491257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5.2</v>
      </c>
      <c r="BD49" s="12">
        <f>IF('Données projet'!$A$88&gt;35,BD48+BC49-BL48,IF(A49&lt;'Données projet'!$A$88,$BA$205^A49,IF(A49='Données projet'!$A$88,'Données projet'!$B$88,BD48+BC49-BL48)))</f>
        <v>133.19999999999999</v>
      </c>
      <c r="BE49" s="13">
        <f>BD49*VLOOKUP('Données projet'!$B$11,Paramètres!$A$1:$I$89,3,0)*VLOOKUP('Données projet'!$B$11,Paramètres!$A$1:$I$89,5,0)</f>
        <v>116.36352000000001</v>
      </c>
      <c r="BF49" s="13">
        <f t="shared" si="37"/>
        <v>30.825337032325734</v>
      </c>
      <c r="BG49" s="20">
        <f t="shared" si="7"/>
        <v>256.35392599796734</v>
      </c>
      <c r="BH49" s="59">
        <f t="shared" si="8"/>
        <v>549.68725933130065</v>
      </c>
      <c r="BI49" s="59">
        <f ca="1">AVERAGE(OFFSET($BH$3,0,0,'Données projet'!$E$11+1,1))-AVERAGE(OFFSET($H$3,0,0,'Données projet'!$E$11+1,1))</f>
        <v>114.02623091248347</v>
      </c>
      <c r="BJ49" s="59">
        <f t="shared" si="38"/>
        <v>185.51554083721635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1.4217143172401157</v>
      </c>
      <c r="BQ49" s="21">
        <f>EXP(-LN(2)/25)*BQ48+(1-EXP(-LN(2)/25))/(LN(2)/25)*Calculateur!BL49*Calculateur!BN49*VLOOKUP('Données projet'!$B$11,Paramètres!$A$1:$I$89,3,0)*0.475*44/12</f>
        <v>7.223204712404943</v>
      </c>
      <c r="BR49" s="21">
        <f>EXP(-LN(2)/2)*BR48+(1-EXP(-LN(2)/2))/(LN(2)/2)*BL49*BO49*VLOOKUP('Données projet'!$B$11,Paramètres!$A$1:$I$89,3,0)*0.475*44/12</f>
        <v>6.8903411756345012E-2</v>
      </c>
      <c r="BS49" s="22">
        <f t="shared" si="9"/>
        <v>8.7138224414014047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8.3000000000000007</v>
      </c>
      <c r="BY49" s="12">
        <f>IF('Données projet'!$A$114&gt;35,BY48+BX49-CG48,IF(A49&lt;'Données projet'!$A$114,$BV$205^A49,IF(A49='Données projet'!$A$114,'Données projet'!$B$114,BY48+BX49-CG48)))</f>
        <v>165.8</v>
      </c>
      <c r="BZ49" s="13">
        <f>BY49*VLOOKUP('Données projet'!$B$12,Paramètres!$A$1:$I$89,3,0)*VLOOKUP('Données projet'!$B$12,Paramètres!$A$1:$I$89,5,0)</f>
        <v>150.01584</v>
      </c>
      <c r="CA49" s="13">
        <f t="shared" si="39"/>
        <v>38.582185295570788</v>
      </c>
      <c r="CB49" s="20">
        <f t="shared" si="10"/>
        <v>328.47489405645246</v>
      </c>
      <c r="CC49" s="59">
        <f t="shared" si="11"/>
        <v>621.80822738978577</v>
      </c>
      <c r="CD49" s="59">
        <f ca="1">AVERAGE(OFFSET($CC$3,0,0,'Données projet'!$E$12+1,1))-AVERAGE(OFFSET($H$3,0,0,'Données projet'!$E$12+1,1))</f>
        <v>237.22177246688199</v>
      </c>
      <c r="CE49" s="59">
        <f t="shared" si="40"/>
        <v>149.27472147904302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1.993120743401374</v>
      </c>
      <c r="CM49" s="21">
        <f>EXP(-LN(2)/2)*CM48+(1-EXP(-LN(2)/2))/(LN(2)/2)*CG49*CJ49*VLOOKUP('Données projet'!$B$12,Paramètres!$A$1:$I$89,3,0)*0.475*44/12</f>
        <v>2.4177140056361044E-2</v>
      </c>
      <c r="CN49" s="22">
        <f t="shared" si="12"/>
        <v>2.0172978834577351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19.2</v>
      </c>
      <c r="CT49" s="12">
        <f>IF('Données projet'!$A$140&gt;35,CT48+CS49-DB48,IF(A49&lt;'Données projet'!$A$140,$CQ$205^A49,IF(A49='Données projet'!$A$140,'Données projet'!$B$140,CT48+CS49-DB48)))</f>
        <v>432.19999999999982</v>
      </c>
      <c r="CU49" s="17">
        <f>CT49*VLOOKUP('Données projet'!$B$13,Paramètres!$A$1:$I$89,3,0)*VLOOKUP('Données projet'!$B$13,Paramètres!$A$1:$I$89,5,0)</f>
        <v>241.5997999999999</v>
      </c>
      <c r="CV49" s="13">
        <f t="shared" si="41"/>
        <v>58.783602040793284</v>
      </c>
      <c r="CW49" s="20">
        <f t="shared" si="13"/>
        <v>523.16775855438141</v>
      </c>
      <c r="CX49" s="59">
        <f t="shared" si="14"/>
        <v>816.50109188771467</v>
      </c>
      <c r="CY49" s="59">
        <f ca="1">AVERAGE(OFFSET($CX$3,0,0,'Données projet'!$E$13+1,1))-AVERAGE(OFFSET($H$3,0,0,'Données projet'!$E$13+1,1))</f>
        <v>326.31232746914907</v>
      </c>
      <c r="CZ49" s="59">
        <f t="shared" si="42"/>
        <v>330.17137761430297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3.3274164871577181</v>
      </c>
      <c r="DG49" s="21">
        <f>EXP(-LN(2)/25)*DG48+(1-EXP(-LN(2)/25))/(LN(2)/25)*Calculateur!DB49*Calculateur!DD49*VLOOKUP('Données projet'!$B$13,Paramètres!$A$1:$I$89,3,0)*0.475*44/12</f>
        <v>19.362371606832259</v>
      </c>
      <c r="DH49" s="21">
        <f>EXP(-LN(2)/2)*DH48+(1-EXP(-LN(2)/2))/(LN(2)/2)*DB49*DE49*VLOOKUP('Données projet'!$B$13,Paramètres!$A$1:$I$89,3,0)*0.475*44/12</f>
        <v>0.12703940769701266</v>
      </c>
      <c r="DI49" s="22">
        <f t="shared" si="15"/>
        <v>22.816827501686987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11</v>
      </c>
      <c r="DO49" s="12">
        <f>IF('Données projet'!$A$166&gt;35,DO48+DN49-DW48,IF(A49&lt;'Données projet'!$A$166,$DL$205^A49,IF(A49='Données projet'!$A$166,'Données projet'!$B$166,DO48+DN49-DW48)))</f>
        <v>279.00000000000017</v>
      </c>
      <c r="DP49" s="17">
        <f>DO49*VLOOKUP('Données projet'!$B$14,Paramètres!$A$1:$I$89,3,0)*VLOOKUP('Données projet'!$B$14,Paramètres!$A$1:$I$89,5,0)</f>
        <v>174.09600000000009</v>
      </c>
      <c r="DQ49" s="13">
        <f t="shared" si="43"/>
        <v>44.00611631426144</v>
      </c>
      <c r="DR49" s="20">
        <f t="shared" si="16"/>
        <v>379.86118591400549</v>
      </c>
      <c r="DS49" s="59">
        <f t="shared" si="17"/>
        <v>673.1945192473388</v>
      </c>
      <c r="DT49" s="59">
        <f ca="1">AVERAGE(OFFSET($DS$3,0,0,'Données projet'!$E$14+1,1))-AVERAGE(OFFSET($H$3,0,0,'Données projet'!$E$14+1,1))</f>
        <v>209.93608079129638</v>
      </c>
      <c r="DU49" s="59">
        <f t="shared" si="44"/>
        <v>240.15652428700969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5.0649891559271785</v>
      </c>
      <c r="EB49" s="21">
        <f>EXP(-LN(2)/25)*EB48+(1-EXP(-LN(2)/25))/(LN(2)/25)*Calculateur!DW49*Calculateur!DY49*VLOOKUP('Données projet'!$B$14,Paramètres!$A$1:$I$89,3,0)*0.475*44/12</f>
        <v>13.339870035479958</v>
      </c>
      <c r="EC49" s="21">
        <f>EXP(-LN(2)/2)*EC48+(1-EXP(-LN(2)/2))/(LN(2)/2)*DW49*DZ49*VLOOKUP('Données projet'!$B$14,Paramètres!$A$1:$I$89,3,0)*0.475*44/12</f>
        <v>7.8870373061387125E-2</v>
      </c>
      <c r="ED49" s="22">
        <f t="shared" si="18"/>
        <v>18.483729564468526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12.8</v>
      </c>
      <c r="EJ49" s="12">
        <f>IF('Données projet'!$A$192&gt;35,EJ48+EI49-ER48,IF(A49&lt;'Données projet'!$A$192,$EG$205^A49,IF(A49='Données projet'!$A$192,'Données projet'!$B$192,EJ48+EI49-ER48)))</f>
        <v>291.79999999999995</v>
      </c>
      <c r="EK49" s="17">
        <f>EJ49*VLOOKUP('Données projet'!$B$15,Paramètres!$A$1:$I$89,3,0)*VLOOKUP('Données projet'!$B$15,Paramètres!$A$1:$I$89,5,0)</f>
        <v>174.49639999999999</v>
      </c>
      <c r="EL49" s="13">
        <f t="shared" si="45"/>
        <v>44.095532458716939</v>
      </c>
      <c r="EM49" s="20">
        <f t="shared" si="19"/>
        <v>380.71428236559865</v>
      </c>
      <c r="EN49" s="59">
        <f t="shared" si="20"/>
        <v>674.04761569893196</v>
      </c>
      <c r="EO49" s="59">
        <f ca="1">AVERAGE(OFFSET($EN$3,0,0,'Données projet'!$E$15+1,1))-AVERAGE(OFFSET($H$3,0,0,'Données projet'!$E$15+1,1))</f>
        <v>216.94426559495264</v>
      </c>
      <c r="EP49" s="59">
        <f t="shared" si="46"/>
        <v>225.33715877618704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8.2455388035278574</v>
      </c>
      <c r="EX49" s="21">
        <f>EXP(-LN(2)/2)*EX48+(1-EXP(-LN(2)/2))/(LN(2)/2)*ER49*EU49*VLOOKUP('Données projet'!$B$15,Paramètres!$A$1:$I$89,3,0)*0.475*44/12</f>
        <v>9.2692812007105357E-2</v>
      </c>
      <c r="EY49" s="22">
        <f t="shared" si="21"/>
        <v>8.3382316155349621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>
        <f>VLOOKUP(A49,'Données projet'!$A$217:$I$237,2,0)</f>
        <v>293</v>
      </c>
      <c r="FC49" s="12">
        <f>VLOOKUP(A49,'Données projet'!$A$217:$I$237,9,0)</f>
        <v>9.8333333333333339</v>
      </c>
      <c r="FD49" s="12">
        <f t="array" ref="FD49">INDEX(FC:FC,MIN(IF(ISNUMBER(FC49:FC245),ROW(FC49:FC245),"")))</f>
        <v>9.8333333333333339</v>
      </c>
      <c r="FE49" s="12">
        <f>IF('Données projet'!$A$218&gt;35,FE48+FD49-FM48,IF(A49&lt;'Données projet'!$A$218,$FB$205^A49,IF(A49='Données projet'!$A$218,'Données projet'!$B$218,FE48+FD49-FM48)))</f>
        <v>293</v>
      </c>
      <c r="FF49" s="17">
        <f>FE49*VLOOKUP('Données projet'!$B$16,Paramètres!$A$1:$I$89,3,0)*VLOOKUP('Données projet'!$B$16,Paramètres!$A$1:$I$89,5,0)</f>
        <v>175.214</v>
      </c>
      <c r="FG49" s="13">
        <f t="shared" si="47"/>
        <v>44.255725061661991</v>
      </c>
      <c r="FH49" s="20">
        <f t="shared" si="22"/>
        <v>382.24310448239459</v>
      </c>
      <c r="FI49" s="59">
        <f t="shared" si="23"/>
        <v>675.5764378157279</v>
      </c>
      <c r="FJ49" s="59">
        <f ca="1">AVERAGE(OFFSET($FI$3,0,0,'Données projet'!$E$16+1,1))-AVERAGE(OFFSET($H$3,0,0,'Données projet'!$E$16+1,1))</f>
        <v>168.08890945052406</v>
      </c>
      <c r="FK49" s="59">
        <f t="shared" si="48"/>
        <v>182.52462557642343</v>
      </c>
      <c r="FL49" s="15">
        <f>IF(ISNA(VLOOKUP(A49,'Données projet'!$A$217:$I$237,3,0)),0,VLOOKUP(A49,'Données projet'!$A$217:$I$237,3,0))</f>
        <v>7</v>
      </c>
      <c r="FM49" s="15">
        <f>IF(ISNA(VLOOKUP(A49,'Données projet'!$A$217:$I$237,4,0)),0,VLOOKUP(A49,'Données projet'!$A$217:$I$237,4,0))</f>
        <v>29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4.5251836121389246</v>
      </c>
      <c r="FR49" s="21">
        <f>EXP(-LN(2)/25)*FR48+(1-EXP(-LN(2)/25))/(LN(2)/25)*Calculateur!FM49*Calculateur!FO49*VLOOKUP('Données projet'!$B$16,Paramètres!$A$1:$I$89,3,0)*0.475*44/12</f>
        <v>7.9128868109794306</v>
      </c>
      <c r="FS49" s="21">
        <f>EXP(-LN(2)/2)*FS48+(1-EXP(-LN(2)/2))/(LN(2)/2)*FM49*FP49*VLOOKUP('Données projet'!$B$16,Paramètres!$A$1:$I$89,3,0)*0.475*44/12</f>
        <v>2.1272235836227175E-2</v>
      </c>
      <c r="FT49" s="22">
        <f t="shared" si="24"/>
        <v>12.459342658954581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13.2</v>
      </c>
      <c r="FZ49" s="12">
        <f>IF('Données projet'!$A$244&gt;35,FZ48+FY49-GH48,IF(A49&lt;'Données projet'!$A$244,$FW$205^A49,IF(A49='Données projet'!$A$244,'Données projet'!$B$244,FZ48+FY49-GH48)))</f>
        <v>258.2</v>
      </c>
      <c r="GA49" s="17">
        <f>FZ49*VLOOKUP('Données projet'!$B$17,Paramètres!$A$1:$I$89,3,0)*VLOOKUP('Données projet'!$B$17,Paramètres!$A$1:$I$89,5,0)</f>
        <v>147.69039999999998</v>
      </c>
      <c r="GB49" s="13">
        <f t="shared" si="49"/>
        <v>38.053247671549173</v>
      </c>
      <c r="GC49" s="20">
        <f t="shared" si="25"/>
        <v>323.50351969461479</v>
      </c>
      <c r="GD49" s="59">
        <f t="shared" si="26"/>
        <v>616.83685302794811</v>
      </c>
      <c r="GE49" s="59">
        <f ca="1">AVERAGE(OFFSET($GD$3,0,0,'Données projet'!$E$17+1,1))-AVERAGE(OFFSET($H$3,0,0,'Données projet'!$E$17+1,1))</f>
        <v>196.95560009657527</v>
      </c>
      <c r="GF49" s="59">
        <f t="shared" si="50"/>
        <v>168.90186968005662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0</v>
      </c>
      <c r="GM49" s="21">
        <f>EXP(-LN(2)/25)*GM48+(1-EXP(-LN(2)/25))/(LN(2)/25)*Calculateur!GH49*Calculateur!GJ49*VLOOKUP('Données projet'!$B$17,Paramètres!$A$1:$I$89,3,0)*0.475*44/12</f>
        <v>5.9236130739916186</v>
      </c>
      <c r="GN49" s="21">
        <f>EXP(-LN(2)/2)*GN48+(1-EXP(-LN(2)/2))/(LN(2)/2)*GH49*GK49*VLOOKUP('Données projet'!$B$17,Paramètres!$A$1:$I$89,3,0)*0.475*44/12</f>
        <v>5.0232727938378019E-2</v>
      </c>
      <c r="GO49" s="21">
        <f t="shared" si="27"/>
        <v>5.9738458019299969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11.499999999999996</v>
      </c>
      <c r="N50" s="13">
        <f>IF('Données projet'!$A$36&gt;35,N49+M50-V49,IF(A50&lt;'Données projet'!$A$36,$K$205^A50,IF(A50='Données projet'!$A$36,'Données projet'!$B$36,N49+M50-V49)))</f>
        <v>288.69999999999987</v>
      </c>
      <c r="O50" s="13">
        <f>N50*VLOOKUP('Données projet'!$B$9,Paramètres!$A$1:$I$89,3,0)*VLOOKUP('Données projet'!$B$9,Paramètres!$A$1:$I$89,5,0)</f>
        <v>135.11159999999992</v>
      </c>
      <c r="P50" s="13">
        <f t="shared" si="33"/>
        <v>35.174835808562257</v>
      </c>
      <c r="Q50" s="20">
        <f t="shared" si="53"/>
        <v>296.58220903324576</v>
      </c>
      <c r="R50" s="59">
        <f t="shared" si="0"/>
        <v>589.91554236657907</v>
      </c>
      <c r="S50" s="59">
        <f ca="1">AVERAGE(OFFSET($R$3,0,0,'Données projet'!$E$9+1,1))-AVERAGE(OFFSET($H$3,0,0,'Données projet'!$E$9+1,1))</f>
        <v>215.23235148064941</v>
      </c>
      <c r="T50" s="59">
        <f t="shared" si="34"/>
        <v>184.07239726900434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2.2385407823372234</v>
      </c>
      <c r="AA50" s="21">
        <f>EXP(-LN(2)/25)*AA49+(1-EXP(-LN(2)/25))/(LN(2)/25)*Calculateur!V50*Calculateur!X50*VLOOKUP('Données projet'!$B$9,Paramètres!$A$1:$I$89,3,0)*0.475*44/12</f>
        <v>4.9031080644487064</v>
      </c>
      <c r="AB50" s="21">
        <f>EXP(-LN(2)/2)*AB49+(1-EXP(-LN(2)/2))/(LN(2)/2)*V50*Y50*VLOOKUP('Données projet'!$B$9,Paramètres!$A$1:$I$89,3,0)*0.475*44/12</f>
        <v>2.7157807277500692E-2</v>
      </c>
      <c r="AC50" s="22">
        <f t="shared" si="3"/>
        <v>7.168806654063431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7.7</v>
      </c>
      <c r="AI50" s="13">
        <f>IF('Données projet'!$A$62&gt;35,AI49+AH50-AQ49,IF(A50&lt;'Données projet'!$A$62,$AF$205^A50,IF(A50='Données projet'!$A$62,'Données projet'!$B$62,AI49+AH50-AQ49)))</f>
        <v>217.89999999999978</v>
      </c>
      <c r="AJ50" s="13">
        <f>AI50*VLOOKUP('Données projet'!$B$10,Paramètres!$A$1:$I$89,3,0)*VLOOKUP('Données projet'!$B$10,Paramètres!$A$1:$I$89,5,0)</f>
        <v>159.76427999999981</v>
      </c>
      <c r="AK50" s="13">
        <f t="shared" si="35"/>
        <v>40.789343541489288</v>
      </c>
      <c r="AL50" s="20">
        <f t="shared" si="4"/>
        <v>349.29756100142686</v>
      </c>
      <c r="AM50" s="59">
        <f t="shared" si="5"/>
        <v>642.63089433476011</v>
      </c>
      <c r="AN50" s="59">
        <f ca="1">AVERAGE(OFFSET($AM$3,0,0,'Données projet'!$E$10+1,1))-AVERAGE(OFFSET($H$3,0,0,'Données projet'!$E$10+1,1))</f>
        <v>178.12968684094687</v>
      </c>
      <c r="AO50" s="59">
        <f t="shared" si="36"/>
        <v>219.36004077210373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4.7988669899509624</v>
      </c>
      <c r="AW50" s="21">
        <f>EXP(-LN(2)/2)*AW49+(1-EXP(-LN(2)/2))/(LN(2)/2)*AQ50*AT50*VLOOKUP('Données projet'!$B$10,Paramètres!$A$1:$I$89,3,0)*0.475*44/12</f>
        <v>2.7393522752076273E-2</v>
      </c>
      <c r="AX50" s="21">
        <f t="shared" si="6"/>
        <v>4.8262605127030387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5.2</v>
      </c>
      <c r="BD50" s="12">
        <f>IF('Données projet'!$A$88&gt;35,BD49+BC50-BL49,IF(A50&lt;'Données projet'!$A$88,$BA$205^A50,IF(A50='Données projet'!$A$88,'Données projet'!$B$88,BD49+BC50-BL49)))</f>
        <v>138.39999999999998</v>
      </c>
      <c r="BE50" s="13">
        <f>BD50*VLOOKUP('Données projet'!$B$11,Paramètres!$A$1:$I$89,3,0)*VLOOKUP('Données projet'!$B$11,Paramètres!$A$1:$I$89,5,0)</f>
        <v>120.90623999999998</v>
      </c>
      <c r="BF50" s="13">
        <f t="shared" si="37"/>
        <v>31.886272251257857</v>
      </c>
      <c r="BG50" s="20">
        <f t="shared" si="7"/>
        <v>266.11362550427407</v>
      </c>
      <c r="BH50" s="59">
        <f t="shared" si="8"/>
        <v>559.44695883760733</v>
      </c>
      <c r="BI50" s="59">
        <f ca="1">AVERAGE(OFFSET($BH$3,0,0,'Données projet'!$E$11+1,1))-AVERAGE(OFFSET($H$3,0,0,'Données projet'!$E$11+1,1))</f>
        <v>114.02623091248347</v>
      </c>
      <c r="BJ50" s="59">
        <f t="shared" si="38"/>
        <v>185.51554083721635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1.3938353666391456</v>
      </c>
      <c r="BQ50" s="21">
        <f>EXP(-LN(2)/25)*BQ49+(1-EXP(-LN(2)/25))/(LN(2)/25)*Calculateur!BL50*Calculateur!BN50*VLOOKUP('Données projet'!$B$11,Paramètres!$A$1:$I$89,3,0)*0.475*44/12</f>
        <v>7.0256857996924031</v>
      </c>
      <c r="BR50" s="21">
        <f>EXP(-LN(2)/2)*BR49+(1-EXP(-LN(2)/2))/(LN(2)/2)*BL50*BO50*VLOOKUP('Données projet'!$B$11,Paramètres!$A$1:$I$89,3,0)*0.475*44/12</f>
        <v>4.872206969980044E-2</v>
      </c>
      <c r="BS50" s="22">
        <f t="shared" si="9"/>
        <v>8.4682432360313502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8.3000000000000007</v>
      </c>
      <c r="BY50" s="12">
        <f>IF('Données projet'!$A$114&gt;35,BY49+BX50-CG49,IF(A50&lt;'Données projet'!$A$114,$BV$205^A50,IF(A50='Données projet'!$A$114,'Données projet'!$B$114,BY49+BX50-CG49)))</f>
        <v>174.10000000000002</v>
      </c>
      <c r="BZ50" s="13">
        <f>BY50*VLOOKUP('Données projet'!$B$12,Paramètres!$A$1:$I$89,3,0)*VLOOKUP('Données projet'!$B$12,Paramètres!$A$1:$I$89,5,0)</f>
        <v>157.52568000000002</v>
      </c>
      <c r="CA50" s="13">
        <f t="shared" si="39"/>
        <v>40.283920409774808</v>
      </c>
      <c r="CB50" s="20">
        <f t="shared" si="10"/>
        <v>344.51838738035781</v>
      </c>
      <c r="CC50" s="59">
        <f t="shared" si="11"/>
        <v>637.85172071369107</v>
      </c>
      <c r="CD50" s="59">
        <f ca="1">AVERAGE(OFFSET($CC$3,0,0,'Données projet'!$E$12+1,1))-AVERAGE(OFFSET($H$3,0,0,'Données projet'!$E$12+1,1))</f>
        <v>237.22177246688199</v>
      </c>
      <c r="CE50" s="59">
        <f t="shared" si="40"/>
        <v>149.27472147904302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1.9386187518593989</v>
      </c>
      <c r="CM50" s="21">
        <f>EXP(-LN(2)/2)*CM49+(1-EXP(-LN(2)/2))/(LN(2)/2)*CG50*CJ50*VLOOKUP('Données projet'!$B$12,Paramètres!$A$1:$I$89,3,0)*0.475*44/12</f>
        <v>1.7095819683549802E-2</v>
      </c>
      <c r="CN50" s="22">
        <f t="shared" si="12"/>
        <v>1.9557145715429487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19.2</v>
      </c>
      <c r="CT50" s="12">
        <f>IF('Données projet'!$A$140&gt;35,CT49+CS50-DB49,IF(A50&lt;'Données projet'!$A$140,$CQ$205^A50,IF(A50='Données projet'!$A$140,'Données projet'!$B$140,CT49+CS50-DB49)))</f>
        <v>451.39999999999981</v>
      </c>
      <c r="CU50" s="17">
        <f>CT50*VLOOKUP('Données projet'!$B$13,Paramètres!$A$1:$I$89,3,0)*VLOOKUP('Données projet'!$B$13,Paramètres!$A$1:$I$89,5,0)</f>
        <v>252.3325999999999</v>
      </c>
      <c r="CV50" s="13">
        <f t="shared" si="41"/>
        <v>61.08516173401626</v>
      </c>
      <c r="CW50" s="20">
        <f t="shared" si="13"/>
        <v>545.86926835341148</v>
      </c>
      <c r="CX50" s="59">
        <f t="shared" si="14"/>
        <v>839.20260168674486</v>
      </c>
      <c r="CY50" s="59">
        <f ca="1">AVERAGE(OFFSET($CX$3,0,0,'Données projet'!$E$13+1,1))-AVERAGE(OFFSET($H$3,0,0,'Données projet'!$E$13+1,1))</f>
        <v>326.31232746914907</v>
      </c>
      <c r="CZ50" s="59">
        <f t="shared" si="42"/>
        <v>330.17137761430297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3.2621678793682136</v>
      </c>
      <c r="DG50" s="21">
        <f>EXP(-LN(2)/25)*DG49+(1-EXP(-LN(2)/25))/(LN(2)/25)*Calculateur!DB50*Calculateur!DD50*VLOOKUP('Données projet'!$B$13,Paramètres!$A$1:$I$89,3,0)*0.475*44/12</f>
        <v>18.832906537020563</v>
      </c>
      <c r="DH50" s="21">
        <f>EXP(-LN(2)/2)*DH49+(1-EXP(-LN(2)/2))/(LN(2)/2)*DB50*DE50*VLOOKUP('Données projet'!$B$13,Paramètres!$A$1:$I$89,3,0)*0.475*44/12</f>
        <v>8.9830426660480134E-2</v>
      </c>
      <c r="DI50" s="22">
        <f t="shared" si="15"/>
        <v>22.184904843049257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11</v>
      </c>
      <c r="DO50" s="12">
        <f>IF('Données projet'!$A$166&gt;35,DO49+DN50-DW49,IF(A50&lt;'Données projet'!$A$166,$DL$205^A50,IF(A50='Données projet'!$A$166,'Données projet'!$B$166,DO49+DN50-DW49)))</f>
        <v>290.00000000000017</v>
      </c>
      <c r="DP50" s="17">
        <f>DO50*VLOOKUP('Données projet'!$B$14,Paramètres!$A$1:$I$89,3,0)*VLOOKUP('Données projet'!$B$14,Paramètres!$A$1:$I$89,5,0)</f>
        <v>180.96000000000009</v>
      </c>
      <c r="DQ50" s="13">
        <f t="shared" si="43"/>
        <v>45.535702314871763</v>
      </c>
      <c r="DR50" s="20">
        <f t="shared" si="16"/>
        <v>394.48001486506854</v>
      </c>
      <c r="DS50" s="59">
        <f t="shared" si="17"/>
        <v>687.81334819840185</v>
      </c>
      <c r="DT50" s="59">
        <f ca="1">AVERAGE(OFFSET($DS$3,0,0,'Données projet'!$E$14+1,1))-AVERAGE(OFFSET($H$3,0,0,'Données projet'!$E$14+1,1))</f>
        <v>209.93608079129638</v>
      </c>
      <c r="DU50" s="59">
        <f t="shared" si="44"/>
        <v>240.15652428700969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4.9656678079177849</v>
      </c>
      <c r="EB50" s="21">
        <f>EXP(-LN(2)/25)*EB49+(1-EXP(-LN(2)/25))/(LN(2)/25)*Calculateur!DW50*Calculateur!DY50*VLOOKUP('Données projet'!$B$14,Paramètres!$A$1:$I$89,3,0)*0.475*44/12</f>
        <v>12.975090587846482</v>
      </c>
      <c r="EC50" s="21">
        <f>EXP(-LN(2)/2)*EC49+(1-EXP(-LN(2)/2))/(LN(2)/2)*DW50*DZ50*VLOOKUP('Données projet'!$B$14,Paramètres!$A$1:$I$89,3,0)*0.475*44/12</f>
        <v>5.5769775626419639E-2</v>
      </c>
      <c r="ED50" s="22">
        <f t="shared" si="18"/>
        <v>17.996528171390686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12.8</v>
      </c>
      <c r="EJ50" s="12">
        <f>IF('Données projet'!$A$192&gt;35,EJ49+EI50-ER49,IF(A50&lt;'Données projet'!$A$192,$EG$205^A50,IF(A50='Données projet'!$A$192,'Données projet'!$B$192,EJ49+EI50-ER49)))</f>
        <v>304.59999999999997</v>
      </c>
      <c r="EK50" s="17">
        <f>EJ50*VLOOKUP('Données projet'!$B$15,Paramètres!$A$1:$I$89,3,0)*VLOOKUP('Données projet'!$B$15,Paramètres!$A$1:$I$89,5,0)</f>
        <v>182.15079999999998</v>
      </c>
      <c r="EL50" s="13">
        <f t="shared" si="45"/>
        <v>45.800368240506849</v>
      </c>
      <c r="EM50" s="20">
        <f t="shared" si="19"/>
        <v>397.01495135221603</v>
      </c>
      <c r="EN50" s="59">
        <f t="shared" si="20"/>
        <v>690.34828468554929</v>
      </c>
      <c r="EO50" s="59">
        <f ca="1">AVERAGE(OFFSET($EN$3,0,0,'Données projet'!$E$15+1,1))-AVERAGE(OFFSET($H$3,0,0,'Données projet'!$E$15+1,1))</f>
        <v>216.94426559495264</v>
      </c>
      <c r="EP50" s="59">
        <f t="shared" si="46"/>
        <v>225.33715877618704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8.0200641113313473</v>
      </c>
      <c r="EX50" s="21">
        <f>EXP(-LN(2)/2)*EX49+(1-EXP(-LN(2)/2))/(LN(2)/2)*ER50*EU50*VLOOKUP('Données projet'!$B$15,Paramètres!$A$1:$I$89,3,0)*0.475*44/12</f>
        <v>6.5543715937474031E-2</v>
      </c>
      <c r="EY50" s="22">
        <f t="shared" si="21"/>
        <v>8.0856078272688219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5.875</v>
      </c>
      <c r="FE50" s="12">
        <f>IF('Données projet'!$A$218&gt;35,FE49+FD50-FM49,IF(A50&lt;'Données projet'!$A$218,$FB$205^A50,IF(A50='Données projet'!$A$218,'Données projet'!$B$218,FE49+FD50-FM49)))</f>
        <v>269.875</v>
      </c>
      <c r="FF50" s="17">
        <f>FE50*VLOOKUP('Données projet'!$B$16,Paramètres!$A$1:$I$89,3,0)*VLOOKUP('Données projet'!$B$16,Paramètres!$A$1:$I$89,5,0)</f>
        <v>161.38525000000001</v>
      </c>
      <c r="FG50" s="13">
        <f t="shared" si="47"/>
        <v>41.154805478559268</v>
      </c>
      <c r="FH50" s="20">
        <f t="shared" si="22"/>
        <v>352.75726329182407</v>
      </c>
      <c r="FI50" s="59">
        <f t="shared" si="23"/>
        <v>646.09059662515733</v>
      </c>
      <c r="FJ50" s="59">
        <f ca="1">AVERAGE(OFFSET($FI$3,0,0,'Données projet'!$E$16+1,1))-AVERAGE(OFFSET($H$3,0,0,'Données projet'!$E$16+1,1))</f>
        <v>168.08890945052406</v>
      </c>
      <c r="FK50" s="59">
        <f t="shared" si="48"/>
        <v>182.52462557642343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4.4364475215943475</v>
      </c>
      <c r="FR50" s="21">
        <f>EXP(-LN(2)/25)*FR49+(1-EXP(-LN(2)/25))/(LN(2)/25)*Calculateur!FM50*Calculateur!FO50*VLOOKUP('Données projet'!$B$16,Paramètres!$A$1:$I$89,3,0)*0.475*44/12</f>
        <v>7.6965085050125657</v>
      </c>
      <c r="FS50" s="21">
        <f>EXP(-LN(2)/2)*FS49+(1-EXP(-LN(2)/2))/(LN(2)/2)*FM50*FP50*VLOOKUP('Données projet'!$B$16,Paramètres!$A$1:$I$89,3,0)*0.475*44/12</f>
        <v>1.5041742210795725E-2</v>
      </c>
      <c r="FT50" s="22">
        <f t="shared" si="24"/>
        <v>12.147997768817708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13.2</v>
      </c>
      <c r="FZ50" s="12">
        <f>IF('Données projet'!$A$244&gt;35,FZ49+FY50-GH49,IF(A50&lt;'Données projet'!$A$244,$FW$205^A50,IF(A50='Données projet'!$A$244,'Données projet'!$B$244,FZ49+FY50-GH49)))</f>
        <v>271.39999999999998</v>
      </c>
      <c r="GA50" s="17">
        <f>FZ50*VLOOKUP('Données projet'!$B$17,Paramètres!$A$1:$I$89,3,0)*VLOOKUP('Données projet'!$B$17,Paramètres!$A$1:$I$89,5,0)</f>
        <v>155.24080000000001</v>
      </c>
      <c r="GB50" s="13">
        <f t="shared" si="49"/>
        <v>39.767185348358026</v>
      </c>
      <c r="GC50" s="20">
        <f t="shared" si="25"/>
        <v>339.63890781505688</v>
      </c>
      <c r="GD50" s="59">
        <f t="shared" si="26"/>
        <v>632.97224114839014</v>
      </c>
      <c r="GE50" s="59">
        <f ca="1">AVERAGE(OFFSET($GD$3,0,0,'Données projet'!$E$17+1,1))-AVERAGE(OFFSET($H$3,0,0,'Données projet'!$E$17+1,1))</f>
        <v>196.95560009657527</v>
      </c>
      <c r="GF50" s="59">
        <f t="shared" si="50"/>
        <v>168.90186968005662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0</v>
      </c>
      <c r="GM50" s="21">
        <f>EXP(-LN(2)/25)*GM49+(1-EXP(-LN(2)/25))/(LN(2)/25)*Calculateur!GH50*Calculateur!GJ50*VLOOKUP('Données projet'!$B$17,Paramètres!$A$1:$I$89,3,0)*0.475*44/12</f>
        <v>5.7616315629740447</v>
      </c>
      <c r="GN50" s="21">
        <f>EXP(-LN(2)/2)*GN49+(1-EXP(-LN(2)/2))/(LN(2)/2)*GH50*GK50*VLOOKUP('Données projet'!$B$17,Paramètres!$A$1:$I$89,3,0)*0.475*44/12</f>
        <v>3.5519902562726038E-2</v>
      </c>
      <c r="GO50" s="21">
        <f t="shared" si="27"/>
        <v>5.7971514655367704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11.499999999999996</v>
      </c>
      <c r="N51" s="13">
        <f>IF('Données projet'!$A$36&gt;35,N50+M51-V50,IF(A51&lt;'Données projet'!$A$36,$K$205^A51,IF(A51='Données projet'!$A$36,'Données projet'!$B$36,N50+M51-V50)))</f>
        <v>300.19999999999987</v>
      </c>
      <c r="O51" s="13">
        <f>N51*VLOOKUP('Données projet'!$B$9,Paramètres!$A$1:$I$89,3,0)*VLOOKUP('Données projet'!$B$9,Paramètres!$A$1:$I$89,5,0)</f>
        <v>140.49359999999993</v>
      </c>
      <c r="P51" s="13">
        <f t="shared" si="33"/>
        <v>36.410059151057915</v>
      </c>
      <c r="Q51" s="20">
        <f t="shared" si="53"/>
        <v>308.10720635475906</v>
      </c>
      <c r="R51" s="59">
        <f t="shared" si="0"/>
        <v>601.44053968809237</v>
      </c>
      <c r="S51" s="59">
        <f ca="1">AVERAGE(OFFSET($R$3,0,0,'Données projet'!$E$9+1,1))-AVERAGE(OFFSET($H$3,0,0,'Données projet'!$E$9+1,1))</f>
        <v>215.23235148064941</v>
      </c>
      <c r="T51" s="59">
        <f t="shared" si="34"/>
        <v>184.07239726900434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2.194644362970648</v>
      </c>
      <c r="AA51" s="21">
        <f>EXP(-LN(2)/25)*AA50+(1-EXP(-LN(2)/25))/(LN(2)/25)*Calculateur!V51*Calculateur!X51*VLOOKUP('Données projet'!$B$9,Paramètres!$A$1:$I$89,3,0)*0.475*44/12</f>
        <v>4.7690323165831092</v>
      </c>
      <c r="AB51" s="21">
        <f>EXP(-LN(2)/2)*AB50+(1-EXP(-LN(2)/2))/(LN(2)/2)*V51*Y51*VLOOKUP('Données projet'!$B$9,Paramètres!$A$1:$I$89,3,0)*0.475*44/12</f>
        <v>1.9203469688078109E-2</v>
      </c>
      <c r="AC51" s="22">
        <f t="shared" si="3"/>
        <v>6.9828801492418346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7.7</v>
      </c>
      <c r="AI51" s="13">
        <f>IF('Données projet'!$A$62&gt;35,AI50+AH51-AQ50,IF(A51&lt;'Données projet'!$A$62,$AF$205^A51,IF(A51='Données projet'!$A$62,'Données projet'!$B$62,AI50+AH51-AQ50)))</f>
        <v>225.59999999999977</v>
      </c>
      <c r="AJ51" s="13">
        <f>AI51*VLOOKUP('Données projet'!$B$10,Paramètres!$A$1:$I$89,3,0)*VLOOKUP('Données projet'!$B$10,Paramètres!$A$1:$I$89,5,0)</f>
        <v>165.40991999999983</v>
      </c>
      <c r="AK51" s="13">
        <f t="shared" si="35"/>
        <v>42.060366422582085</v>
      </c>
      <c r="AL51" s="20">
        <f t="shared" si="4"/>
        <v>361.3440821859968</v>
      </c>
      <c r="AM51" s="59">
        <f t="shared" si="5"/>
        <v>654.67741551933011</v>
      </c>
      <c r="AN51" s="59">
        <f ca="1">AVERAGE(OFFSET($AM$3,0,0,'Données projet'!$E$10+1,1))-AVERAGE(OFFSET($H$3,0,0,'Données projet'!$E$10+1,1))</f>
        <v>178.12968684094687</v>
      </c>
      <c r="AO51" s="59">
        <f t="shared" si="36"/>
        <v>219.36004077210373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4.6676417197493061</v>
      </c>
      <c r="AW51" s="21">
        <f>EXP(-LN(2)/2)*AW50+(1-EXP(-LN(2)/2))/(LN(2)/2)*AQ51*AT51*VLOOKUP('Données projet'!$B$10,Paramètres!$A$1:$I$89,3,0)*0.475*44/12</f>
        <v>1.9370145698581108E-2</v>
      </c>
      <c r="AX51" s="21">
        <f t="shared" si="6"/>
        <v>4.6870118654478876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5.2</v>
      </c>
      <c r="BD51" s="12">
        <f>IF('Données projet'!$A$88&gt;35,BD50+BC51-BL50,IF(A51&lt;'Données projet'!$A$88,$BA$205^A51,IF(A51='Données projet'!$A$88,'Données projet'!$B$88,BD50+BC51-BL50)))</f>
        <v>143.59999999999997</v>
      </c>
      <c r="BE51" s="13">
        <f>BD51*VLOOKUP('Données projet'!$B$11,Paramètres!$A$1:$I$89,3,0)*VLOOKUP('Données projet'!$B$11,Paramètres!$A$1:$I$89,5,0)</f>
        <v>125.44895999999997</v>
      </c>
      <c r="BF51" s="13">
        <f t="shared" si="37"/>
        <v>32.942576545548221</v>
      </c>
      <c r="BG51" s="20">
        <f t="shared" si="7"/>
        <v>275.86525948349646</v>
      </c>
      <c r="BH51" s="59">
        <f t="shared" si="8"/>
        <v>569.19859281682977</v>
      </c>
      <c r="BI51" s="59">
        <f ca="1">AVERAGE(OFFSET($BH$3,0,0,'Données projet'!$E$11+1,1))-AVERAGE(OFFSET($H$3,0,0,'Données projet'!$E$11+1,1))</f>
        <v>114.02623091248347</v>
      </c>
      <c r="BJ51" s="59">
        <f t="shared" si="38"/>
        <v>185.51554083721635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1.3665031052549796</v>
      </c>
      <c r="BQ51" s="21">
        <f>EXP(-LN(2)/25)*BQ50+(1-EXP(-LN(2)/25))/(LN(2)/25)*Calculateur!BL51*Calculateur!BN51*VLOOKUP('Données projet'!$B$11,Paramètres!$A$1:$I$89,3,0)*0.475*44/12</f>
        <v>6.8335680520350559</v>
      </c>
      <c r="BR51" s="21">
        <f>EXP(-LN(2)/2)*BR50+(1-EXP(-LN(2)/2))/(LN(2)/2)*BL51*BO51*VLOOKUP('Données projet'!$B$11,Paramètres!$A$1:$I$89,3,0)*0.475*44/12</f>
        <v>3.4451705878172506E-2</v>
      </c>
      <c r="BS51" s="22">
        <f t="shared" si="9"/>
        <v>8.234522863168209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8.3000000000000007</v>
      </c>
      <c r="BY51" s="12">
        <f>IF('Données projet'!$A$114&gt;35,BY50+BX51-CG50,IF(A51&lt;'Données projet'!$A$114,$BV$205^A51,IF(A51='Données projet'!$A$114,'Données projet'!$B$114,BY50+BX51-CG50)))</f>
        <v>182.40000000000003</v>
      </c>
      <c r="BZ51" s="13">
        <f>BY51*VLOOKUP('Données projet'!$B$12,Paramètres!$A$1:$I$89,3,0)*VLOOKUP('Données projet'!$B$12,Paramètres!$A$1:$I$89,5,0)</f>
        <v>165.03552000000002</v>
      </c>
      <c r="CA51" s="13">
        <f t="shared" si="39"/>
        <v>41.976234598846517</v>
      </c>
      <c r="CB51" s="20">
        <f t="shared" si="10"/>
        <v>360.54547259299108</v>
      </c>
      <c r="CC51" s="59">
        <f t="shared" si="11"/>
        <v>653.87880592632439</v>
      </c>
      <c r="CD51" s="59">
        <f ca="1">AVERAGE(OFFSET($CC$3,0,0,'Données projet'!$E$12+1,1))-AVERAGE(OFFSET($H$3,0,0,'Données projet'!$E$12+1,1))</f>
        <v>237.22177246688199</v>
      </c>
      <c r="CE51" s="59">
        <f t="shared" si="40"/>
        <v>149.27472147904302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1.8856071201422742</v>
      </c>
      <c r="CM51" s="21">
        <f>EXP(-LN(2)/2)*CM50+(1-EXP(-LN(2)/2))/(LN(2)/2)*CG51*CJ51*VLOOKUP('Données projet'!$B$12,Paramètres!$A$1:$I$89,3,0)*0.475*44/12</f>
        <v>1.2088570028180522E-2</v>
      </c>
      <c r="CN51" s="22">
        <f t="shared" si="12"/>
        <v>1.8976956901704547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19.2</v>
      </c>
      <c r="CT51" s="12">
        <f>IF('Données projet'!$A$140&gt;35,CT50+CS51-DB50,IF(A51&lt;'Données projet'!$A$140,$CQ$205^A51,IF(A51='Données projet'!$A$140,'Données projet'!$B$140,CT50+CS51-DB50)))</f>
        <v>470.5999999999998</v>
      </c>
      <c r="CU51" s="17">
        <f>CT51*VLOOKUP('Données projet'!$B$13,Paramètres!$A$1:$I$89,3,0)*VLOOKUP('Données projet'!$B$13,Paramètres!$A$1:$I$89,5,0)</f>
        <v>263.0653999999999</v>
      </c>
      <c r="CV51" s="13">
        <f t="shared" si="41"/>
        <v>63.375350953508303</v>
      </c>
      <c r="CW51" s="20">
        <f t="shared" si="13"/>
        <v>568.55097457736008</v>
      </c>
      <c r="CX51" s="59">
        <f t="shared" si="14"/>
        <v>861.88430791069345</v>
      </c>
      <c r="CY51" s="59">
        <f ca="1">AVERAGE(OFFSET($CX$3,0,0,'Données projet'!$E$13+1,1))-AVERAGE(OFFSET($H$3,0,0,'Données projet'!$E$13+1,1))</f>
        <v>326.31232746914907</v>
      </c>
      <c r="CZ51" s="59">
        <f t="shared" si="42"/>
        <v>330.17137761430297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3.1981987569797403</v>
      </c>
      <c r="DG51" s="21">
        <f>EXP(-LN(2)/25)*DG50+(1-EXP(-LN(2)/25))/(LN(2)/25)*Calculateur!DB51*Calculateur!DD51*VLOOKUP('Données projet'!$B$13,Paramètres!$A$1:$I$89,3,0)*0.475*44/12</f>
        <v>18.317919717386225</v>
      </c>
      <c r="DH51" s="21">
        <f>EXP(-LN(2)/2)*DH50+(1-EXP(-LN(2)/2))/(LN(2)/2)*DB51*DE51*VLOOKUP('Données projet'!$B$13,Paramètres!$A$1:$I$89,3,0)*0.475*44/12</f>
        <v>6.3519703848506331E-2</v>
      </c>
      <c r="DI51" s="22">
        <f t="shared" si="15"/>
        <v>21.57963817821447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11</v>
      </c>
      <c r="DO51" s="12">
        <f>IF('Données projet'!$A$166&gt;35,DO50+DN51-DW50,IF(A51&lt;'Données projet'!$A$166,$DL$205^A51,IF(A51='Données projet'!$A$166,'Données projet'!$B$166,DO50+DN51-DW50)))</f>
        <v>301.00000000000017</v>
      </c>
      <c r="DP51" s="17">
        <f>DO51*VLOOKUP('Données projet'!$B$14,Paramètres!$A$1:$I$89,3,0)*VLOOKUP('Données projet'!$B$14,Paramètres!$A$1:$I$89,5,0)</f>
        <v>187.8240000000001</v>
      </c>
      <c r="DQ51" s="13">
        <f t="shared" si="43"/>
        <v>47.05854810918273</v>
      </c>
      <c r="DR51" s="20">
        <f t="shared" si="16"/>
        <v>409.08710462349342</v>
      </c>
      <c r="DS51" s="59">
        <f t="shared" si="17"/>
        <v>702.42043795682673</v>
      </c>
      <c r="DT51" s="59">
        <f ca="1">AVERAGE(OFFSET($DS$3,0,0,'Données projet'!$E$14+1,1))-AVERAGE(OFFSET($H$3,0,0,'Données projet'!$E$14+1,1))</f>
        <v>209.93608079129638</v>
      </c>
      <c r="DU51" s="59">
        <f t="shared" si="44"/>
        <v>240.15652428700969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4.8682940909628147</v>
      </c>
      <c r="EB51" s="21">
        <f>EXP(-LN(2)/25)*EB50+(1-EXP(-LN(2)/25))/(LN(2)/25)*Calculateur!DW51*Calculateur!DY51*VLOOKUP('Données projet'!$B$14,Paramètres!$A$1:$I$89,3,0)*0.475*44/12</f>
        <v>12.620286053391462</v>
      </c>
      <c r="EC51" s="21">
        <f>EXP(-LN(2)/2)*EC50+(1-EXP(-LN(2)/2))/(LN(2)/2)*DW51*DZ51*VLOOKUP('Données projet'!$B$14,Paramètres!$A$1:$I$89,3,0)*0.475*44/12</f>
        <v>3.9435186530693563E-2</v>
      </c>
      <c r="ED51" s="22">
        <f t="shared" si="18"/>
        <v>17.528015330884969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12.8</v>
      </c>
      <c r="EJ51" s="12">
        <f>IF('Données projet'!$A$192&gt;35,EJ50+EI51-ER50,IF(A51&lt;'Données projet'!$A$192,$EG$205^A51,IF(A51='Données projet'!$A$192,'Données projet'!$B$192,EJ50+EI51-ER50)))</f>
        <v>317.39999999999998</v>
      </c>
      <c r="EK51" s="17">
        <f>EJ51*VLOOKUP('Données projet'!$B$15,Paramètres!$A$1:$I$89,3,0)*VLOOKUP('Données projet'!$B$15,Paramètres!$A$1:$I$89,5,0)</f>
        <v>189.80519999999999</v>
      </c>
      <c r="EL51" s="13">
        <f t="shared" si="45"/>
        <v>47.496882766206909</v>
      </c>
      <c r="EM51" s="20">
        <f t="shared" si="19"/>
        <v>413.30112748447704</v>
      </c>
      <c r="EN51" s="59">
        <f t="shared" si="20"/>
        <v>706.63446081781035</v>
      </c>
      <c r="EO51" s="59">
        <f ca="1">AVERAGE(OFFSET($EN$3,0,0,'Données projet'!$E$15+1,1))-AVERAGE(OFFSET($H$3,0,0,'Données projet'!$E$15+1,1))</f>
        <v>216.94426559495264</v>
      </c>
      <c r="EP51" s="59">
        <f t="shared" si="46"/>
        <v>225.33715877618704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7.8007550364501501</v>
      </c>
      <c r="EX51" s="21">
        <f>EXP(-LN(2)/2)*EX50+(1-EXP(-LN(2)/2))/(LN(2)/2)*ER51*EU51*VLOOKUP('Données projet'!$B$15,Paramètres!$A$1:$I$89,3,0)*0.475*44/12</f>
        <v>4.6346406003552679E-2</v>
      </c>
      <c r="EY51" s="22">
        <f t="shared" si="21"/>
        <v>7.8471014424537024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5.875</v>
      </c>
      <c r="FE51" s="12">
        <f>IF('Données projet'!$A$218&gt;35,FE50+FD51-FM50,IF(A51&lt;'Données projet'!$A$218,$FB$205^A51,IF(A51='Données projet'!$A$218,'Données projet'!$B$218,FE50+FD51-FM50)))</f>
        <v>275.75</v>
      </c>
      <c r="FF51" s="17">
        <f>FE51*VLOOKUP('Données projet'!$B$16,Paramètres!$A$1:$I$89,3,0)*VLOOKUP('Données projet'!$B$16,Paramètres!$A$1:$I$89,5,0)</f>
        <v>164.89850000000001</v>
      </c>
      <c r="FG51" s="13">
        <f t="shared" si="47"/>
        <v>41.94543913753872</v>
      </c>
      <c r="FH51" s="20">
        <f t="shared" si="22"/>
        <v>360.25319399788003</v>
      </c>
      <c r="FI51" s="59">
        <f t="shared" si="23"/>
        <v>653.58652733121335</v>
      </c>
      <c r="FJ51" s="59">
        <f ca="1">AVERAGE(OFFSET($FI$3,0,0,'Données projet'!$E$16+1,1))-AVERAGE(OFFSET($H$3,0,0,'Données projet'!$E$16+1,1))</f>
        <v>168.08890945052406</v>
      </c>
      <c r="FK51" s="59">
        <f t="shared" si="48"/>
        <v>182.52462557642343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4.3494514916616787</v>
      </c>
      <c r="FR51" s="21">
        <f>EXP(-LN(2)/25)*FR50+(1-EXP(-LN(2)/25))/(LN(2)/25)*Calculateur!FM51*Calculateur!FO51*VLOOKUP('Données projet'!$B$16,Paramètres!$A$1:$I$89,3,0)*0.475*44/12</f>
        <v>7.4860470752012054</v>
      </c>
      <c r="FS51" s="21">
        <f>EXP(-LN(2)/2)*FS50+(1-EXP(-LN(2)/2))/(LN(2)/2)*FM51*FP51*VLOOKUP('Données projet'!$B$16,Paramètres!$A$1:$I$89,3,0)*0.475*44/12</f>
        <v>1.0636117918113589E-2</v>
      </c>
      <c r="FT51" s="22">
        <f t="shared" si="24"/>
        <v>11.846134684780999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13.2</v>
      </c>
      <c r="FZ51" s="12">
        <f>IF('Données projet'!$A$244&gt;35,FZ50+FY51-GH50,IF(A51&lt;'Données projet'!$A$244,$FW$205^A51,IF(A51='Données projet'!$A$244,'Données projet'!$B$244,FZ50+FY51-GH50)))</f>
        <v>284.59999999999997</v>
      </c>
      <c r="GA51" s="17">
        <f>FZ51*VLOOKUP('Données projet'!$B$17,Paramètres!$A$1:$I$89,3,0)*VLOOKUP('Données projet'!$B$17,Paramètres!$A$1:$I$89,5,0)</f>
        <v>162.7912</v>
      </c>
      <c r="GB51" s="13">
        <f t="shared" si="49"/>
        <v>41.471443274907386</v>
      </c>
      <c r="GC51" s="20">
        <f t="shared" si="25"/>
        <v>355.75743703713033</v>
      </c>
      <c r="GD51" s="59">
        <f t="shared" si="26"/>
        <v>649.09077037046359</v>
      </c>
      <c r="GE51" s="59">
        <f ca="1">AVERAGE(OFFSET($GD$3,0,0,'Données projet'!$E$17+1,1))-AVERAGE(OFFSET($H$3,0,0,'Données projet'!$E$17+1,1))</f>
        <v>196.95560009657527</v>
      </c>
      <c r="GF51" s="59">
        <f t="shared" si="50"/>
        <v>168.90186968005662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0</v>
      </c>
      <c r="GM51" s="21">
        <f>EXP(-LN(2)/25)*GM50+(1-EXP(-LN(2)/25))/(LN(2)/25)*Calculateur!GH51*Calculateur!GJ51*VLOOKUP('Données projet'!$B$17,Paramètres!$A$1:$I$89,3,0)*0.475*44/12</f>
        <v>5.6040794448934843</v>
      </c>
      <c r="GN51" s="21">
        <f>EXP(-LN(2)/2)*GN50+(1-EXP(-LN(2)/2))/(LN(2)/2)*GH51*GK51*VLOOKUP('Données projet'!$B$17,Paramètres!$A$1:$I$89,3,0)*0.475*44/12</f>
        <v>2.5116363969189009E-2</v>
      </c>
      <c r="GO51" s="21">
        <f t="shared" si="27"/>
        <v>5.629195808862673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11.499999999999996</v>
      </c>
      <c r="N52" s="13">
        <f>IF('Données projet'!$A$36&gt;35,N51+M52-V51,IF(A52&lt;'Données projet'!$A$36,$K$205^A52,IF(A52='Données projet'!$A$36,'Données projet'!$B$36,N51+M52-V51)))</f>
        <v>311.69999999999987</v>
      </c>
      <c r="O52" s="13">
        <f>N52*VLOOKUP('Données projet'!$B$9,Paramètres!$A$1:$I$89,3,0)*VLOOKUP('Données projet'!$B$9,Paramètres!$A$1:$I$89,5,0)</f>
        <v>145.87559999999993</v>
      </c>
      <c r="P52" s="13">
        <f t="shared" si="33"/>
        <v>37.639785440563628</v>
      </c>
      <c r="Q52" s="20">
        <f t="shared" si="53"/>
        <v>319.62262964231485</v>
      </c>
      <c r="R52" s="59">
        <f t="shared" si="0"/>
        <v>612.95596297564816</v>
      </c>
      <c r="S52" s="59">
        <f ca="1">AVERAGE(OFFSET($R$3,0,0,'Données projet'!$E$9+1,1))-AVERAGE(OFFSET($H$3,0,0,'Données projet'!$E$9+1,1))</f>
        <v>215.23235148064941</v>
      </c>
      <c r="T52" s="59">
        <f t="shared" si="34"/>
        <v>184.07239726900434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2.1516087256136793</v>
      </c>
      <c r="AA52" s="21">
        <f>EXP(-LN(2)/25)*AA51+(1-EXP(-LN(2)/25))/(LN(2)/25)*Calculateur!V52*Calculateur!X52*VLOOKUP('Données projet'!$B$9,Paramètres!$A$1:$I$89,3,0)*0.475*44/12</f>
        <v>4.638622877093634</v>
      </c>
      <c r="AB52" s="21">
        <f>EXP(-LN(2)/2)*AB51+(1-EXP(-LN(2)/2))/(LN(2)/2)*V52*Y52*VLOOKUP('Données projet'!$B$9,Paramètres!$A$1:$I$89,3,0)*0.475*44/12</f>
        <v>1.3578903638750346E-2</v>
      </c>
      <c r="AC52" s="22">
        <f t="shared" si="3"/>
        <v>6.8038105063460641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7.7</v>
      </c>
      <c r="AI52" s="13">
        <f>IF('Données projet'!$A$62&gt;35,AI51+AH52-AQ51,IF(A52&lt;'Données projet'!$A$62,$AF$205^A52,IF(A52='Données projet'!$A$62,'Données projet'!$B$62,AI51+AH52-AQ51)))</f>
        <v>233.29999999999976</v>
      </c>
      <c r="AJ52" s="13">
        <f>AI52*VLOOKUP('Données projet'!$B$10,Paramètres!$A$1:$I$89,3,0)*VLOOKUP('Données projet'!$B$10,Paramètres!$A$1:$I$89,5,0)</f>
        <v>171.05555999999982</v>
      </c>
      <c r="AK52" s="13">
        <f t="shared" si="35"/>
        <v>43.326348675621681</v>
      </c>
      <c r="AL52" s="20">
        <f t="shared" si="4"/>
        <v>373.38182427670745</v>
      </c>
      <c r="AM52" s="59">
        <f t="shared" si="5"/>
        <v>666.71515761004071</v>
      </c>
      <c r="AN52" s="59">
        <f ca="1">AVERAGE(OFFSET($AM$3,0,0,'Données projet'!$E$10+1,1))-AVERAGE(OFFSET($H$3,0,0,'Données projet'!$E$10+1,1))</f>
        <v>178.12968684094687</v>
      </c>
      <c r="AO52" s="59">
        <f t="shared" si="36"/>
        <v>219.36004077210373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4.5400048114621514</v>
      </c>
      <c r="AW52" s="21">
        <f>EXP(-LN(2)/2)*AW51+(1-EXP(-LN(2)/2))/(LN(2)/2)*AQ52*AT52*VLOOKUP('Données projet'!$B$10,Paramètres!$A$1:$I$89,3,0)*0.475*44/12</f>
        <v>1.3696761376038136E-2</v>
      </c>
      <c r="AX52" s="21">
        <f t="shared" si="6"/>
        <v>4.5537015728381895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5.2</v>
      </c>
      <c r="BD52" s="12">
        <f>IF('Données projet'!$A$88&gt;35,BD51+BC52-BL51,IF(A52&lt;'Données projet'!$A$88,$BA$205^A52,IF(A52='Données projet'!$A$88,'Données projet'!$B$88,BD51+BC52-BL51)))</f>
        <v>148.79999999999995</v>
      </c>
      <c r="BE52" s="13">
        <f>BD52*VLOOKUP('Données projet'!$B$11,Paramètres!$A$1:$I$89,3,0)*VLOOKUP('Données projet'!$B$11,Paramètres!$A$1:$I$89,5,0)</f>
        <v>129.99167999999997</v>
      </c>
      <c r="BF52" s="13">
        <f t="shared" si="37"/>
        <v>33.994436817469854</v>
      </c>
      <c r="BG52" s="20">
        <f t="shared" si="7"/>
        <v>285.60915345709321</v>
      </c>
      <c r="BH52" s="59">
        <f t="shared" si="8"/>
        <v>578.94248679042653</v>
      </c>
      <c r="BI52" s="59">
        <f ca="1">AVERAGE(OFFSET($BH$3,0,0,'Données projet'!$E$11+1,1))-AVERAGE(OFFSET($H$3,0,0,'Données projet'!$E$11+1,1))</f>
        <v>114.02623091248347</v>
      </c>
      <c r="BJ52" s="59">
        <f t="shared" si="38"/>
        <v>185.51554083721635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1.3397068128455238</v>
      </c>
      <c r="BQ52" s="21">
        <f>EXP(-LN(2)/25)*BQ51+(1-EXP(-LN(2)/25))/(LN(2)/25)*Calculateur!BL52*Calculateur!BN52*VLOOKUP('Données projet'!$B$11,Paramètres!$A$1:$I$89,3,0)*0.475*44/12</f>
        <v>6.6467037742904314</v>
      </c>
      <c r="BR52" s="21">
        <f>EXP(-LN(2)/2)*BR51+(1-EXP(-LN(2)/2))/(LN(2)/2)*BL52*BO52*VLOOKUP('Données projet'!$B$11,Paramètres!$A$1:$I$89,3,0)*0.475*44/12</f>
        <v>2.436103484990022E-2</v>
      </c>
      <c r="BS52" s="22">
        <f t="shared" si="9"/>
        <v>8.0107716219858549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8.3000000000000007</v>
      </c>
      <c r="BY52" s="12">
        <f>IF('Données projet'!$A$114&gt;35,BY51+BX52-CG51,IF(A52&lt;'Données projet'!$A$114,$BV$205^A52,IF(A52='Données projet'!$A$114,'Données projet'!$B$114,BY51+BX52-CG51)))</f>
        <v>190.70000000000005</v>
      </c>
      <c r="BZ52" s="13">
        <f>BY52*VLOOKUP('Données projet'!$B$12,Paramètres!$A$1:$I$89,3,0)*VLOOKUP('Données projet'!$B$12,Paramètres!$A$1:$I$89,5,0)</f>
        <v>172.54536000000004</v>
      </c>
      <c r="CA52" s="13">
        <f t="shared" si="39"/>
        <v>43.65960552772448</v>
      </c>
      <c r="CB52" s="20">
        <f t="shared" si="10"/>
        <v>376.55698162745358</v>
      </c>
      <c r="CC52" s="59">
        <f t="shared" si="11"/>
        <v>669.8903149607869</v>
      </c>
      <c r="CD52" s="59">
        <f ca="1">AVERAGE(OFFSET($CC$3,0,0,'Données projet'!$E$12+1,1))-AVERAGE(OFFSET($H$3,0,0,'Données projet'!$E$12+1,1))</f>
        <v>237.22177246688199</v>
      </c>
      <c r="CE52" s="59">
        <f t="shared" si="40"/>
        <v>149.27472147904302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1.8340450942822148</v>
      </c>
      <c r="CM52" s="21">
        <f>EXP(-LN(2)/2)*CM51+(1-EXP(-LN(2)/2))/(LN(2)/2)*CG52*CJ52*VLOOKUP('Données projet'!$B$12,Paramètres!$A$1:$I$89,3,0)*0.475*44/12</f>
        <v>8.5479098417749009E-3</v>
      </c>
      <c r="CN52" s="22">
        <f t="shared" si="12"/>
        <v>1.8425930041239897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19.2</v>
      </c>
      <c r="CT52" s="12">
        <f>IF('Données projet'!$A$140&gt;35,CT51+CS52-DB51,IF(A52&lt;'Données projet'!$A$140,$CQ$205^A52,IF(A52='Données projet'!$A$140,'Données projet'!$B$140,CT51+CS52-DB51)))</f>
        <v>489.79999999999978</v>
      </c>
      <c r="CU52" s="17">
        <f>CT52*VLOOKUP('Données projet'!$B$13,Paramètres!$A$1:$I$89,3,0)*VLOOKUP('Données projet'!$B$13,Paramètres!$A$1:$I$89,5,0)</f>
        <v>273.79819999999989</v>
      </c>
      <c r="CV52" s="13">
        <f t="shared" si="41"/>
        <v>65.654686665964775</v>
      </c>
      <c r="CW52" s="20">
        <f t="shared" si="13"/>
        <v>591.21377760988844</v>
      </c>
      <c r="CX52" s="59">
        <f t="shared" si="14"/>
        <v>884.5471109432217</v>
      </c>
      <c r="CY52" s="59">
        <f ca="1">AVERAGE(OFFSET($CX$3,0,0,'Données projet'!$E$13+1,1))-AVERAGE(OFFSET($H$3,0,0,'Données projet'!$E$13+1,1))</f>
        <v>326.31232746914907</v>
      </c>
      <c r="CZ52" s="59">
        <f t="shared" si="42"/>
        <v>330.17137761430297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3.135484030063993</v>
      </c>
      <c r="DG52" s="21">
        <f>EXP(-LN(2)/25)*DG51+(1-EXP(-LN(2)/25))/(LN(2)/25)*Calculateur!DB52*Calculateur!DD52*VLOOKUP('Données projet'!$B$13,Paramètres!$A$1:$I$89,3,0)*0.475*44/12</f>
        <v>17.817015239416765</v>
      </c>
      <c r="DH52" s="21">
        <f>EXP(-LN(2)/2)*DH51+(1-EXP(-LN(2)/2))/(LN(2)/2)*DB52*DE52*VLOOKUP('Données projet'!$B$13,Paramètres!$A$1:$I$89,3,0)*0.475*44/12</f>
        <v>4.4915213330240067E-2</v>
      </c>
      <c r="DI52" s="22">
        <f t="shared" si="15"/>
        <v>20.997414482810996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11</v>
      </c>
      <c r="DO52" s="12">
        <f>IF('Données projet'!$A$166&gt;35,DO51+DN52-DW51,IF(A52&lt;'Données projet'!$A$166,$DL$205^A52,IF(A52='Données projet'!$A$166,'Données projet'!$B$166,DO51+DN52-DW51)))</f>
        <v>312.00000000000017</v>
      </c>
      <c r="DP52" s="17">
        <f>DO52*VLOOKUP('Données projet'!$B$14,Paramètres!$A$1:$I$89,3,0)*VLOOKUP('Données projet'!$B$14,Paramètres!$A$1:$I$89,5,0)</f>
        <v>194.6880000000001</v>
      </c>
      <c r="DQ52" s="13">
        <f t="shared" si="43"/>
        <v>48.57492822891502</v>
      </c>
      <c r="DR52" s="20">
        <f t="shared" si="16"/>
        <v>423.68293333202706</v>
      </c>
      <c r="DS52" s="59">
        <f t="shared" si="17"/>
        <v>717.01626666536038</v>
      </c>
      <c r="DT52" s="59">
        <f ca="1">AVERAGE(OFFSET($DS$3,0,0,'Données projet'!$E$14+1,1))-AVERAGE(OFFSET($H$3,0,0,'Données projet'!$E$14+1,1))</f>
        <v>209.93608079129638</v>
      </c>
      <c r="DU52" s="59">
        <f t="shared" si="44"/>
        <v>240.15652428700969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4.7728298132052291</v>
      </c>
      <c r="EB52" s="21">
        <f>EXP(-LN(2)/25)*EB51+(1-EXP(-LN(2)/25))/(LN(2)/25)*Calculateur!DW52*Calculateur!DY52*VLOOKUP('Données projet'!$B$14,Paramètres!$A$1:$I$89,3,0)*0.475*44/12</f>
        <v>12.275183667589474</v>
      </c>
      <c r="EC52" s="21">
        <f>EXP(-LN(2)/2)*EC51+(1-EXP(-LN(2)/2))/(LN(2)/2)*DW52*DZ52*VLOOKUP('Données projet'!$B$14,Paramètres!$A$1:$I$89,3,0)*0.475*44/12</f>
        <v>2.7884887813209819E-2</v>
      </c>
      <c r="ED52" s="22">
        <f t="shared" si="18"/>
        <v>17.075898368607909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12.8</v>
      </c>
      <c r="EJ52" s="12">
        <f>IF('Données projet'!$A$192&gt;35,EJ51+EI52-ER51,IF(A52&lt;'Données projet'!$A$192,$EG$205^A52,IF(A52='Données projet'!$A$192,'Données projet'!$B$192,EJ51+EI52-ER51)))</f>
        <v>330.2</v>
      </c>
      <c r="EK52" s="17">
        <f>EJ52*VLOOKUP('Données projet'!$B$15,Paramètres!$A$1:$I$89,3,0)*VLOOKUP('Données projet'!$B$15,Paramètres!$A$1:$I$89,5,0)</f>
        <v>197.45959999999999</v>
      </c>
      <c r="EL52" s="13">
        <f t="shared" si="45"/>
        <v>49.185450002435452</v>
      </c>
      <c r="EM52" s="20">
        <f t="shared" si="19"/>
        <v>429.57346208757502</v>
      </c>
      <c r="EN52" s="59">
        <f t="shared" si="20"/>
        <v>722.90679542090834</v>
      </c>
      <c r="EO52" s="59">
        <f ca="1">AVERAGE(OFFSET($EN$3,0,0,'Données projet'!$E$15+1,1))-AVERAGE(OFFSET($H$3,0,0,'Données projet'!$E$15+1,1))</f>
        <v>216.94426559495264</v>
      </c>
      <c r="EP52" s="59">
        <f t="shared" si="46"/>
        <v>225.33715877618704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7.5874429797545426</v>
      </c>
      <c r="EX52" s="21">
        <f>EXP(-LN(2)/2)*EX51+(1-EXP(-LN(2)/2))/(LN(2)/2)*ER52*EU52*VLOOKUP('Données projet'!$B$15,Paramètres!$A$1:$I$89,3,0)*0.475*44/12</f>
        <v>3.2771857968737016E-2</v>
      </c>
      <c r="EY52" s="22">
        <f t="shared" si="21"/>
        <v>7.6202148377232799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5.875</v>
      </c>
      <c r="FE52" s="12">
        <f>IF('Données projet'!$A$218&gt;35,FE51+FD52-FM51,IF(A52&lt;'Données projet'!$A$218,$FB$205^A52,IF(A52='Données projet'!$A$218,'Données projet'!$B$218,FE51+FD52-FM51)))</f>
        <v>281.625</v>
      </c>
      <c r="FF52" s="17">
        <f>FE52*VLOOKUP('Données projet'!$B$16,Paramètres!$A$1:$I$89,3,0)*VLOOKUP('Données projet'!$B$16,Paramètres!$A$1:$I$89,5,0)</f>
        <v>168.41175000000001</v>
      </c>
      <c r="FG52" s="13">
        <f t="shared" si="47"/>
        <v>42.73411432638013</v>
      </c>
      <c r="FH52" s="20">
        <f t="shared" si="22"/>
        <v>367.74571370177881</v>
      </c>
      <c r="FI52" s="59">
        <f t="shared" si="23"/>
        <v>661.07904703511213</v>
      </c>
      <c r="FJ52" s="59">
        <f ca="1">AVERAGE(OFFSET($FI$3,0,0,'Données projet'!$E$16+1,1))-AVERAGE(OFFSET($H$3,0,0,'Données projet'!$E$16+1,1))</f>
        <v>168.08890945052406</v>
      </c>
      <c r="FK52" s="59">
        <f t="shared" si="48"/>
        <v>182.52462557642343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4.2641614008136504</v>
      </c>
      <c r="FR52" s="21">
        <f>EXP(-LN(2)/25)*FR51+(1-EXP(-LN(2)/25))/(LN(2)/25)*Calculateur!FM52*Calculateur!FO52*VLOOKUP('Données projet'!$B$16,Paramètres!$A$1:$I$89,3,0)*0.475*44/12</f>
        <v>7.2813407242557222</v>
      </c>
      <c r="FS52" s="21">
        <f>EXP(-LN(2)/2)*FS51+(1-EXP(-LN(2)/2))/(LN(2)/2)*FM52*FP52*VLOOKUP('Données projet'!$B$16,Paramètres!$A$1:$I$89,3,0)*0.475*44/12</f>
        <v>7.5208711053978633E-3</v>
      </c>
      <c r="FT52" s="22">
        <f t="shared" si="24"/>
        <v>11.55302299617477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13.2</v>
      </c>
      <c r="FZ52" s="12">
        <f>IF('Données projet'!$A$244&gt;35,FZ51+FY52-GH51,IF(A52&lt;'Données projet'!$A$244,$FW$205^A52,IF(A52='Données projet'!$A$244,'Données projet'!$B$244,FZ51+FY52-GH51)))</f>
        <v>297.79999999999995</v>
      </c>
      <c r="GA52" s="17">
        <f>FZ52*VLOOKUP('Données projet'!$B$17,Paramètres!$A$1:$I$89,3,0)*VLOOKUP('Données projet'!$B$17,Paramètres!$A$1:$I$89,5,0)</f>
        <v>170.34159999999997</v>
      </c>
      <c r="GB52" s="13">
        <f t="shared" si="49"/>
        <v>43.166521681123569</v>
      </c>
      <c r="GC52" s="20">
        <f t="shared" si="25"/>
        <v>371.8599785946235</v>
      </c>
      <c r="GD52" s="59">
        <f t="shared" si="26"/>
        <v>665.19331192795676</v>
      </c>
      <c r="GE52" s="59">
        <f ca="1">AVERAGE(OFFSET($GD$3,0,0,'Données projet'!$E$17+1,1))-AVERAGE(OFFSET($H$3,0,0,'Données projet'!$E$17+1,1))</f>
        <v>196.95560009657527</v>
      </c>
      <c r="GF52" s="59">
        <f t="shared" si="50"/>
        <v>168.90186968005662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0</v>
      </c>
      <c r="GM52" s="21">
        <f>EXP(-LN(2)/25)*GM51+(1-EXP(-LN(2)/25))/(LN(2)/25)*Calculateur!GH52*Calculateur!GJ52*VLOOKUP('Données projet'!$B$17,Paramètres!$A$1:$I$89,3,0)*0.475*44/12</f>
        <v>5.4508355977671421</v>
      </c>
      <c r="GN52" s="21">
        <f>EXP(-LN(2)/2)*GN51+(1-EXP(-LN(2)/2))/(LN(2)/2)*GH52*GK52*VLOOKUP('Données projet'!$B$17,Paramètres!$A$1:$I$89,3,0)*0.475*44/12</f>
        <v>1.7759951281363019E-2</v>
      </c>
      <c r="GO52" s="21">
        <f t="shared" si="27"/>
        <v>5.468595549048505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323.2</v>
      </c>
      <c r="L53" s="12">
        <f>VLOOKUP(A53,'Données projet'!$A$35:$I$55,9,0)</f>
        <v>11.499999999999996</v>
      </c>
      <c r="M53" s="12">
        <f t="array" ref="M53">INDEX(L:L,MIN(IF(ISNUMBER(L53:L249),ROW(L53:L249),"")))</f>
        <v>11.499999999999996</v>
      </c>
      <c r="N53" s="13">
        <f>IF('Données projet'!$A$36&gt;35,N52+M53-V52,IF(A53&lt;'Données projet'!$A$36,$K$205^A53,IF(A53='Données projet'!$A$36,'Données projet'!$B$36,N52+M53-V52)))</f>
        <v>323.19999999999987</v>
      </c>
      <c r="O53" s="13">
        <f>N53*VLOOKUP('Données projet'!$B$9,Paramètres!$A$1:$I$89,3,0)*VLOOKUP('Données projet'!$B$9,Paramètres!$A$1:$I$89,5,0)</f>
        <v>151.25759999999994</v>
      </c>
      <c r="P53" s="13">
        <f t="shared" si="33"/>
        <v>38.864240713854024</v>
      </c>
      <c r="Q53" s="20">
        <f t="shared" si="53"/>
        <v>331.12887257662896</v>
      </c>
      <c r="R53" s="59">
        <f t="shared" si="0"/>
        <v>624.46220590996222</v>
      </c>
      <c r="S53" s="59">
        <f ca="1">AVERAGE(OFFSET($R$3,0,0,'Données projet'!$E$9+1,1))-AVERAGE(OFFSET($H$3,0,0,'Données projet'!$E$9+1,1))</f>
        <v>215.23235148064941</v>
      </c>
      <c r="T53" s="59">
        <f t="shared" si="34"/>
        <v>184.07239726900434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83.4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2.1094169908561335</v>
      </c>
      <c r="AA53" s="21">
        <f>EXP(-LN(2)/25)*AA52+(1-EXP(-LN(2)/25))/(LN(2)/25)*Calculateur!V53*Calculateur!X53*VLOOKUP('Données projet'!$B$9,Paramètres!$A$1:$I$89,3,0)*0.475*44/12</f>
        <v>4.5117794905849333</v>
      </c>
      <c r="AB53" s="21">
        <f>EXP(-LN(2)/2)*AB52+(1-EXP(-LN(2)/2))/(LN(2)/2)*V53*Y53*VLOOKUP('Données projet'!$B$9,Paramètres!$A$1:$I$89,3,0)*0.475*44/12</f>
        <v>9.6017348440390546E-3</v>
      </c>
      <c r="AC53" s="22">
        <f t="shared" si="3"/>
        <v>6.6307982162851058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241</v>
      </c>
      <c r="AG53" s="12">
        <f>VLOOKUP(A53,'Données projet'!$A$61:$I$81,9,0)</f>
        <v>7.7</v>
      </c>
      <c r="AH53" s="12">
        <f t="array" ref="AH53">INDEX(AG:AG,MIN(IF(ISNUMBER(AG53:AG249),ROW(AG53:AG249),"")))</f>
        <v>7.7</v>
      </c>
      <c r="AI53" s="13">
        <f>IF('Données projet'!$A$62&gt;35,AI52+AH53-AQ52,IF(A53&lt;'Données projet'!$A$62,$AF$205^A53,IF(A53='Données projet'!$A$62,'Données projet'!$B$62,AI52+AH53-AQ52)))</f>
        <v>240.99999999999974</v>
      </c>
      <c r="AJ53" s="13">
        <f>AI53*VLOOKUP('Données projet'!$B$10,Paramètres!$A$1:$I$89,3,0)*VLOOKUP('Données projet'!$B$10,Paramètres!$A$1:$I$89,5,0)</f>
        <v>176.7011999999998</v>
      </c>
      <c r="AK53" s="13">
        <f t="shared" si="35"/>
        <v>44.587475741993309</v>
      </c>
      <c r="AL53" s="20">
        <f t="shared" si="4"/>
        <v>385.41111025063793</v>
      </c>
      <c r="AM53" s="59">
        <f t="shared" si="5"/>
        <v>678.74444358397125</v>
      </c>
      <c r="AN53" s="59">
        <f ca="1">AVERAGE(OFFSET($AM$3,0,0,'Données projet'!$E$10+1,1))-AVERAGE(OFFSET($H$3,0,0,'Données projet'!$E$10+1,1))</f>
        <v>178.12968684094687</v>
      </c>
      <c r="AO53" s="59">
        <f t="shared" si="36"/>
        <v>219.36004077210373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39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4.4158581411442421</v>
      </c>
      <c r="AW53" s="21">
        <f>EXP(-LN(2)/2)*AW52+(1-EXP(-LN(2)/2))/(LN(2)/2)*AQ53*AT53*VLOOKUP('Données projet'!$B$10,Paramètres!$A$1:$I$89,3,0)*0.475*44/12</f>
        <v>9.685072849290554E-3</v>
      </c>
      <c r="AX53" s="21">
        <f t="shared" si="6"/>
        <v>4.4255432139935325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154</v>
      </c>
      <c r="BB53" s="12">
        <f>VLOOKUP(A53,'Données projet'!$A$87:$I$107,9,0)</f>
        <v>5.2</v>
      </c>
      <c r="BC53" s="12">
        <f t="array" ref="BC53">INDEX(BB:BB,MIN(IF(ISNUMBER(BB53:BB249),ROW(BB53:BB249),"")))</f>
        <v>5.2</v>
      </c>
      <c r="BD53" s="12">
        <f>IF('Données projet'!$A$88&gt;35,BD52+BC53-BL52,IF(A53&lt;'Données projet'!$A$88,$BA$205^A53,IF(A53='Données projet'!$A$88,'Données projet'!$B$88,BD52+BC53-BL52)))</f>
        <v>153.99999999999994</v>
      </c>
      <c r="BE53" s="13">
        <f>BD53*VLOOKUP('Données projet'!$B$11,Paramètres!$A$1:$I$89,3,0)*VLOOKUP('Données projet'!$B$11,Paramètres!$A$1:$I$89,5,0)</f>
        <v>134.53439999999998</v>
      </c>
      <c r="BF53" s="13">
        <f t="shared" si="37"/>
        <v>35.042026165482234</v>
      </c>
      <c r="BG53" s="20">
        <f t="shared" si="7"/>
        <v>295.34560890488154</v>
      </c>
      <c r="BH53" s="59">
        <f t="shared" si="8"/>
        <v>588.67894223821486</v>
      </c>
      <c r="BI53" s="59">
        <f ca="1">AVERAGE(OFFSET($BH$3,0,0,'Données projet'!$E$11+1,1))-AVERAGE(OFFSET($H$3,0,0,'Données projet'!$E$11+1,1))</f>
        <v>114.02623091248347</v>
      </c>
      <c r="BJ53" s="59">
        <f t="shared" si="38"/>
        <v>185.51554083721635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38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1.313435979386093</v>
      </c>
      <c r="BQ53" s="21">
        <f>EXP(-LN(2)/25)*BQ52+(1-EXP(-LN(2)/25))/(LN(2)/25)*Calculateur!BL53*Calculateur!BN53*VLOOKUP('Données projet'!$B$11,Paramètres!$A$1:$I$89,3,0)*0.475*44/12</f>
        <v>6.4649493100474995</v>
      </c>
      <c r="BR53" s="21">
        <f>EXP(-LN(2)/2)*BR52+(1-EXP(-LN(2)/2))/(LN(2)/2)*BL53*BO53*VLOOKUP('Données projet'!$B$11,Paramètres!$A$1:$I$89,3,0)*0.475*44/12</f>
        <v>1.7225852939086253E-2</v>
      </c>
      <c r="BS53" s="22">
        <f t="shared" si="9"/>
        <v>7.795611142372679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199</v>
      </c>
      <c r="BW53" s="12">
        <f>VLOOKUP(A53,'Données projet'!$A$113:$I$133,9,0)</f>
        <v>8.3000000000000007</v>
      </c>
      <c r="BX53" s="12">
        <f t="array" ref="BX53">INDEX(BW:BW,MIN(IF(ISNUMBER(BW53:BW249),ROW(BW53:BW249),"")))</f>
        <v>8.3000000000000007</v>
      </c>
      <c r="BY53" s="12">
        <f>IF('Données projet'!$A$114&gt;35,BY52+BX53-CG52,IF(A53&lt;'Données projet'!$A$114,$BV$205^A53,IF(A53='Données projet'!$A$114,'Données projet'!$B$114,BY52+BX53-CG52)))</f>
        <v>199.00000000000006</v>
      </c>
      <c r="BZ53" s="13">
        <f>BY53*VLOOKUP('Données projet'!$B$12,Paramètres!$A$1:$I$89,3,0)*VLOOKUP('Données projet'!$B$12,Paramètres!$A$1:$I$89,5,0)</f>
        <v>180.05520000000004</v>
      </c>
      <c r="CA53" s="13">
        <f t="shared" si="39"/>
        <v>45.334466930398399</v>
      </c>
      <c r="CB53" s="20">
        <f t="shared" si="10"/>
        <v>392.55366990377729</v>
      </c>
      <c r="CC53" s="59">
        <f t="shared" si="11"/>
        <v>685.88700323711055</v>
      </c>
      <c r="CD53" s="59">
        <f ca="1">AVERAGE(OFFSET($CC$3,0,0,'Données projet'!$E$12+1,1))-AVERAGE(OFFSET($H$3,0,0,'Données projet'!$E$12+1,1))</f>
        <v>237.22177246688199</v>
      </c>
      <c r="CE53" s="59">
        <f t="shared" si="40"/>
        <v>149.27472147904302</v>
      </c>
      <c r="CF53" s="15">
        <f>IF(ISNA(VLOOKUP(A53,'Données projet'!$A$113:$I$133,3,0)),0,VLOOKUP(A53,'Données projet'!$A$113:$I$133,3,0))</f>
        <v>3</v>
      </c>
      <c r="CG53" s="15">
        <f>IF(ISNA(VLOOKUP(A53,'Données projet'!$A$113:$I$133,4,0)),0,VLOOKUP(A53,'Données projet'!$A$113:$I$133,4,0))</f>
        <v>42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1.7838930347308279</v>
      </c>
      <c r="CM53" s="21">
        <f>EXP(-LN(2)/2)*CM52+(1-EXP(-LN(2)/2))/(LN(2)/2)*CG53*CJ53*VLOOKUP('Données projet'!$B$12,Paramètres!$A$1:$I$89,3,0)*0.475*44/12</f>
        <v>6.044285014090261E-3</v>
      </c>
      <c r="CN53" s="22">
        <f t="shared" si="12"/>
        <v>1.7899373197449182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509</v>
      </c>
      <c r="CR53" s="12">
        <f>VLOOKUP(A53,'Données projet'!$A$139:$I$159,9,0)</f>
        <v>19.2</v>
      </c>
      <c r="CS53" s="12">
        <f t="array" ref="CS53">INDEX(CR:CR,MIN(IF(ISNUMBER(CR53:CR249),ROW(CR53:CR249),"")))</f>
        <v>19.2</v>
      </c>
      <c r="CT53" s="12">
        <f>IF('Données projet'!$A$140&gt;35,CT52+CS53-DB52,IF(A53&lt;'Données projet'!$A$140,$CQ$205^A53,IF(A53='Données projet'!$A$140,'Données projet'!$B$140,CT52+CS53-DB52)))</f>
        <v>508.99999999999977</v>
      </c>
      <c r="CU53" s="17">
        <f>CT53*VLOOKUP('Données projet'!$B$13,Paramètres!$A$1:$I$89,3,0)*VLOOKUP('Données projet'!$B$13,Paramètres!$A$1:$I$89,5,0)</f>
        <v>284.53099999999989</v>
      </c>
      <c r="CV53" s="13">
        <f t="shared" si="41"/>
        <v>67.92364301353318</v>
      </c>
      <c r="CW53" s="20">
        <f t="shared" si="13"/>
        <v>613.85850324857017</v>
      </c>
      <c r="CX53" s="59">
        <f t="shared" si="14"/>
        <v>907.19183658190354</v>
      </c>
      <c r="CY53" s="59">
        <f ca="1">AVERAGE(OFFSET($CX$3,0,0,'Données projet'!$E$13+1,1))-AVERAGE(OFFSET($H$3,0,0,'Données projet'!$E$13+1,1))</f>
        <v>326.31232746914907</v>
      </c>
      <c r="CZ53" s="59">
        <f t="shared" si="42"/>
        <v>330.17137761430297</v>
      </c>
      <c r="DA53" s="15">
        <f>IF(ISNA(VLOOKUP(A53,'Données projet'!$A$139:$I$159,3,0)),0,VLOOKUP(A53,'Données projet'!$A$139:$I$159,3,0))</f>
        <v>4</v>
      </c>
      <c r="DB53" s="15">
        <f>IF(ISNA(VLOOKUP(A53,'Données projet'!$A$139:$I$159,4,0)),0,VLOOKUP(A53,'Données projet'!$A$139:$I$159,4,0))</f>
        <v>108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3.0739991006908571</v>
      </c>
      <c r="DG53" s="21">
        <f>EXP(-LN(2)/25)*DG52+(1-EXP(-LN(2)/25))/(LN(2)/25)*Calculateur!DB53*Calculateur!DD53*VLOOKUP('Données projet'!$B$13,Paramètres!$A$1:$I$89,3,0)*0.475*44/12</f>
        <v>17.329808020738803</v>
      </c>
      <c r="DH53" s="21">
        <f>EXP(-LN(2)/2)*DH52+(1-EXP(-LN(2)/2))/(LN(2)/2)*DB53*DE53*VLOOKUP('Données projet'!$B$13,Paramètres!$A$1:$I$89,3,0)*0.475*44/12</f>
        <v>3.1759851924253166E-2</v>
      </c>
      <c r="DI53" s="22">
        <f t="shared" si="15"/>
        <v>20.435566973353911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323</v>
      </c>
      <c r="DM53" s="12">
        <f>VLOOKUP(A53,'Données projet'!$A$165:$I$185,9,0)</f>
        <v>11</v>
      </c>
      <c r="DN53" s="12">
        <f t="array" ref="DN53">INDEX(DM:DM,MIN(IF(ISNUMBER(DM53:DM249),ROW(DM53:DM249),"")))</f>
        <v>11</v>
      </c>
      <c r="DO53" s="12">
        <f>IF('Données projet'!$A$166&gt;35,DO52+DN53-DW52,IF(A53&lt;'Données projet'!$A$166,$DL$205^A53,IF(A53='Données projet'!$A$166,'Données projet'!$B$166,DO52+DN53-DW52)))</f>
        <v>323.00000000000017</v>
      </c>
      <c r="DP53" s="17">
        <f>DO53*VLOOKUP('Données projet'!$B$14,Paramètres!$A$1:$I$89,3,0)*VLOOKUP('Données projet'!$B$14,Paramètres!$A$1:$I$89,5,0)</f>
        <v>201.55200000000011</v>
      </c>
      <c r="DQ53" s="13">
        <f t="shared" si="43"/>
        <v>50.08509675021061</v>
      </c>
      <c r="DR53" s="20">
        <f t="shared" si="16"/>
        <v>438.26794350661703</v>
      </c>
      <c r="DS53" s="59">
        <f t="shared" si="17"/>
        <v>731.60127683995029</v>
      </c>
      <c r="DT53" s="59">
        <f ca="1">AVERAGE(OFFSET($DS$3,0,0,'Données projet'!$E$14+1,1))-AVERAGE(OFFSET($H$3,0,0,'Données projet'!$E$14+1,1))</f>
        <v>209.93608079129638</v>
      </c>
      <c r="DU53" s="59">
        <f t="shared" si="44"/>
        <v>240.15652428700969</v>
      </c>
      <c r="DV53" s="15">
        <f>IF(ISNA(VLOOKUP(A53,'Données projet'!$A$165:$I$185,3,0)),0,VLOOKUP(A53,'Données projet'!$A$165:$I$185,3,0))</f>
        <v>4</v>
      </c>
      <c r="DW53" s="15">
        <f>IF(ISNA(VLOOKUP(A53,'Données projet'!$A$165:$I$185,4,0)),0,VLOOKUP(A53,'Données projet'!$A$165:$I$185,4,0))</f>
        <v>60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4.6792375317070096</v>
      </c>
      <c r="EB53" s="21">
        <f>EXP(-LN(2)/25)*EB52+(1-EXP(-LN(2)/25))/(LN(2)/25)*Calculateur!DW53*Calculateur!DY53*VLOOKUP('Données projet'!$B$14,Paramètres!$A$1:$I$89,3,0)*0.475*44/12</f>
        <v>11.939518124675386</v>
      </c>
      <c r="EC53" s="21">
        <f>EXP(-LN(2)/2)*EC52+(1-EXP(-LN(2)/2))/(LN(2)/2)*DW53*DZ53*VLOOKUP('Données projet'!$B$14,Paramètres!$A$1:$I$89,3,0)*0.475*44/12</f>
        <v>1.9717593265346781E-2</v>
      </c>
      <c r="ED53" s="22">
        <f t="shared" si="18"/>
        <v>16.638473249647745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343</v>
      </c>
      <c r="EH53" s="12">
        <f>VLOOKUP(A53,'Données projet'!$A$191:$I$211,9,0)</f>
        <v>12.8</v>
      </c>
      <c r="EI53" s="12">
        <f t="array" ref="EI53">INDEX(EH:EH,MIN(IF(ISNUMBER(EH53:EH249),ROW(EH53:EH249),"")))</f>
        <v>12.8</v>
      </c>
      <c r="EJ53" s="12">
        <f>IF('Données projet'!$A$192&gt;35,EJ52+EI53-ER52,IF(A53&lt;'Données projet'!$A$192,$EG$205^A53,IF(A53='Données projet'!$A$192,'Données projet'!$B$192,EJ52+EI53-ER52)))</f>
        <v>343</v>
      </c>
      <c r="EK53" s="17">
        <f>EJ53*VLOOKUP('Données projet'!$B$15,Paramètres!$A$1:$I$89,3,0)*VLOOKUP('Données projet'!$B$15,Paramètres!$A$1:$I$89,5,0)</f>
        <v>205.114</v>
      </c>
      <c r="EL53" s="13">
        <f t="shared" si="45"/>
        <v>50.86641328088507</v>
      </c>
      <c r="EM53" s="20">
        <f t="shared" si="19"/>
        <v>445.83255313087483</v>
      </c>
      <c r="EN53" s="59">
        <f t="shared" si="20"/>
        <v>739.16588646420814</v>
      </c>
      <c r="EO53" s="59">
        <f ca="1">AVERAGE(OFFSET($EN$3,0,0,'Données projet'!$E$15+1,1))-AVERAGE(OFFSET($H$3,0,0,'Données projet'!$E$15+1,1))</f>
        <v>216.94426559495264</v>
      </c>
      <c r="EP53" s="59">
        <f t="shared" si="46"/>
        <v>225.33715877618704</v>
      </c>
      <c r="EQ53" s="15">
        <f>IF(ISNA(VLOOKUP(A53,'Données projet'!$A$191:$I$211,3,0)),0,VLOOKUP(A53,'Données projet'!$A$191:$I$211,3,0))</f>
        <v>4</v>
      </c>
      <c r="ER53" s="15">
        <f>IF(ISNA(VLOOKUP(A53,'Données projet'!$A$191:$I$211,4,0)),0,VLOOKUP(A53,'Données projet'!$A$191:$I$211,4,0))</f>
        <v>70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7.3799639524668699</v>
      </c>
      <c r="EX53" s="21">
        <f>EXP(-LN(2)/2)*EX52+(1-EXP(-LN(2)/2))/(LN(2)/2)*ER53*EU53*VLOOKUP('Données projet'!$B$15,Paramètres!$A$1:$I$89,3,0)*0.475*44/12</f>
        <v>2.3173203001776339E-2</v>
      </c>
      <c r="EY53" s="22">
        <f t="shared" si="21"/>
        <v>7.403137155468646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5.875</v>
      </c>
      <c r="FE53" s="12">
        <f>IF('Données projet'!$A$218&gt;35,FE52+FD53-FM52,IF(A53&lt;'Données projet'!$A$218,$FB$205^A53,IF(A53='Données projet'!$A$218,'Données projet'!$B$218,FE52+FD53-FM52)))</f>
        <v>287.5</v>
      </c>
      <c r="FF53" s="17">
        <f>FE53*VLOOKUP('Données projet'!$B$16,Paramètres!$A$1:$I$89,3,0)*VLOOKUP('Données projet'!$B$16,Paramètres!$A$1:$I$89,5,0)</f>
        <v>171.92500000000001</v>
      </c>
      <c r="FG53" s="13">
        <f t="shared" si="47"/>
        <v>43.520876607827979</v>
      </c>
      <c r="FH53" s="20">
        <f t="shared" si="22"/>
        <v>375.23490175863367</v>
      </c>
      <c r="FI53" s="59">
        <f t="shared" si="23"/>
        <v>668.56823509196693</v>
      </c>
      <c r="FJ53" s="59">
        <f ca="1">AVERAGE(OFFSET($FI$3,0,0,'Données projet'!$E$16+1,1))-AVERAGE(OFFSET($H$3,0,0,'Données projet'!$E$16+1,1))</f>
        <v>168.08890945052406</v>
      </c>
      <c r="FK53" s="59">
        <f t="shared" si="48"/>
        <v>182.52462557642343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4.1805437966253338</v>
      </c>
      <c r="FR53" s="21">
        <f>EXP(-LN(2)/25)*FR52+(1-EXP(-LN(2)/25))/(LN(2)/25)*Calculateur!FM53*Calculateur!FO53*VLOOKUP('Données projet'!$B$16,Paramètres!$A$1:$I$89,3,0)*0.475*44/12</f>
        <v>7.0822320792418827</v>
      </c>
      <c r="FS53" s="21">
        <f>EXP(-LN(2)/2)*FS52+(1-EXP(-LN(2)/2))/(LN(2)/2)*FM53*FP53*VLOOKUP('Données projet'!$B$16,Paramètres!$A$1:$I$89,3,0)*0.475*44/12</f>
        <v>5.3180589590567954E-3</v>
      </c>
      <c r="FT53" s="22">
        <f t="shared" si="24"/>
        <v>11.268093934826274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311</v>
      </c>
      <c r="FX53" s="12">
        <f>VLOOKUP(A53,'Données projet'!$A$243:$I$263,9,0)</f>
        <v>13.2</v>
      </c>
      <c r="FY53" s="12">
        <f t="array" ref="FY53">INDEX(FX:FX,MIN(IF(ISNUMBER(FX53:FX249),ROW(FX53:FX249),"")))</f>
        <v>13.2</v>
      </c>
      <c r="FZ53" s="12">
        <f>IF('Données projet'!$A$244&gt;35,FZ52+FY53-GH52,IF(A53&lt;'Données projet'!$A$244,$FW$205^A53,IF(A53='Données projet'!$A$244,'Données projet'!$B$244,FZ52+FY53-GH52)))</f>
        <v>310.99999999999994</v>
      </c>
      <c r="GA53" s="17">
        <f>FZ53*VLOOKUP('Données projet'!$B$17,Paramètres!$A$1:$I$89,3,0)*VLOOKUP('Données projet'!$B$17,Paramètres!$A$1:$I$89,5,0)</f>
        <v>177.89199999999997</v>
      </c>
      <c r="GB53" s="13">
        <f t="shared" si="49"/>
        <v>44.8528739442404</v>
      </c>
      <c r="GC53" s="20">
        <f t="shared" si="25"/>
        <v>387.94732211955193</v>
      </c>
      <c r="GD53" s="59">
        <f t="shared" si="26"/>
        <v>681.28065545288518</v>
      </c>
      <c r="GE53" s="59">
        <f ca="1">AVERAGE(OFFSET($GD$3,0,0,'Données projet'!$E$17+1,1))-AVERAGE(OFFSET($H$3,0,0,'Données projet'!$E$17+1,1))</f>
        <v>196.95560009657527</v>
      </c>
      <c r="GF53" s="59">
        <f t="shared" si="50"/>
        <v>168.90186968005662</v>
      </c>
      <c r="GG53" s="15">
        <f>IF(ISNA(VLOOKUP(A53,'Données projet'!$A$243:$I$263,3,0)),0,VLOOKUP(A53,'Données projet'!$A$243:$I$263,3,0))</f>
        <v>7</v>
      </c>
      <c r="GH53" s="15">
        <f>IF(ISNA(VLOOKUP(A53,'Données projet'!$A$243:$I$263,4,0)),0,VLOOKUP(A53,'Données projet'!$A$243:$I$263,4,0))</f>
        <v>37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0</v>
      </c>
      <c r="GM53" s="21">
        <f>EXP(-LN(2)/25)*GM52+(1-EXP(-LN(2)/25))/(LN(2)/25)*Calculateur!GH53*Calculateur!GJ53*VLOOKUP('Données projet'!$B$17,Paramètres!$A$1:$I$89,3,0)*0.475*44/12</f>
        <v>5.3017822116992139</v>
      </c>
      <c r="GN53" s="21">
        <f>EXP(-LN(2)/2)*GN52+(1-EXP(-LN(2)/2))/(LN(2)/2)*GH53*GK53*VLOOKUP('Données projet'!$B$17,Paramètres!$A$1:$I$89,3,0)*0.475*44/12</f>
        <v>1.2558181984594505E-2</v>
      </c>
      <c r="GO53" s="21">
        <f t="shared" si="27"/>
        <v>5.3143403936838087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13.499999999999996</v>
      </c>
      <c r="N54" s="13">
        <f>IF('Données projet'!$A$36&gt;35,N53+M54-V53,IF(A54&lt;'Données projet'!$A$36,$K$205^A54,IF(A54='Données projet'!$A$36,'Données projet'!$B$36,N53+M54-V53)))</f>
        <v>253.29999999999987</v>
      </c>
      <c r="O54" s="13">
        <f>N54*VLOOKUP('Données projet'!$B$9,Paramètres!$A$1:$I$89,3,0)*VLOOKUP('Données projet'!$B$9,Paramètres!$A$1:$I$89,5,0)</f>
        <v>118.54439999999994</v>
      </c>
      <c r="P54" s="13">
        <f t="shared" si="33"/>
        <v>31.3352637371359</v>
      </c>
      <c r="Q54" s="20">
        <f t="shared" si="53"/>
        <v>261.04041434217822</v>
      </c>
      <c r="R54" s="59">
        <f t="shared" si="0"/>
        <v>554.37374767551159</v>
      </c>
      <c r="S54" s="59">
        <f ca="1">AVERAGE(OFFSET($R$3,0,0,'Données projet'!$E$9+1,1))-AVERAGE(OFFSET($H$3,0,0,'Données projet'!$E$9+1,1))</f>
        <v>215.23235148064941</v>
      </c>
      <c r="T54" s="59">
        <f t="shared" si="34"/>
        <v>184.07239726900434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2.0680526102827663</v>
      </c>
      <c r="AA54" s="21">
        <f>EXP(-LN(2)/25)*AA53+(1-EXP(-LN(2)/25))/(LN(2)/25)*Calculateur!V54*Calculateur!X54*VLOOKUP('Données projet'!$B$9,Paramètres!$A$1:$I$89,3,0)*0.475*44/12</f>
        <v>4.3884046431507171</v>
      </c>
      <c r="AB54" s="21">
        <f>EXP(-LN(2)/2)*AB53+(1-EXP(-LN(2)/2))/(LN(2)/2)*V54*Y54*VLOOKUP('Données projet'!$B$9,Paramètres!$A$1:$I$89,3,0)*0.475*44/12</f>
        <v>6.7894518193751729E-3</v>
      </c>
      <c r="AC54" s="22">
        <f t="shared" si="3"/>
        <v>6.4632467052528586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5.6</v>
      </c>
      <c r="AI54" s="13">
        <f>IF('Données projet'!$A$62&gt;35,AI53+AH54-AQ53,IF(A54&lt;'Données projet'!$A$62,$AF$205^A54,IF(A54='Données projet'!$A$62,'Données projet'!$B$62,AI53+AH54-AQ53)))</f>
        <v>207.59999999999974</v>
      </c>
      <c r="AJ54" s="13">
        <f>AI54*VLOOKUP('Données projet'!$B$10,Paramètres!$A$1:$I$89,3,0)*VLOOKUP('Données projet'!$B$10,Paramètres!$A$1:$I$89,5,0)</f>
        <v>152.21231999999981</v>
      </c>
      <c r="AK54" s="13">
        <f t="shared" si="35"/>
        <v>39.08091407255835</v>
      </c>
      <c r="AL54" s="20">
        <f t="shared" si="4"/>
        <v>333.16904934303881</v>
      </c>
      <c r="AM54" s="59">
        <f t="shared" si="5"/>
        <v>626.50238267637212</v>
      </c>
      <c r="AN54" s="59">
        <f ca="1">AVERAGE(OFFSET($AM$3,0,0,'Données projet'!$E$10+1,1))-AVERAGE(OFFSET($H$3,0,0,'Données projet'!$E$10+1,1))</f>
        <v>178.12968684094687</v>
      </c>
      <c r="AO54" s="59">
        <f t="shared" si="36"/>
        <v>219.36004077210373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4.2951062680547656</v>
      </c>
      <c r="AW54" s="21">
        <f>EXP(-LN(2)/2)*AW53+(1-EXP(-LN(2)/2))/(LN(2)/2)*AQ54*AT54*VLOOKUP('Données projet'!$B$10,Paramètres!$A$1:$I$89,3,0)*0.475*44/12</f>
        <v>6.8483806880190682E-3</v>
      </c>
      <c r="AX54" s="21">
        <f t="shared" si="6"/>
        <v>4.3019546487427842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4.0999999999999996</v>
      </c>
      <c r="BD54" s="12">
        <f>IF('Données projet'!$A$88&gt;35,BD53+BC54-BL53,IF(A54&lt;'Données projet'!$A$88,$BA$205^A54,IF(A54='Données projet'!$A$88,'Données projet'!$B$88,BD53+BC54-BL53)))</f>
        <v>120.09999999999994</v>
      </c>
      <c r="BE54" s="13">
        <f>BD54*VLOOKUP('Données projet'!$B$11,Paramètres!$A$1:$I$89,3,0)*VLOOKUP('Données projet'!$B$11,Paramètres!$A$1:$I$89,5,0)</f>
        <v>104.91935999999995</v>
      </c>
      <c r="BF54" s="13">
        <f t="shared" si="37"/>
        <v>28.130671678709401</v>
      </c>
      <c r="BG54" s="20">
        <f t="shared" si="7"/>
        <v>231.72880517375211</v>
      </c>
      <c r="BH54" s="59">
        <f t="shared" si="8"/>
        <v>525.06213850708536</v>
      </c>
      <c r="BI54" s="59">
        <f ca="1">AVERAGE(OFFSET($BH$3,0,0,'Données projet'!$E$11+1,1))-AVERAGE(OFFSET($H$3,0,0,'Données projet'!$E$11+1,1))</f>
        <v>114.02623091248347</v>
      </c>
      <c r="BJ54" s="59">
        <f t="shared" si="38"/>
        <v>185.51554083721635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1.2876803009471753</v>
      </c>
      <c r="BQ54" s="21">
        <f>EXP(-LN(2)/25)*BQ53+(1-EXP(-LN(2)/25))/(LN(2)/25)*Calculateur!BL54*Calculateur!BN54*VLOOKUP('Données projet'!$B$11,Paramètres!$A$1:$I$89,3,0)*0.475*44/12</f>
        <v>6.2881649311873424</v>
      </c>
      <c r="BR54" s="21">
        <f>EXP(-LN(2)/2)*BR53+(1-EXP(-LN(2)/2))/(LN(2)/2)*BL54*BO54*VLOOKUP('Données projet'!$B$11,Paramètres!$A$1:$I$89,3,0)*0.475*44/12</f>
        <v>1.218051742495011E-2</v>
      </c>
      <c r="BS54" s="22">
        <f t="shared" si="9"/>
        <v>7.5880257495594678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7.8</v>
      </c>
      <c r="BY54" s="12">
        <f>IF('Données projet'!$A$114&gt;35,BY53+BX54-CG53,IF(A54&lt;'Données projet'!$A$114,$BV$205^A54,IF(A54='Données projet'!$A$114,'Données projet'!$B$114,BY53+BX54-CG53)))</f>
        <v>164.80000000000007</v>
      </c>
      <c r="BZ54" s="13">
        <f>BY54*VLOOKUP('Données projet'!$B$12,Paramètres!$A$1:$I$89,3,0)*VLOOKUP('Données projet'!$B$12,Paramètres!$A$1:$I$89,5,0)</f>
        <v>149.11104000000006</v>
      </c>
      <c r="CA54" s="13">
        <f t="shared" si="39"/>
        <v>38.376496436982386</v>
      </c>
      <c r="CB54" s="20">
        <f t="shared" si="10"/>
        <v>326.54079262774445</v>
      </c>
      <c r="CC54" s="59">
        <f t="shared" si="11"/>
        <v>619.87412596107777</v>
      </c>
      <c r="CD54" s="59">
        <f ca="1">AVERAGE(OFFSET($CC$3,0,0,'Données projet'!$E$12+1,1))-AVERAGE(OFFSET($H$3,0,0,'Données projet'!$E$12+1,1))</f>
        <v>237.22177246688199</v>
      </c>
      <c r="CE54" s="59">
        <f t="shared" si="40"/>
        <v>149.27472147904302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1.735112385885256</v>
      </c>
      <c r="CM54" s="21">
        <f>EXP(-LN(2)/2)*CM53+(1-EXP(-LN(2)/2))/(LN(2)/2)*CG54*CJ54*VLOOKUP('Données projet'!$B$12,Paramètres!$A$1:$I$89,3,0)*0.475*44/12</f>
        <v>4.2739549208874504E-3</v>
      </c>
      <c r="CN54" s="22">
        <f t="shared" si="12"/>
        <v>1.7393863408061434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16.2</v>
      </c>
      <c r="CT54" s="12">
        <f>IF('Données projet'!$A$140&gt;35,CT53+CS54-DB53,IF(A54&lt;'Données projet'!$A$140,$CQ$205^A54,IF(A54='Données projet'!$A$140,'Données projet'!$B$140,CT53+CS54-DB53)))</f>
        <v>417.19999999999982</v>
      </c>
      <c r="CU54" s="17">
        <f>CT54*VLOOKUP('Données projet'!$B$13,Paramètres!$A$1:$I$89,3,0)*VLOOKUP('Données projet'!$B$13,Paramètres!$A$1:$I$89,5,0)</f>
        <v>233.21479999999991</v>
      </c>
      <c r="CV54" s="13">
        <f t="shared" si="41"/>
        <v>56.977233907865298</v>
      </c>
      <c r="CW54" s="20">
        <f t="shared" si="13"/>
        <v>505.41779238953194</v>
      </c>
      <c r="CX54" s="59">
        <f t="shared" si="14"/>
        <v>798.75112572286525</v>
      </c>
      <c r="CY54" s="59">
        <f ca="1">AVERAGE(OFFSET($CX$3,0,0,'Données projet'!$E$13+1,1))-AVERAGE(OFFSET($H$3,0,0,'Données projet'!$E$13+1,1))</f>
        <v>326.31232746914907</v>
      </c>
      <c r="CZ54" s="59">
        <f t="shared" si="42"/>
        <v>330.17137761430297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3.0137198532806244</v>
      </c>
      <c r="DG54" s="21">
        <f>EXP(-LN(2)/25)*DG53+(1-EXP(-LN(2)/25))/(LN(2)/25)*Calculateur!DB54*Calculateur!DD54*VLOOKUP('Données projet'!$B$13,Paramètres!$A$1:$I$89,3,0)*0.475*44/12</f>
        <v>16.855923509076703</v>
      </c>
      <c r="DH54" s="21">
        <f>EXP(-LN(2)/2)*DH53+(1-EXP(-LN(2)/2))/(LN(2)/2)*DB54*DE54*VLOOKUP('Données projet'!$B$13,Paramètres!$A$1:$I$89,3,0)*0.475*44/12</f>
        <v>2.2457606665120033E-2</v>
      </c>
      <c r="DI54" s="22">
        <f t="shared" si="15"/>
        <v>19.892100969022447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8.8000000000000007</v>
      </c>
      <c r="DO54" s="12">
        <f>IF('Données projet'!$A$166&gt;35,DO53+DN54-DW53,IF(A54&lt;'Données projet'!$A$166,$DL$205^A54,IF(A54='Données projet'!$A$166,'Données projet'!$B$166,DO53+DN54-DW53)))</f>
        <v>271.80000000000018</v>
      </c>
      <c r="DP54" s="17">
        <f>DO54*VLOOKUP('Données projet'!$B$14,Paramètres!$A$1:$I$89,3,0)*VLOOKUP('Données projet'!$B$14,Paramètres!$A$1:$I$89,5,0)</f>
        <v>169.60320000000013</v>
      </c>
      <c r="DQ54" s="13">
        <f t="shared" si="43"/>
        <v>43.001141502019024</v>
      </c>
      <c r="DR54" s="20">
        <f t="shared" si="16"/>
        <v>370.28589478268333</v>
      </c>
      <c r="DS54" s="59">
        <f t="shared" si="17"/>
        <v>663.61922811601664</v>
      </c>
      <c r="DT54" s="59">
        <f ca="1">AVERAGE(OFFSET($DS$3,0,0,'Données projet'!$E$14+1,1))-AVERAGE(OFFSET($H$3,0,0,'Données projet'!$E$14+1,1))</f>
        <v>209.93608079129638</v>
      </c>
      <c r="DU54" s="59">
        <f t="shared" si="44"/>
        <v>240.15652428700969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4.587480537763315</v>
      </c>
      <c r="EB54" s="21">
        <f>EXP(-LN(2)/25)*EB53+(1-EXP(-LN(2)/25))/(LN(2)/25)*Calculateur!DW54*Calculateur!DY54*VLOOKUP('Données projet'!$B$14,Paramètres!$A$1:$I$89,3,0)*0.475*44/12</f>
        <v>11.613031373684167</v>
      </c>
      <c r="EC54" s="21">
        <f>EXP(-LN(2)/2)*EC53+(1-EXP(-LN(2)/2))/(LN(2)/2)*DW54*DZ54*VLOOKUP('Données projet'!$B$14,Paramètres!$A$1:$I$89,3,0)*0.475*44/12</f>
        <v>1.394244390660491E-2</v>
      </c>
      <c r="ED54" s="22">
        <f t="shared" si="18"/>
        <v>16.214454355354086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11.4</v>
      </c>
      <c r="EJ54" s="12">
        <f>IF('Données projet'!$A$192&gt;35,EJ53+EI54-ER53,IF(A54&lt;'Données projet'!$A$192,$EG$205^A54,IF(A54='Données projet'!$A$192,'Données projet'!$B$192,EJ53+EI54-ER53)))</f>
        <v>284.39999999999998</v>
      </c>
      <c r="EK54" s="17">
        <f>EJ54*VLOOKUP('Données projet'!$B$15,Paramètres!$A$1:$I$89,3,0)*VLOOKUP('Données projet'!$B$15,Paramètres!$A$1:$I$89,5,0)</f>
        <v>170.07119999999998</v>
      </c>
      <c r="EL54" s="13">
        <f t="shared" si="45"/>
        <v>43.105969628155904</v>
      </c>
      <c r="EM54" s="20">
        <f t="shared" si="19"/>
        <v>371.2835704357048</v>
      </c>
      <c r="EN54" s="59">
        <f t="shared" si="20"/>
        <v>664.61690376903812</v>
      </c>
      <c r="EO54" s="59">
        <f ca="1">AVERAGE(OFFSET($EN$3,0,0,'Données projet'!$E$15+1,1))-AVERAGE(OFFSET($H$3,0,0,'Données projet'!$E$15+1,1))</f>
        <v>216.94426559495264</v>
      </c>
      <c r="EP54" s="59">
        <f t="shared" si="46"/>
        <v>225.33715877618704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7.1781584500912263</v>
      </c>
      <c r="EX54" s="21">
        <f>EXP(-LN(2)/2)*EX53+(1-EXP(-LN(2)/2))/(LN(2)/2)*ER54*EU54*VLOOKUP('Données projet'!$B$15,Paramètres!$A$1:$I$89,3,0)*0.475*44/12</f>
        <v>1.6385928984368508E-2</v>
      </c>
      <c r="EY54" s="22">
        <f t="shared" si="21"/>
        <v>7.1945443790755945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5.875</v>
      </c>
      <c r="FE54" s="12">
        <f>IF('Données projet'!$A$218&gt;35,FE53+FD54-FM53,IF(A54&lt;'Données projet'!$A$218,$FB$205^A54,IF(A54='Données projet'!$A$218,'Données projet'!$B$218,FE53+FD54-FM53)))</f>
        <v>293.375</v>
      </c>
      <c r="FF54" s="17">
        <f>FE54*VLOOKUP('Données projet'!$B$16,Paramètres!$A$1:$I$89,3,0)*VLOOKUP('Données projet'!$B$16,Paramètres!$A$1:$I$89,5,0)</f>
        <v>175.43825000000004</v>
      </c>
      <c r="FG54" s="13">
        <f t="shared" si="47"/>
        <v>44.305769576051844</v>
      </c>
      <c r="FH54" s="20">
        <f t="shared" si="22"/>
        <v>382.72083409495696</v>
      </c>
      <c r="FI54" s="59">
        <f t="shared" si="23"/>
        <v>676.05416742829027</v>
      </c>
      <c r="FJ54" s="59">
        <f ca="1">AVERAGE(OFFSET($FI$3,0,0,'Données projet'!$E$16+1,1))-AVERAGE(OFFSET($H$3,0,0,'Données projet'!$E$16+1,1))</f>
        <v>168.08890945052406</v>
      </c>
      <c r="FK54" s="59">
        <f t="shared" si="48"/>
        <v>182.52462557642343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4.098565882653447</v>
      </c>
      <c r="FR54" s="21">
        <f>EXP(-LN(2)/25)*FR53+(1-EXP(-LN(2)/25))/(LN(2)/25)*Calculateur!FM54*Calculateur!FO54*VLOOKUP('Données projet'!$B$16,Paramètres!$A$1:$I$89,3,0)*0.475*44/12</f>
        <v>6.888568070596615</v>
      </c>
      <c r="FS54" s="21">
        <f>EXP(-LN(2)/2)*FS53+(1-EXP(-LN(2)/2))/(LN(2)/2)*FM54*FP54*VLOOKUP('Données projet'!$B$16,Paramètres!$A$1:$I$89,3,0)*0.475*44/12</f>
        <v>3.7604355526989325E-3</v>
      </c>
      <c r="FT54" s="22">
        <f t="shared" si="24"/>
        <v>10.990894388802761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12.25</v>
      </c>
      <c r="FZ54" s="12">
        <f>IF('Données projet'!$A$244&gt;35,FZ53+FY54-GH53,IF(A54&lt;'Données projet'!$A$244,$FW$205^A54,IF(A54='Données projet'!$A$244,'Données projet'!$B$244,FZ53+FY54-GH53)))</f>
        <v>286.24999999999994</v>
      </c>
      <c r="GA54" s="17">
        <f>FZ54*VLOOKUP('Données projet'!$B$17,Paramètres!$A$1:$I$89,3,0)*VLOOKUP('Données projet'!$B$17,Paramètres!$A$1:$I$89,5,0)</f>
        <v>163.73499999999999</v>
      </c>
      <c r="GB54" s="13">
        <f t="shared" si="49"/>
        <v>41.683820360110872</v>
      </c>
      <c r="GC54" s="20">
        <f t="shared" si="25"/>
        <v>357.77111212719302</v>
      </c>
      <c r="GD54" s="59">
        <f t="shared" si="26"/>
        <v>651.10444546052634</v>
      </c>
      <c r="GE54" s="59">
        <f ca="1">AVERAGE(OFFSET($GD$3,0,0,'Données projet'!$E$17+1,1))-AVERAGE(OFFSET($H$3,0,0,'Données projet'!$E$17+1,1))</f>
        <v>196.95560009657527</v>
      </c>
      <c r="GF54" s="59">
        <f t="shared" si="50"/>
        <v>168.90186968005662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0</v>
      </c>
      <c r="GM54" s="21">
        <f>EXP(-LN(2)/25)*GM53+(1-EXP(-LN(2)/25))/(LN(2)/25)*Calculateur!GH54*Calculateur!GJ54*VLOOKUP('Données projet'!$B$17,Paramètres!$A$1:$I$89,3,0)*0.475*44/12</f>
        <v>5.1568046983116895</v>
      </c>
      <c r="GN54" s="21">
        <f>EXP(-LN(2)/2)*GN53+(1-EXP(-LN(2)/2))/(LN(2)/2)*GH54*GK54*VLOOKUP('Données projet'!$B$17,Paramètres!$A$1:$I$89,3,0)*0.475*44/12</f>
        <v>8.8799756406815096E-3</v>
      </c>
      <c r="GO54" s="21">
        <f t="shared" si="27"/>
        <v>5.165684673952371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13.499999999999996</v>
      </c>
      <c r="N55" s="13">
        <f>IF('Données projet'!$A$36&gt;35,N54+M55-V54,IF(A55&lt;'Données projet'!$A$36,$K$205^A55,IF(A55='Données projet'!$A$36,'Données projet'!$B$36,N54+M55-V54)))</f>
        <v>266.79999999999984</v>
      </c>
      <c r="O55" s="13">
        <f>N55*VLOOKUP('Données projet'!$B$9,Paramètres!$A$1:$I$89,3,0)*VLOOKUP('Données projet'!$B$9,Paramètres!$A$1:$I$89,5,0)</f>
        <v>124.86239999999994</v>
      </c>
      <c r="P55" s="13">
        <f t="shared" si="33"/>
        <v>32.80643928056157</v>
      </c>
      <c r="Q55" s="20">
        <f t="shared" si="53"/>
        <v>274.60656174697795</v>
      </c>
      <c r="R55" s="59">
        <f t="shared" si="0"/>
        <v>567.93989508031132</v>
      </c>
      <c r="S55" s="59">
        <f ca="1">AVERAGE(OFFSET($R$3,0,0,'Données projet'!$E$9+1,1))-AVERAGE(OFFSET($H$3,0,0,'Données projet'!$E$9+1,1))</f>
        <v>215.23235148064941</v>
      </c>
      <c r="T55" s="59">
        <f t="shared" si="34"/>
        <v>184.07239726900434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2.0274993599826621</v>
      </c>
      <c r="AA55" s="21">
        <f>EXP(-LN(2)/25)*AA54+(1-EXP(-LN(2)/25))/(LN(2)/25)*Calculateur!V55*Calculateur!X55*VLOOKUP('Données projet'!$B$9,Paramètres!$A$1:$I$89,3,0)*0.475*44/12</f>
        <v>4.26840348740759</v>
      </c>
      <c r="AB55" s="21">
        <f>EXP(-LN(2)/2)*AB54+(1-EXP(-LN(2)/2))/(LN(2)/2)*V55*Y55*VLOOKUP('Données projet'!$B$9,Paramètres!$A$1:$I$89,3,0)*0.475*44/12</f>
        <v>4.8008674220195273E-3</v>
      </c>
      <c r="AC55" s="22">
        <f t="shared" si="3"/>
        <v>6.300703714812272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5.6</v>
      </c>
      <c r="AI55" s="13">
        <f>IF('Données projet'!$A$62&gt;35,AI54+AH55-AQ54,IF(A55&lt;'Données projet'!$A$62,$AF$205^A55,IF(A55='Données projet'!$A$62,'Données projet'!$B$62,AI54+AH55-AQ54)))</f>
        <v>213.19999999999973</v>
      </c>
      <c r="AJ55" s="13">
        <f>AI55*VLOOKUP('Données projet'!$B$10,Paramètres!$A$1:$I$89,3,0)*VLOOKUP('Données projet'!$B$10,Paramètres!$A$1:$I$89,5,0)</f>
        <v>156.3182399999998</v>
      </c>
      <c r="AK55" s="13">
        <f t="shared" si="35"/>
        <v>40.010962373637788</v>
      </c>
      <c r="AL55" s="20">
        <f t="shared" si="4"/>
        <v>341.94002746741876</v>
      </c>
      <c r="AM55" s="59">
        <f t="shared" si="5"/>
        <v>635.27336080075202</v>
      </c>
      <c r="AN55" s="59">
        <f ca="1">AVERAGE(OFFSET($AM$3,0,0,'Données projet'!$E$10+1,1))-AVERAGE(OFFSET($H$3,0,0,'Données projet'!$E$10+1,1))</f>
        <v>178.12968684094687</v>
      </c>
      <c r="AO55" s="59">
        <f t="shared" si="36"/>
        <v>219.36004077210373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4.1776563612849857</v>
      </c>
      <c r="AW55" s="21">
        <f>EXP(-LN(2)/2)*AW54+(1-EXP(-LN(2)/2))/(LN(2)/2)*AQ55*AT55*VLOOKUP('Données projet'!$B$10,Paramètres!$A$1:$I$89,3,0)*0.475*44/12</f>
        <v>4.842536424645277E-3</v>
      </c>
      <c r="AX55" s="21">
        <f t="shared" si="6"/>
        <v>4.1824988977096309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4.0999999999999996</v>
      </c>
      <c r="BD55" s="12">
        <f>IF('Données projet'!$A$88&gt;35,BD54+BC55-BL54,IF(A55&lt;'Données projet'!$A$88,$BA$205^A55,IF(A55='Données projet'!$A$88,'Données projet'!$B$88,BD54+BC55-BL54)))</f>
        <v>124.19999999999993</v>
      </c>
      <c r="BE55" s="13">
        <f>BD55*VLOOKUP('Données projet'!$B$11,Paramètres!$A$1:$I$89,3,0)*VLOOKUP('Données projet'!$B$11,Paramètres!$A$1:$I$89,5,0)</f>
        <v>108.50111999999994</v>
      </c>
      <c r="BF55" s="13">
        <f t="shared" si="37"/>
        <v>28.977555261594095</v>
      </c>
      <c r="BG55" s="20">
        <f t="shared" si="7"/>
        <v>239.44202608060959</v>
      </c>
      <c r="BH55" s="59">
        <f t="shared" si="8"/>
        <v>532.77535941394285</v>
      </c>
      <c r="BI55" s="59">
        <f ca="1">AVERAGE(OFFSET($BH$3,0,0,'Données projet'!$E$11+1,1))-AVERAGE(OFFSET($H$3,0,0,'Données projet'!$E$11+1,1))</f>
        <v>114.02623091248347</v>
      </c>
      <c r="BJ55" s="59">
        <f t="shared" si="38"/>
        <v>185.51554083721635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1.2624296756530322</v>
      </c>
      <c r="BQ55" s="21">
        <f>EXP(-LN(2)/25)*BQ54+(1-EXP(-LN(2)/25))/(LN(2)/25)*Calculateur!BL55*Calculateur!BN55*VLOOKUP('Données projet'!$B$11,Paramètres!$A$1:$I$89,3,0)*0.475*44/12</f>
        <v>6.1162147304638026</v>
      </c>
      <c r="BR55" s="21">
        <f>EXP(-LN(2)/2)*BR54+(1-EXP(-LN(2)/2))/(LN(2)/2)*BL55*BO55*VLOOKUP('Données projet'!$B$11,Paramètres!$A$1:$I$89,3,0)*0.475*44/12</f>
        <v>8.6129264695431265E-3</v>
      </c>
      <c r="BS55" s="22">
        <f t="shared" si="9"/>
        <v>7.387257332586378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7.8</v>
      </c>
      <c r="BY55" s="12">
        <f>IF('Données projet'!$A$114&gt;35,BY54+BX55-CG54,IF(A55&lt;'Données projet'!$A$114,$BV$205^A55,IF(A55='Données projet'!$A$114,'Données projet'!$B$114,BY54+BX55-CG54)))</f>
        <v>172.60000000000008</v>
      </c>
      <c r="BZ55" s="13">
        <f>BY55*VLOOKUP('Données projet'!$B$12,Paramètres!$A$1:$I$89,3,0)*VLOOKUP('Données projet'!$B$12,Paramètres!$A$1:$I$89,5,0)</f>
        <v>156.16848000000005</v>
      </c>
      <c r="CA55" s="13">
        <f t="shared" si="39"/>
        <v>39.977090041212335</v>
      </c>
      <c r="CB55" s="20">
        <f t="shared" si="10"/>
        <v>341.62020115511154</v>
      </c>
      <c r="CC55" s="59">
        <f t="shared" si="11"/>
        <v>634.9535344884448</v>
      </c>
      <c r="CD55" s="59">
        <f ca="1">AVERAGE(OFFSET($CC$3,0,0,'Données projet'!$E$12+1,1))-AVERAGE(OFFSET($H$3,0,0,'Données projet'!$E$12+1,1))</f>
        <v>237.22177246688199</v>
      </c>
      <c r="CE55" s="59">
        <f t="shared" si="40"/>
        <v>149.27472147904302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1.687665646447629</v>
      </c>
      <c r="CM55" s="21">
        <f>EXP(-LN(2)/2)*CM54+(1-EXP(-LN(2)/2))/(LN(2)/2)*CG55*CJ55*VLOOKUP('Données projet'!$B$12,Paramètres!$A$1:$I$89,3,0)*0.475*44/12</f>
        <v>3.0221425070451305E-3</v>
      </c>
      <c r="CN55" s="22">
        <f t="shared" si="12"/>
        <v>1.6906877889546741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16.2</v>
      </c>
      <c r="CT55" s="12">
        <f>IF('Données projet'!$A$140&gt;35,CT54+CS55-DB54,IF(A55&lt;'Données projet'!$A$140,$CQ$205^A55,IF(A55='Données projet'!$A$140,'Données projet'!$B$140,CT54+CS55-DB54)))</f>
        <v>433.39999999999981</v>
      </c>
      <c r="CU55" s="17">
        <f>CT55*VLOOKUP('Données projet'!$B$13,Paramètres!$A$1:$I$89,3,0)*VLOOKUP('Données projet'!$B$13,Paramètres!$A$1:$I$89,5,0)</f>
        <v>242.27059999999989</v>
      </c>
      <c r="CV55" s="13">
        <f t="shared" si="41"/>
        <v>58.927793080541385</v>
      </c>
      <c r="CW55" s="20">
        <f t="shared" si="13"/>
        <v>524.58720128194273</v>
      </c>
      <c r="CX55" s="59">
        <f t="shared" si="14"/>
        <v>817.92053461527598</v>
      </c>
      <c r="CY55" s="59">
        <f ca="1">AVERAGE(OFFSET($CX$3,0,0,'Données projet'!$E$13+1,1))-AVERAGE(OFFSET($H$3,0,0,'Données projet'!$E$13+1,1))</f>
        <v>326.31232746914907</v>
      </c>
      <c r="CZ55" s="59">
        <f t="shared" si="42"/>
        <v>330.17137761430297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2.9546226451453959</v>
      </c>
      <c r="DG55" s="21">
        <f>EXP(-LN(2)/25)*DG54+(1-EXP(-LN(2)/25))/(LN(2)/25)*Calculateur!DB55*Calculateur!DD55*VLOOKUP('Données projet'!$B$13,Paramètres!$A$1:$I$89,3,0)*0.475*44/12</f>
        <v>16.394997394306507</v>
      </c>
      <c r="DH55" s="21">
        <f>EXP(-LN(2)/2)*DH54+(1-EXP(-LN(2)/2))/(LN(2)/2)*DB55*DE55*VLOOKUP('Données projet'!$B$13,Paramètres!$A$1:$I$89,3,0)*0.475*44/12</f>
        <v>1.5879925962126583E-2</v>
      </c>
      <c r="DI55" s="22">
        <f t="shared" si="15"/>
        <v>19.365499965414031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8.8000000000000007</v>
      </c>
      <c r="DO55" s="12">
        <f>IF('Données projet'!$A$166&gt;35,DO54+DN55-DW54,IF(A55&lt;'Données projet'!$A$166,$DL$205^A55,IF(A55='Données projet'!$A$166,'Données projet'!$B$166,DO54+DN55-DW54)))</f>
        <v>280.60000000000019</v>
      </c>
      <c r="DP55" s="17">
        <f>DO55*VLOOKUP('Données projet'!$B$14,Paramètres!$A$1:$I$89,3,0)*VLOOKUP('Données projet'!$B$14,Paramètres!$A$1:$I$89,5,0)</f>
        <v>175.09440000000015</v>
      </c>
      <c r="DQ55" s="13">
        <f t="shared" si="43"/>
        <v>44.229031605991956</v>
      </c>
      <c r="DR55" s="20">
        <f t="shared" si="16"/>
        <v>381.98831004710291</v>
      </c>
      <c r="DS55" s="59">
        <f t="shared" si="17"/>
        <v>675.32164338043617</v>
      </c>
      <c r="DT55" s="59">
        <f ca="1">AVERAGE(OFFSET($DS$3,0,0,'Données projet'!$E$14+1,1))-AVERAGE(OFFSET($H$3,0,0,'Données projet'!$E$14+1,1))</f>
        <v>209.93608079129638</v>
      </c>
      <c r="DU55" s="59">
        <f t="shared" si="44"/>
        <v>240.15652428700969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4.4975228425046163</v>
      </c>
      <c r="EB55" s="21">
        <f>EXP(-LN(2)/25)*EB54+(1-EXP(-LN(2)/25))/(LN(2)/25)*Calculateur!DW55*Calculateur!DY55*VLOOKUP('Données projet'!$B$14,Paramètres!$A$1:$I$89,3,0)*0.475*44/12</f>
        <v>11.295472420067997</v>
      </c>
      <c r="EC55" s="21">
        <f>EXP(-LN(2)/2)*EC54+(1-EXP(-LN(2)/2))/(LN(2)/2)*DW55*DZ55*VLOOKUP('Données projet'!$B$14,Paramètres!$A$1:$I$89,3,0)*0.475*44/12</f>
        <v>9.8587966326733906E-3</v>
      </c>
      <c r="ED55" s="22">
        <f t="shared" si="18"/>
        <v>15.802854059205288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11.4</v>
      </c>
      <c r="EJ55" s="12">
        <f>IF('Données projet'!$A$192&gt;35,EJ54+EI55-ER54,IF(A55&lt;'Données projet'!$A$192,$EG$205^A55,IF(A55='Données projet'!$A$192,'Données projet'!$B$192,EJ54+EI55-ER54)))</f>
        <v>295.79999999999995</v>
      </c>
      <c r="EK55" s="17">
        <f>EJ55*VLOOKUP('Données projet'!$B$15,Paramètres!$A$1:$I$89,3,0)*VLOOKUP('Données projet'!$B$15,Paramètres!$A$1:$I$89,5,0)</f>
        <v>176.88839999999999</v>
      </c>
      <c r="EL55" s="13">
        <f t="shared" si="45"/>
        <v>44.629211487047861</v>
      </c>
      <c r="EM55" s="20">
        <f t="shared" si="19"/>
        <v>385.80984000660828</v>
      </c>
      <c r="EN55" s="59">
        <f t="shared" si="20"/>
        <v>679.14317333994154</v>
      </c>
      <c r="EO55" s="59">
        <f ca="1">AVERAGE(OFFSET($EN$3,0,0,'Données projet'!$E$15+1,1))-AVERAGE(OFFSET($H$3,0,0,'Données projet'!$E$15+1,1))</f>
        <v>216.94426559495264</v>
      </c>
      <c r="EP55" s="59">
        <f t="shared" si="46"/>
        <v>225.33715877618704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6.9818713297905344</v>
      </c>
      <c r="EX55" s="21">
        <f>EXP(-LN(2)/2)*EX54+(1-EXP(-LN(2)/2))/(LN(2)/2)*ER55*EU55*VLOOKUP('Données projet'!$B$15,Paramètres!$A$1:$I$89,3,0)*0.475*44/12</f>
        <v>1.158660150088817E-2</v>
      </c>
      <c r="EY55" s="22">
        <f t="shared" si="21"/>
        <v>6.9934579312914229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5.875</v>
      </c>
      <c r="FE55" s="12">
        <f>IF('Données projet'!$A$218&gt;35,FE54+FD55-FM54,IF(A55&lt;'Données projet'!$A$218,$FB$205^A55,IF(A55='Données projet'!$A$218,'Données projet'!$B$218,FE54+FD55-FM54)))</f>
        <v>299.25</v>
      </c>
      <c r="FF55" s="17">
        <f>FE55*VLOOKUP('Données projet'!$B$16,Paramètres!$A$1:$I$89,3,0)*VLOOKUP('Données projet'!$B$16,Paramètres!$A$1:$I$89,5,0)</f>
        <v>178.95150000000001</v>
      </c>
      <c r="FG55" s="13">
        <f t="shared" si="47"/>
        <v>45.088834979390157</v>
      </c>
      <c r="FH55" s="20">
        <f t="shared" si="22"/>
        <v>390.20358342243782</v>
      </c>
      <c r="FI55" s="59">
        <f t="shared" si="23"/>
        <v>683.53691675577113</v>
      </c>
      <c r="FJ55" s="59">
        <f ca="1">AVERAGE(OFFSET($FI$3,0,0,'Données projet'!$E$16+1,1))-AVERAGE(OFFSET($H$3,0,0,'Données projet'!$E$16+1,1))</f>
        <v>168.08890945052406</v>
      </c>
      <c r="FK55" s="59">
        <f t="shared" si="48"/>
        <v>182.52462557642343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4.018195505572959</v>
      </c>
      <c r="FR55" s="21">
        <f>EXP(-LN(2)/25)*FR54+(1-EXP(-LN(2)/25))/(LN(2)/25)*Calculateur!FM55*Calculateur!FO55*VLOOKUP('Données projet'!$B$16,Paramètres!$A$1:$I$89,3,0)*0.475*44/12</f>
        <v>6.7001998144521</v>
      </c>
      <c r="FS55" s="21">
        <f>EXP(-LN(2)/2)*FS54+(1-EXP(-LN(2)/2))/(LN(2)/2)*FM55*FP55*VLOOKUP('Données projet'!$B$16,Paramètres!$A$1:$I$89,3,0)*0.475*44/12</f>
        <v>2.6590294795283981E-3</v>
      </c>
      <c r="FT55" s="22">
        <f t="shared" si="24"/>
        <v>10.721054349504588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12.25</v>
      </c>
      <c r="FZ55" s="12">
        <f>IF('Données projet'!$A$244&gt;35,FZ54+FY55-GH54,IF(A55&lt;'Données projet'!$A$244,$FW$205^A55,IF(A55='Données projet'!$A$244,'Données projet'!$B$244,FZ54+FY55-GH54)))</f>
        <v>298.49999999999994</v>
      </c>
      <c r="GA55" s="17">
        <f>FZ55*VLOOKUP('Données projet'!$B$17,Paramètres!$A$1:$I$89,3,0)*VLOOKUP('Données projet'!$B$17,Paramètres!$A$1:$I$89,5,0)</f>
        <v>170.74199999999996</v>
      </c>
      <c r="GB55" s="13">
        <f t="shared" si="49"/>
        <v>43.256164755747903</v>
      </c>
      <c r="GC55" s="20">
        <f t="shared" si="25"/>
        <v>372.71347028292752</v>
      </c>
      <c r="GD55" s="59">
        <f t="shared" si="26"/>
        <v>666.04680361626083</v>
      </c>
      <c r="GE55" s="59">
        <f ca="1">AVERAGE(OFFSET($GD$3,0,0,'Données projet'!$E$17+1,1))-AVERAGE(OFFSET($H$3,0,0,'Données projet'!$E$17+1,1))</f>
        <v>196.95560009657527</v>
      </c>
      <c r="GF55" s="59">
        <f t="shared" si="50"/>
        <v>168.90186968005662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0</v>
      </c>
      <c r="GM55" s="21">
        <f>EXP(-LN(2)/25)*GM54+(1-EXP(-LN(2)/25))/(LN(2)/25)*Calculateur!GH55*Calculateur!GJ55*VLOOKUP('Données projet'!$B$17,Paramètres!$A$1:$I$89,3,0)*0.475*44/12</f>
        <v>5.0157916026517837</v>
      </c>
      <c r="GN55" s="21">
        <f>EXP(-LN(2)/2)*GN54+(1-EXP(-LN(2)/2))/(LN(2)/2)*GH55*GK55*VLOOKUP('Données projet'!$B$17,Paramètres!$A$1:$I$89,3,0)*0.475*44/12</f>
        <v>6.2790909922972524E-3</v>
      </c>
      <c r="GO55" s="21">
        <f t="shared" si="27"/>
        <v>5.0220706936440811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13.499999999999996</v>
      </c>
      <c r="N56" s="13">
        <f>IF('Données projet'!$A$36&gt;35,N55+M56-V55,IF(A56&lt;'Données projet'!$A$36,$K$205^A56,IF(A56='Données projet'!$A$36,'Données projet'!$B$36,N55+M56-V55)))</f>
        <v>280.29999999999984</v>
      </c>
      <c r="O56" s="13">
        <f>N56*VLOOKUP('Données projet'!$B$9,Paramètres!$A$1:$I$89,3,0)*VLOOKUP('Données projet'!$B$9,Paramètres!$A$1:$I$89,5,0)</f>
        <v>131.18039999999993</v>
      </c>
      <c r="P56" s="13">
        <f t="shared" si="33"/>
        <v>34.268971460239172</v>
      </c>
      <c r="Q56" s="20">
        <f t="shared" si="53"/>
        <v>288.15765529324972</v>
      </c>
      <c r="R56" s="59">
        <f t="shared" si="0"/>
        <v>581.49098862658298</v>
      </c>
      <c r="S56" s="59">
        <f ca="1">AVERAGE(OFFSET($R$3,0,0,'Données projet'!$E$9+1,1))-AVERAGE(OFFSET($H$3,0,0,'Données projet'!$E$9+1,1))</f>
        <v>215.23235148064941</v>
      </c>
      <c r="T56" s="59">
        <f t="shared" si="34"/>
        <v>184.07239726900434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1.9877413341859023</v>
      </c>
      <c r="AA56" s="21">
        <f>EXP(-LN(2)/25)*AA55+(1-EXP(-LN(2)/25))/(LN(2)/25)*Calculateur!V56*Calculateur!X56*VLOOKUP('Données projet'!$B$9,Paramètres!$A$1:$I$89,3,0)*0.475*44/12</f>
        <v>4.1516837695788453</v>
      </c>
      <c r="AB56" s="21">
        <f>EXP(-LN(2)/2)*AB55+(1-EXP(-LN(2)/2))/(LN(2)/2)*V56*Y56*VLOOKUP('Données projet'!$B$9,Paramètres!$A$1:$I$89,3,0)*0.475*44/12</f>
        <v>3.3947259096875865E-3</v>
      </c>
      <c r="AC56" s="22">
        <f t="shared" si="3"/>
        <v>6.1428198296744343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5.6</v>
      </c>
      <c r="AI56" s="13">
        <f>IF('Données projet'!$A$62&gt;35,AI55+AH56-AQ55,IF(A56&lt;'Données projet'!$A$62,$AF$205^A56,IF(A56='Données projet'!$A$62,'Données projet'!$B$62,AI55+AH56-AQ55)))</f>
        <v>218.79999999999973</v>
      </c>
      <c r="AJ56" s="13">
        <f>AI56*VLOOKUP('Données projet'!$B$10,Paramètres!$A$1:$I$89,3,0)*VLOOKUP('Données projet'!$B$10,Paramètres!$A$1:$I$89,5,0)</f>
        <v>160.4241599999998</v>
      </c>
      <c r="AK56" s="13">
        <f t="shared" si="35"/>
        <v>40.938171132384412</v>
      </c>
      <c r="AL56" s="20">
        <f t="shared" si="4"/>
        <v>350.70606005556914</v>
      </c>
      <c r="AM56" s="59">
        <f t="shared" si="5"/>
        <v>644.03939338890245</v>
      </c>
      <c r="AN56" s="59">
        <f ca="1">AVERAGE(OFFSET($AM$3,0,0,'Données projet'!$E$10+1,1))-AVERAGE(OFFSET($H$3,0,0,'Données projet'!$E$10+1,1))</f>
        <v>178.12968684094687</v>
      </c>
      <c r="AO56" s="59">
        <f t="shared" si="36"/>
        <v>219.36004077210373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4.0634181283922484</v>
      </c>
      <c r="AW56" s="21">
        <f>EXP(-LN(2)/2)*AW55+(1-EXP(-LN(2)/2))/(LN(2)/2)*AQ56*AT56*VLOOKUP('Données projet'!$B$10,Paramètres!$A$1:$I$89,3,0)*0.475*44/12</f>
        <v>3.4241903440095341E-3</v>
      </c>
      <c r="AX56" s="21">
        <f t="shared" si="6"/>
        <v>4.0668423187362581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4.0999999999999996</v>
      </c>
      <c r="BD56" s="12">
        <f>IF('Données projet'!$A$88&gt;35,BD55+BC56-BL55,IF(A56&lt;'Données projet'!$A$88,$BA$205^A56,IF(A56='Données projet'!$A$88,'Données projet'!$B$88,BD55+BC56-BL55)))</f>
        <v>128.29999999999993</v>
      </c>
      <c r="BE56" s="13">
        <f>BD56*VLOOKUP('Données projet'!$B$11,Paramètres!$A$1:$I$89,3,0)*VLOOKUP('Données projet'!$B$11,Paramètres!$A$1:$I$89,5,0)</f>
        <v>112.08287999999996</v>
      </c>
      <c r="BF56" s="13">
        <f t="shared" si="37"/>
        <v>29.821190304841132</v>
      </c>
      <c r="BG56" s="20">
        <f t="shared" si="7"/>
        <v>247.14958911426493</v>
      </c>
      <c r="BH56" s="59">
        <f t="shared" si="8"/>
        <v>540.48292244759818</v>
      </c>
      <c r="BI56" s="59">
        <f ca="1">AVERAGE(OFFSET($BH$3,0,0,'Données projet'!$E$11+1,1))-AVERAGE(OFFSET($H$3,0,0,'Données projet'!$E$11+1,1))</f>
        <v>114.02623091248347</v>
      </c>
      <c r="BJ56" s="59">
        <f t="shared" si="38"/>
        <v>185.51554083721635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1.2376741997195466</v>
      </c>
      <c r="BQ56" s="21">
        <f>EXP(-LN(2)/25)*BQ55+(1-EXP(-LN(2)/25))/(LN(2)/25)*Calculateur!BL56*Calculateur!BN56*VLOOKUP('Données projet'!$B$11,Paramètres!$A$1:$I$89,3,0)*0.475*44/12</f>
        <v>5.9489665170215158</v>
      </c>
      <c r="BR56" s="21">
        <f>EXP(-LN(2)/2)*BR55+(1-EXP(-LN(2)/2))/(LN(2)/2)*BL56*BO56*VLOOKUP('Données projet'!$B$11,Paramètres!$A$1:$I$89,3,0)*0.475*44/12</f>
        <v>6.090258712475055E-3</v>
      </c>
      <c r="BS56" s="22">
        <f t="shared" si="9"/>
        <v>7.1927309754535376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7.8</v>
      </c>
      <c r="BY56" s="12">
        <f>IF('Données projet'!$A$114&gt;35,BY55+BX56-CG55,IF(A56&lt;'Données projet'!$A$114,$BV$205^A56,IF(A56='Données projet'!$A$114,'Données projet'!$B$114,BY55+BX56-CG55)))</f>
        <v>180.40000000000009</v>
      </c>
      <c r="BZ56" s="13">
        <f>BY56*VLOOKUP('Données projet'!$B$12,Paramètres!$A$1:$I$89,3,0)*VLOOKUP('Données projet'!$B$12,Paramètres!$A$1:$I$89,5,0)</f>
        <v>163.22592000000009</v>
      </c>
      <c r="CA56" s="13">
        <f t="shared" si="39"/>
        <v>41.569283201466128</v>
      </c>
      <c r="CB56" s="20">
        <f t="shared" si="10"/>
        <v>356.68497890922026</v>
      </c>
      <c r="CC56" s="59">
        <f t="shared" si="11"/>
        <v>650.01831224255352</v>
      </c>
      <c r="CD56" s="59">
        <f ca="1">AVERAGE(OFFSET($CC$3,0,0,'Données projet'!$E$12+1,1))-AVERAGE(OFFSET($H$3,0,0,'Données projet'!$E$12+1,1))</f>
        <v>237.22177246688199</v>
      </c>
      <c r="CE56" s="59">
        <f t="shared" si="40"/>
        <v>149.27472147904302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1.6415163405950395</v>
      </c>
      <c r="CM56" s="21">
        <f>EXP(-LN(2)/2)*CM55+(1-EXP(-LN(2)/2))/(LN(2)/2)*CG56*CJ56*VLOOKUP('Données projet'!$B$12,Paramètres!$A$1:$I$89,3,0)*0.475*44/12</f>
        <v>2.1369774604437252E-3</v>
      </c>
      <c r="CN56" s="22">
        <f t="shared" si="12"/>
        <v>1.6436533180554833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16.2</v>
      </c>
      <c r="CT56" s="12">
        <f>IF('Données projet'!$A$140&gt;35,CT55+CS56-DB55,IF(A56&lt;'Données projet'!$A$140,$CQ$205^A56,IF(A56='Données projet'!$A$140,'Données projet'!$B$140,CT55+CS56-DB55)))</f>
        <v>449.5999999999998</v>
      </c>
      <c r="CU56" s="17">
        <f>CT56*VLOOKUP('Données projet'!$B$13,Paramètres!$A$1:$I$89,3,0)*VLOOKUP('Données projet'!$B$13,Paramètres!$A$1:$I$89,5,0)</f>
        <v>251.32639999999989</v>
      </c>
      <c r="CV56" s="13">
        <f t="shared" si="41"/>
        <v>60.869881917806573</v>
      </c>
      <c r="CW56" s="20">
        <f t="shared" si="13"/>
        <v>543.74185767351298</v>
      </c>
      <c r="CX56" s="59">
        <f t="shared" si="14"/>
        <v>837.07519100684635</v>
      </c>
      <c r="CY56" s="59">
        <f ca="1">AVERAGE(OFFSET($CX$3,0,0,'Données projet'!$E$13+1,1))-AVERAGE(OFFSET($H$3,0,0,'Données projet'!$E$13+1,1))</f>
        <v>326.31232746914907</v>
      </c>
      <c r="CZ56" s="59">
        <f t="shared" si="42"/>
        <v>330.17137761430297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2.8966842972159617</v>
      </c>
      <c r="DG56" s="21">
        <f>EXP(-LN(2)/25)*DG55+(1-EXP(-LN(2)/25))/(LN(2)/25)*Calculateur!DB56*Calculateur!DD56*VLOOKUP('Données projet'!$B$13,Paramètres!$A$1:$I$89,3,0)*0.475*44/12</f>
        <v>15.946675328383755</v>
      </c>
      <c r="DH56" s="21">
        <f>EXP(-LN(2)/2)*DH55+(1-EXP(-LN(2)/2))/(LN(2)/2)*DB56*DE56*VLOOKUP('Données projet'!$B$13,Paramètres!$A$1:$I$89,3,0)*0.475*44/12</f>
        <v>1.1228803332560017E-2</v>
      </c>
      <c r="DI56" s="22">
        <f t="shared" si="15"/>
        <v>18.854588428932278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8.8000000000000007</v>
      </c>
      <c r="DO56" s="12">
        <f>IF('Données projet'!$A$166&gt;35,DO55+DN56-DW55,IF(A56&lt;'Données projet'!$A$166,$DL$205^A56,IF(A56='Données projet'!$A$166,'Données projet'!$B$166,DO55+DN56-DW55)))</f>
        <v>289.4000000000002</v>
      </c>
      <c r="DP56" s="17">
        <f>DO56*VLOOKUP('Données projet'!$B$14,Paramètres!$A$1:$I$89,3,0)*VLOOKUP('Données projet'!$B$14,Paramètres!$A$1:$I$89,5,0)</f>
        <v>180.58560000000011</v>
      </c>
      <c r="DQ56" s="13">
        <f t="shared" si="43"/>
        <v>45.452446738615699</v>
      </c>
      <c r="DR56" s="20">
        <f t="shared" si="16"/>
        <v>393.68293140308919</v>
      </c>
      <c r="DS56" s="59">
        <f t="shared" si="17"/>
        <v>687.0162647364225</v>
      </c>
      <c r="DT56" s="59">
        <f ca="1">AVERAGE(OFFSET($DS$3,0,0,'Données projet'!$E$14+1,1))-AVERAGE(OFFSET($H$3,0,0,'Données projet'!$E$14+1,1))</f>
        <v>209.93608079129638</v>
      </c>
      <c r="DU56" s="59">
        <f t="shared" si="44"/>
        <v>240.15652428700969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4.4093291627811642</v>
      </c>
      <c r="EB56" s="21">
        <f>EXP(-LN(2)/25)*EB55+(1-EXP(-LN(2)/25))/(LN(2)/25)*Calculateur!DW56*Calculateur!DY56*VLOOKUP('Données projet'!$B$14,Paramètres!$A$1:$I$89,3,0)*0.475*44/12</f>
        <v>10.986597132738158</v>
      </c>
      <c r="EC56" s="21">
        <f>EXP(-LN(2)/2)*EC55+(1-EXP(-LN(2)/2))/(LN(2)/2)*DW56*DZ56*VLOOKUP('Données projet'!$B$14,Paramètres!$A$1:$I$89,3,0)*0.475*44/12</f>
        <v>6.9712219533024549E-3</v>
      </c>
      <c r="ED56" s="22">
        <f t="shared" si="18"/>
        <v>15.402897517472624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11.4</v>
      </c>
      <c r="EJ56" s="12">
        <f>IF('Données projet'!$A$192&gt;35,EJ55+EI56-ER55,IF(A56&lt;'Données projet'!$A$192,$EG$205^A56,IF(A56='Données projet'!$A$192,'Données projet'!$B$192,EJ55+EI56-ER55)))</f>
        <v>307.19999999999993</v>
      </c>
      <c r="EK56" s="17">
        <f>EJ56*VLOOKUP('Données projet'!$B$15,Paramètres!$A$1:$I$89,3,0)*VLOOKUP('Données projet'!$B$15,Paramètres!$A$1:$I$89,5,0)</f>
        <v>183.70559999999998</v>
      </c>
      <c r="EL56" s="13">
        <f t="shared" si="45"/>
        <v>46.145633597806309</v>
      </c>
      <c r="EM56" s="20">
        <f t="shared" si="19"/>
        <v>400.32423184951267</v>
      </c>
      <c r="EN56" s="59">
        <f t="shared" si="20"/>
        <v>693.65756518284593</v>
      </c>
      <c r="EO56" s="59">
        <f ca="1">AVERAGE(OFFSET($EN$3,0,0,'Données projet'!$E$15+1,1))-AVERAGE(OFFSET($H$3,0,0,'Données projet'!$E$15+1,1))</f>
        <v>216.94426559495264</v>
      </c>
      <c r="EP56" s="59">
        <f t="shared" si="46"/>
        <v>225.33715877618704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6.7909516911167565</v>
      </c>
      <c r="EX56" s="21">
        <f>EXP(-LN(2)/2)*EX55+(1-EXP(-LN(2)/2))/(LN(2)/2)*ER56*EU56*VLOOKUP('Données projet'!$B$15,Paramètres!$A$1:$I$89,3,0)*0.475*44/12</f>
        <v>8.1929644921842539E-3</v>
      </c>
      <c r="EY56" s="22">
        <f t="shared" si="21"/>
        <v>6.7991446556089405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5.875</v>
      </c>
      <c r="FE56" s="12">
        <f>IF('Données projet'!$A$218&gt;35,FE55+FD56-FM55,IF(A56&lt;'Données projet'!$A$218,$FB$205^A56,IF(A56='Données projet'!$A$218,'Données projet'!$B$218,FE55+FD56-FM55)))</f>
        <v>305.125</v>
      </c>
      <c r="FF56" s="17">
        <f>FE56*VLOOKUP('Données projet'!$B$16,Paramètres!$A$1:$I$89,3,0)*VLOOKUP('Données projet'!$B$16,Paramètres!$A$1:$I$89,5,0)</f>
        <v>182.46475000000004</v>
      </c>
      <c r="FG56" s="13">
        <f t="shared" si="47"/>
        <v>45.870112833182944</v>
      </c>
      <c r="FH56" s="20">
        <f t="shared" si="22"/>
        <v>397.68321943446034</v>
      </c>
      <c r="FI56" s="59">
        <f t="shared" si="23"/>
        <v>691.01655276779366</v>
      </c>
      <c r="FJ56" s="59">
        <f ca="1">AVERAGE(OFFSET($FI$3,0,0,'Données projet'!$E$16+1,1))-AVERAGE(OFFSET($H$3,0,0,'Données projet'!$E$16+1,1))</f>
        <v>168.08890945052406</v>
      </c>
      <c r="FK56" s="59">
        <f t="shared" si="48"/>
        <v>182.52462557642343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3.9394011425659294</v>
      </c>
      <c r="FR56" s="21">
        <f>EXP(-LN(2)/25)*FR55+(1-EXP(-LN(2)/25))/(LN(2)/25)*Calculateur!FM56*Calculateur!FO56*VLOOKUP('Données projet'!$B$16,Paramètres!$A$1:$I$89,3,0)*0.475*44/12</f>
        <v>6.5169824981777129</v>
      </c>
      <c r="FS56" s="21">
        <f>EXP(-LN(2)/2)*FS55+(1-EXP(-LN(2)/2))/(LN(2)/2)*FM56*FP56*VLOOKUP('Données projet'!$B$16,Paramètres!$A$1:$I$89,3,0)*0.475*44/12</f>
        <v>1.8802177763494665E-3</v>
      </c>
      <c r="FT56" s="22">
        <f t="shared" si="24"/>
        <v>10.458263858519992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12.25</v>
      </c>
      <c r="FZ56" s="12">
        <f>IF('Données projet'!$A$244&gt;35,FZ55+FY56-GH55,IF(A56&lt;'Données projet'!$A$244,$FW$205^A56,IF(A56='Données projet'!$A$244,'Données projet'!$B$244,FZ55+FY56-GH55)))</f>
        <v>310.74999999999994</v>
      </c>
      <c r="GA56" s="17">
        <f>FZ56*VLOOKUP('Données projet'!$B$17,Paramètres!$A$1:$I$89,3,0)*VLOOKUP('Données projet'!$B$17,Paramètres!$A$1:$I$89,5,0)</f>
        <v>177.749</v>
      </c>
      <c r="GB56" s="13">
        <f t="shared" si="49"/>
        <v>44.821013932875545</v>
      </c>
      <c r="GC56" s="20">
        <f t="shared" si="25"/>
        <v>387.64277426642496</v>
      </c>
      <c r="GD56" s="59">
        <f t="shared" si="26"/>
        <v>680.97610759975828</v>
      </c>
      <c r="GE56" s="59">
        <f ca="1">AVERAGE(OFFSET($GD$3,0,0,'Données projet'!$E$17+1,1))-AVERAGE(OFFSET($H$3,0,0,'Données projet'!$E$17+1,1))</f>
        <v>196.95560009657527</v>
      </c>
      <c r="GF56" s="59">
        <f t="shared" si="50"/>
        <v>168.90186968005662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0</v>
      </c>
      <c r="GM56" s="21">
        <f>EXP(-LN(2)/25)*GM55+(1-EXP(-LN(2)/25))/(LN(2)/25)*Calculateur!GH56*Calculateur!GJ56*VLOOKUP('Données projet'!$B$17,Paramètres!$A$1:$I$89,3,0)*0.475*44/12</f>
        <v>4.8786345175082539</v>
      </c>
      <c r="GN56" s="21">
        <f>EXP(-LN(2)/2)*GN55+(1-EXP(-LN(2)/2))/(LN(2)/2)*GH56*GK56*VLOOKUP('Données projet'!$B$17,Paramètres!$A$1:$I$89,3,0)*0.475*44/12</f>
        <v>4.4399878203407548E-3</v>
      </c>
      <c r="GO56" s="21">
        <f t="shared" si="27"/>
        <v>4.8830745053285947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13.499999999999996</v>
      </c>
      <c r="N57" s="13">
        <f>IF('Données projet'!$A$36&gt;35,N56+M57-V56,IF(A57&lt;'Données projet'!$A$36,$K$205^A57,IF(A57='Données projet'!$A$36,'Données projet'!$B$36,N56+M57-V56)))</f>
        <v>293.79999999999984</v>
      </c>
      <c r="O57" s="13">
        <f>N57*VLOOKUP('Données projet'!$B$9,Paramètres!$A$1:$I$89,3,0)*VLOOKUP('Données projet'!$B$9,Paramètres!$A$1:$I$89,5,0)</f>
        <v>137.49839999999992</v>
      </c>
      <c r="P57" s="13">
        <f t="shared" si="33"/>
        <v>35.723324086274197</v>
      </c>
      <c r="Q57" s="20">
        <f t="shared" si="53"/>
        <v>301.69450278359409</v>
      </c>
      <c r="R57" s="59">
        <f t="shared" si="0"/>
        <v>595.02783611692735</v>
      </c>
      <c r="S57" s="59">
        <f ca="1">AVERAGE(OFFSET($R$3,0,0,'Données projet'!$E$9+1,1))-AVERAGE(OFFSET($H$3,0,0,'Données projet'!$E$9+1,1))</f>
        <v>215.23235148064941</v>
      </c>
      <c r="T57" s="59">
        <f t="shared" si="34"/>
        <v>184.07239726900434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1.9487629390250159</v>
      </c>
      <c r="AA57" s="21">
        <f>EXP(-LN(2)/25)*AA56+(1-EXP(-LN(2)/25))/(LN(2)/25)*Calculateur!V57*Calculateur!X57*VLOOKUP('Données projet'!$B$9,Paramètres!$A$1:$I$89,3,0)*0.475*44/12</f>
        <v>4.0381557585721515</v>
      </c>
      <c r="AB57" s="21">
        <f>EXP(-LN(2)/2)*AB56+(1-EXP(-LN(2)/2))/(LN(2)/2)*V57*Y57*VLOOKUP('Données projet'!$B$9,Paramètres!$A$1:$I$89,3,0)*0.475*44/12</f>
        <v>2.4004337110097636E-3</v>
      </c>
      <c r="AC57" s="22">
        <f t="shared" si="3"/>
        <v>5.9893191313081768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5.6</v>
      </c>
      <c r="AI57" s="13">
        <f>IF('Données projet'!$A$62&gt;35,AI56+AH57-AQ56,IF(A57&lt;'Données projet'!$A$62,$AF$205^A57,IF(A57='Données projet'!$A$62,'Données projet'!$B$62,AI56+AH57-AQ56)))</f>
        <v>224.39999999999972</v>
      </c>
      <c r="AJ57" s="13">
        <f>AI57*VLOOKUP('Données projet'!$B$10,Paramètres!$A$1:$I$89,3,0)*VLOOKUP('Données projet'!$B$10,Paramètres!$A$1:$I$89,5,0)</f>
        <v>164.5300799999998</v>
      </c>
      <c r="AK57" s="13">
        <f t="shared" si="35"/>
        <v>41.862621381083734</v>
      </c>
      <c r="AL57" s="20">
        <f t="shared" si="4"/>
        <v>359.46728823872041</v>
      </c>
      <c r="AM57" s="59">
        <f t="shared" si="5"/>
        <v>652.80062157205373</v>
      </c>
      <c r="AN57" s="59">
        <f ca="1">AVERAGE(OFFSET($AM$3,0,0,'Données projet'!$E$10+1,1))-AVERAGE(OFFSET($H$3,0,0,'Données projet'!$E$10+1,1))</f>
        <v>178.12968684094687</v>
      </c>
      <c r="AO57" s="59">
        <f t="shared" si="36"/>
        <v>219.36004077210373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3.9523037459854899</v>
      </c>
      <c r="AW57" s="21">
        <f>EXP(-LN(2)/2)*AW56+(1-EXP(-LN(2)/2))/(LN(2)/2)*AQ57*AT57*VLOOKUP('Données projet'!$B$10,Paramètres!$A$1:$I$89,3,0)*0.475*44/12</f>
        <v>2.4212682123226385E-3</v>
      </c>
      <c r="AX57" s="21">
        <f t="shared" si="6"/>
        <v>3.9547250141978125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4.0999999999999996</v>
      </c>
      <c r="BD57" s="12">
        <f>IF('Données projet'!$A$88&gt;35,BD56+BC57-BL56,IF(A57&lt;'Données projet'!$A$88,$BA$205^A57,IF(A57='Données projet'!$A$88,'Données projet'!$B$88,BD56+BC57-BL56)))</f>
        <v>132.39999999999992</v>
      </c>
      <c r="BE57" s="13">
        <f>BD57*VLOOKUP('Données projet'!$B$11,Paramètres!$A$1:$I$89,3,0)*VLOOKUP('Données projet'!$B$11,Paramètres!$A$1:$I$89,5,0)</f>
        <v>115.66463999999995</v>
      </c>
      <c r="BF57" s="13">
        <f t="shared" si="37"/>
        <v>30.66169252828012</v>
      </c>
      <c r="BG57" s="20">
        <f t="shared" si="7"/>
        <v>254.85169582008771</v>
      </c>
      <c r="BH57" s="59">
        <f t="shared" si="8"/>
        <v>548.18502915342106</v>
      </c>
      <c r="BI57" s="59">
        <f ca="1">AVERAGE(OFFSET($BH$3,0,0,'Données projet'!$E$11+1,1))-AVERAGE(OFFSET($H$3,0,0,'Données projet'!$E$11+1,1))</f>
        <v>114.02623091248347</v>
      </c>
      <c r="BJ57" s="59">
        <f t="shared" si="38"/>
        <v>185.51554083721635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1.2134041635697672</v>
      </c>
      <c r="BQ57" s="21">
        <f>EXP(-LN(2)/25)*BQ56+(1-EXP(-LN(2)/25))/(LN(2)/25)*Calculateur!BL57*Calculateur!BN57*VLOOKUP('Données projet'!$B$11,Paramètres!$A$1:$I$89,3,0)*0.475*44/12</f>
        <v>5.7862917147710098</v>
      </c>
      <c r="BR57" s="21">
        <f>EXP(-LN(2)/2)*BR56+(1-EXP(-LN(2)/2))/(LN(2)/2)*BL57*BO57*VLOOKUP('Données projet'!$B$11,Paramètres!$A$1:$I$89,3,0)*0.475*44/12</f>
        <v>4.3064632347715633E-3</v>
      </c>
      <c r="BS57" s="22">
        <f t="shared" si="9"/>
        <v>7.0040023415755481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7.8</v>
      </c>
      <c r="BY57" s="12">
        <f>IF('Données projet'!$A$114&gt;35,BY56+BX57-CG56,IF(A57&lt;'Données projet'!$A$114,$BV$205^A57,IF(A57='Données projet'!$A$114,'Données projet'!$B$114,BY56+BX57-CG56)))</f>
        <v>188.2000000000001</v>
      </c>
      <c r="BZ57" s="13">
        <f>BY57*VLOOKUP('Données projet'!$B$12,Paramètres!$A$1:$I$89,3,0)*VLOOKUP('Données projet'!$B$12,Paramètres!$A$1:$I$89,5,0)</f>
        <v>170.28336000000007</v>
      </c>
      <c r="CA57" s="13">
        <f t="shared" si="39"/>
        <v>43.153480646462619</v>
      </c>
      <c r="CB57" s="20">
        <f t="shared" si="10"/>
        <v>371.73583079258918</v>
      </c>
      <c r="CC57" s="59">
        <f t="shared" si="11"/>
        <v>665.0691641259225</v>
      </c>
      <c r="CD57" s="59">
        <f ca="1">AVERAGE(OFFSET($CC$3,0,0,'Données projet'!$E$12+1,1))-AVERAGE(OFFSET($H$3,0,0,'Données projet'!$E$12+1,1))</f>
        <v>237.22177246688199</v>
      </c>
      <c r="CE57" s="59">
        <f t="shared" si="40"/>
        <v>149.27472147904302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1.5966289899378756</v>
      </c>
      <c r="CM57" s="21">
        <f>EXP(-LN(2)/2)*CM56+(1-EXP(-LN(2)/2))/(LN(2)/2)*CG57*CJ57*VLOOKUP('Données projet'!$B$12,Paramètres!$A$1:$I$89,3,0)*0.475*44/12</f>
        <v>1.5110712535225653E-3</v>
      </c>
      <c r="CN57" s="22">
        <f t="shared" si="12"/>
        <v>1.5981400611913981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16.2</v>
      </c>
      <c r="CT57" s="12">
        <f>IF('Données projet'!$A$140&gt;35,CT56+CS57-DB56,IF(A57&lt;'Données projet'!$A$140,$CQ$205^A57,IF(A57='Données projet'!$A$140,'Données projet'!$B$140,CT56+CS57-DB56)))</f>
        <v>465.79999999999978</v>
      </c>
      <c r="CU57" s="17">
        <f>CT57*VLOOKUP('Données projet'!$B$13,Paramètres!$A$1:$I$89,3,0)*VLOOKUP('Données projet'!$B$13,Paramètres!$A$1:$I$89,5,0)</f>
        <v>260.3821999999999</v>
      </c>
      <c r="CV57" s="13">
        <f t="shared" si="41"/>
        <v>62.803840584871082</v>
      </c>
      <c r="CW57" s="20">
        <f t="shared" si="13"/>
        <v>562.88235401865029</v>
      </c>
      <c r="CX57" s="59">
        <f t="shared" si="14"/>
        <v>856.21568735198366</v>
      </c>
      <c r="CY57" s="59">
        <f ca="1">AVERAGE(OFFSET($CX$3,0,0,'Données projet'!$E$13+1,1))-AVERAGE(OFFSET($H$3,0,0,'Données projet'!$E$13+1,1))</f>
        <v>326.31232746914907</v>
      </c>
      <c r="CZ57" s="59">
        <f t="shared" si="42"/>
        <v>330.17137761430297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2.8398820849505206</v>
      </c>
      <c r="DG57" s="21">
        <f>EXP(-LN(2)/25)*DG56+(1-EXP(-LN(2)/25))/(LN(2)/25)*Calculateur!DB57*Calculateur!DD57*VLOOKUP('Données projet'!$B$13,Paramètres!$A$1:$I$89,3,0)*0.475*44/12</f>
        <v>15.510612652929892</v>
      </c>
      <c r="DH57" s="21">
        <f>EXP(-LN(2)/2)*DH56+(1-EXP(-LN(2)/2))/(LN(2)/2)*DB57*DE57*VLOOKUP('Données projet'!$B$13,Paramètres!$A$1:$I$89,3,0)*0.475*44/12</f>
        <v>7.9399629810632914E-3</v>
      </c>
      <c r="DI57" s="22">
        <f t="shared" si="15"/>
        <v>18.358434700861473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8.8000000000000007</v>
      </c>
      <c r="DO57" s="12">
        <f>IF('Données projet'!$A$166&gt;35,DO56+DN57-DW56,IF(A57&lt;'Données projet'!$A$166,$DL$205^A57,IF(A57='Données projet'!$A$166,'Données projet'!$B$166,DO56+DN57-DW56)))</f>
        <v>298.20000000000022</v>
      </c>
      <c r="DP57" s="17">
        <f>DO57*VLOOKUP('Données projet'!$B$14,Paramètres!$A$1:$I$89,3,0)*VLOOKUP('Données projet'!$B$14,Paramètres!$A$1:$I$89,5,0)</f>
        <v>186.07680000000016</v>
      </c>
      <c r="DQ57" s="13">
        <f t="shared" si="43"/>
        <v>46.671538591528716</v>
      </c>
      <c r="DR57" s="20">
        <f t="shared" si="16"/>
        <v>405.37002304691276</v>
      </c>
      <c r="DS57" s="59">
        <f t="shared" si="17"/>
        <v>698.70335638024608</v>
      </c>
      <c r="DT57" s="59">
        <f ca="1">AVERAGE(OFFSET($DS$3,0,0,'Données projet'!$E$14+1,1))-AVERAGE(OFFSET($H$3,0,0,'Données projet'!$E$14+1,1))</f>
        <v>209.93608079129638</v>
      </c>
      <c r="DU57" s="59">
        <f t="shared" si="44"/>
        <v>240.15652428700969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4.3228649073242558</v>
      </c>
      <c r="EB57" s="21">
        <f>EXP(-LN(2)/25)*EB56+(1-EXP(-LN(2)/25))/(LN(2)/25)*Calculateur!DW57*Calculateur!DY57*VLOOKUP('Données projet'!$B$14,Paramètres!$A$1:$I$89,3,0)*0.475*44/12</f>
        <v>10.6861680563834</v>
      </c>
      <c r="EC57" s="21">
        <f>EXP(-LN(2)/2)*EC56+(1-EXP(-LN(2)/2))/(LN(2)/2)*DW57*DZ57*VLOOKUP('Données projet'!$B$14,Paramètres!$A$1:$I$89,3,0)*0.475*44/12</f>
        <v>4.9293983163366953E-3</v>
      </c>
      <c r="ED57" s="22">
        <f t="shared" si="18"/>
        <v>15.013962362023992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11.4</v>
      </c>
      <c r="EJ57" s="12">
        <f>IF('Données projet'!$A$192&gt;35,EJ56+EI57-ER56,IF(A57&lt;'Données projet'!$A$192,$EG$205^A57,IF(A57='Données projet'!$A$192,'Données projet'!$B$192,EJ56+EI57-ER56)))</f>
        <v>318.59999999999991</v>
      </c>
      <c r="EK57" s="17">
        <f>EJ57*VLOOKUP('Données projet'!$B$15,Paramètres!$A$1:$I$89,3,0)*VLOOKUP('Données projet'!$B$15,Paramètres!$A$1:$I$89,5,0)</f>
        <v>190.52279999999996</v>
      </c>
      <c r="EL57" s="13">
        <f t="shared" si="45"/>
        <v>47.655518017541539</v>
      </c>
      <c r="EM57" s="20">
        <f t="shared" si="19"/>
        <v>414.82723721388476</v>
      </c>
      <c r="EN57" s="59">
        <f t="shared" si="20"/>
        <v>708.16057054721807</v>
      </c>
      <c r="EO57" s="59">
        <f ca="1">AVERAGE(OFFSET($EN$3,0,0,'Données projet'!$E$15+1,1))-AVERAGE(OFFSET($H$3,0,0,'Données projet'!$E$15+1,1))</f>
        <v>216.94426559495264</v>
      </c>
      <c r="EP57" s="59">
        <f t="shared" si="46"/>
        <v>225.33715877618704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6.6052527600025401</v>
      </c>
      <c r="EX57" s="21">
        <f>EXP(-LN(2)/2)*EX56+(1-EXP(-LN(2)/2))/(LN(2)/2)*ER57*EU57*VLOOKUP('Données projet'!$B$15,Paramètres!$A$1:$I$89,3,0)*0.475*44/12</f>
        <v>5.7933007504440848E-3</v>
      </c>
      <c r="EY57" s="22">
        <f t="shared" si="21"/>
        <v>6.611046060752984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>
        <f>VLOOKUP(A57,'Données projet'!$A$217:$I$237,2,0)</f>
        <v>311</v>
      </c>
      <c r="FC57" s="12">
        <f>VLOOKUP(A57,'Données projet'!$A$217:$I$237,9,0)</f>
        <v>5.875</v>
      </c>
      <c r="FD57" s="12">
        <f t="array" ref="FD57">INDEX(FC:FC,MIN(IF(ISNUMBER(FC57:FC253),ROW(FC57:FC253),"")))</f>
        <v>5.875</v>
      </c>
      <c r="FE57" s="12">
        <f>IF('Données projet'!$A$218&gt;35,FE56+FD57-FM56,IF(A57&lt;'Données projet'!$A$218,$FB$205^A57,IF(A57='Données projet'!$A$218,'Données projet'!$B$218,FE56+FD57-FM56)))</f>
        <v>311</v>
      </c>
      <c r="FF57" s="17">
        <f>FE57*VLOOKUP('Données projet'!$B$16,Paramètres!$A$1:$I$89,3,0)*VLOOKUP('Données projet'!$B$16,Paramètres!$A$1:$I$89,5,0)</f>
        <v>185.97800000000001</v>
      </c>
      <c r="FG57" s="13">
        <f t="shared" si="47"/>
        <v>46.649641523668571</v>
      </c>
      <c r="FH57" s="20">
        <f t="shared" si="22"/>
        <v>405.15980898705612</v>
      </c>
      <c r="FI57" s="59">
        <f t="shared" si="23"/>
        <v>698.49314232038944</v>
      </c>
      <c r="FJ57" s="59">
        <f ca="1">AVERAGE(OFFSET($FI$3,0,0,'Données projet'!$E$16+1,1))-AVERAGE(OFFSET($H$3,0,0,'Données projet'!$E$16+1,1))</f>
        <v>168.08890945052406</v>
      </c>
      <c r="FK57" s="59">
        <f t="shared" si="48"/>
        <v>182.52462557642343</v>
      </c>
      <c r="FL57" s="15">
        <f>IF(ISNA(VLOOKUP(A57,'Données projet'!$A$217:$I$237,3,0)),0,VLOOKUP(A57,'Données projet'!$A$217:$I$237,3,0))</f>
        <v>8</v>
      </c>
      <c r="FM57" s="15">
        <f>IF(ISNA(VLOOKUP(A57,'Données projet'!$A$217:$I$237,4,0)),0,VLOOKUP(A57,'Données projet'!$A$217:$I$237,4,0))</f>
        <v>16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3.8621518889576518</v>
      </c>
      <c r="FR57" s="21">
        <f>EXP(-LN(2)/25)*FR56+(1-EXP(-LN(2)/25))/(LN(2)/25)*Calculateur!FM57*Calculateur!FO57*VLOOKUP('Données projet'!$B$16,Paramètres!$A$1:$I$89,3,0)*0.475*44/12</f>
        <v>6.3387752690518289</v>
      </c>
      <c r="FS57" s="21">
        <f>EXP(-LN(2)/2)*FS56+(1-EXP(-LN(2)/2))/(LN(2)/2)*FM57*FP57*VLOOKUP('Données projet'!$B$16,Paramètres!$A$1:$I$89,3,0)*0.475*44/12</f>
        <v>1.3295147397641993E-3</v>
      </c>
      <c r="FT57" s="22">
        <f t="shared" si="24"/>
        <v>10.202256672749245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12.25</v>
      </c>
      <c r="FZ57" s="12">
        <f>IF('Données projet'!$A$244&gt;35,FZ56+FY57-GH56,IF(A57&lt;'Données projet'!$A$244,$FW$205^A57,IF(A57='Données projet'!$A$244,'Données projet'!$B$244,FZ56+FY57-GH56)))</f>
        <v>322.99999999999994</v>
      </c>
      <c r="GA57" s="17">
        <f>FZ57*VLOOKUP('Données projet'!$B$17,Paramètres!$A$1:$I$89,3,0)*VLOOKUP('Données projet'!$B$17,Paramètres!$A$1:$I$89,5,0)</f>
        <v>184.75599999999997</v>
      </c>
      <c r="GB57" s="13">
        <f t="shared" si="49"/>
        <v>46.378697169162017</v>
      </c>
      <c r="GC57" s="20">
        <f t="shared" si="25"/>
        <v>402.5595975696238</v>
      </c>
      <c r="GD57" s="59">
        <f t="shared" si="26"/>
        <v>695.89293090295712</v>
      </c>
      <c r="GE57" s="59">
        <f ca="1">AVERAGE(OFFSET($GD$3,0,0,'Données projet'!$E$17+1,1))-AVERAGE(OFFSET($H$3,0,0,'Données projet'!$E$17+1,1))</f>
        <v>196.95560009657527</v>
      </c>
      <c r="GF57" s="59">
        <f t="shared" si="50"/>
        <v>168.90186968005662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0</v>
      </c>
      <c r="GM57" s="21">
        <f>EXP(-LN(2)/25)*GM56+(1-EXP(-LN(2)/25))/(LN(2)/25)*Calculateur!GH57*Calculateur!GJ57*VLOOKUP('Données projet'!$B$17,Paramètres!$A$1:$I$89,3,0)*0.475*44/12</f>
        <v>4.7452280000707514</v>
      </c>
      <c r="GN57" s="21">
        <f>EXP(-LN(2)/2)*GN56+(1-EXP(-LN(2)/2))/(LN(2)/2)*GH57*GK57*VLOOKUP('Données projet'!$B$17,Paramètres!$A$1:$I$89,3,0)*0.475*44/12</f>
        <v>3.1395454961486262E-3</v>
      </c>
      <c r="GO57" s="21">
        <f t="shared" si="27"/>
        <v>4.7483675455669001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13.499999999999996</v>
      </c>
      <c r="N58" s="13">
        <f>IF('Données projet'!$A$36&gt;35,N57+M58-V57,IF(A58&lt;'Données projet'!$A$36,$K$205^A58,IF(A58='Données projet'!$A$36,'Données projet'!$B$36,N57+M58-V57)))</f>
        <v>307.29999999999984</v>
      </c>
      <c r="O58" s="13">
        <f>N58*VLOOKUP('Données projet'!$B$9,Paramètres!$A$1:$I$89,3,0)*VLOOKUP('Données projet'!$B$9,Paramètres!$A$1:$I$89,5,0)</f>
        <v>143.81639999999993</v>
      </c>
      <c r="P58" s="13">
        <f t="shared" si="33"/>
        <v>37.169915935828818</v>
      </c>
      <c r="Q58" s="20">
        <f t="shared" si="53"/>
        <v>315.21783358823507</v>
      </c>
      <c r="R58" s="59">
        <f t="shared" si="0"/>
        <v>608.55116692156844</v>
      </c>
      <c r="S58" s="59">
        <f ca="1">AVERAGE(OFFSET($R$3,0,0,'Données projet'!$E$9+1,1))-AVERAGE(OFFSET($H$3,0,0,'Données projet'!$E$9+1,1))</f>
        <v>215.23235148064941</v>
      </c>
      <c r="T58" s="59">
        <f t="shared" si="34"/>
        <v>184.07239726900434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1.9105488864187608</v>
      </c>
      <c r="AA58" s="21">
        <f>EXP(-LN(2)/25)*AA57+(1-EXP(-LN(2)/25))/(LN(2)/25)*Calculateur!V58*Calculateur!X58*VLOOKUP('Données projet'!$B$9,Paramètres!$A$1:$I$89,3,0)*0.475*44/12</f>
        <v>3.927732176996614</v>
      </c>
      <c r="AB58" s="21">
        <f>EXP(-LN(2)/2)*AB57+(1-EXP(-LN(2)/2))/(LN(2)/2)*V58*Y58*VLOOKUP('Données projet'!$B$9,Paramètres!$A$1:$I$89,3,0)*0.475*44/12</f>
        <v>1.6973629548437932E-3</v>
      </c>
      <c r="AC58" s="22">
        <f t="shared" si="3"/>
        <v>5.8399784263702186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5.6</v>
      </c>
      <c r="AI58" s="13">
        <f>IF('Données projet'!$A$62&gt;35,AI57+AH58-AQ57,IF(A58&lt;'Données projet'!$A$62,$AF$205^A58,IF(A58='Données projet'!$A$62,'Données projet'!$B$62,AI57+AH58-AQ57)))</f>
        <v>229.99999999999972</v>
      </c>
      <c r="AJ58" s="13">
        <f>AI58*VLOOKUP('Données projet'!$B$10,Paramètres!$A$1:$I$89,3,0)*VLOOKUP('Données projet'!$B$10,Paramètres!$A$1:$I$89,5,0)</f>
        <v>168.6359999999998</v>
      </c>
      <c r="AK58" s="13">
        <f t="shared" si="35"/>
        <v>42.784389877117853</v>
      </c>
      <c r="AL58" s="20">
        <f t="shared" si="4"/>
        <v>368.22384570264654</v>
      </c>
      <c r="AM58" s="59">
        <f t="shared" si="5"/>
        <v>661.55717903597986</v>
      </c>
      <c r="AN58" s="59">
        <f ca="1">AVERAGE(OFFSET($AM$3,0,0,'Données projet'!$E$10+1,1))-AVERAGE(OFFSET($H$3,0,0,'Données projet'!$E$10+1,1))</f>
        <v>178.12968684094687</v>
      </c>
      <c r="AO58" s="59">
        <f t="shared" si="36"/>
        <v>219.36004077210373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3.8442277922088959</v>
      </c>
      <c r="AW58" s="21">
        <f>EXP(-LN(2)/2)*AW57+(1-EXP(-LN(2)/2))/(LN(2)/2)*AQ58*AT58*VLOOKUP('Données projet'!$B$10,Paramètres!$A$1:$I$89,3,0)*0.475*44/12</f>
        <v>1.712095172004767E-3</v>
      </c>
      <c r="AX58" s="21">
        <f t="shared" si="6"/>
        <v>3.8459398873809008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4.0999999999999996</v>
      </c>
      <c r="BD58" s="12">
        <f>IF('Données projet'!$A$88&gt;35,BD57+BC58-BL57,IF(A58&lt;'Données projet'!$A$88,$BA$205^A58,IF(A58='Données projet'!$A$88,'Données projet'!$B$88,BD57+BC58-BL57)))</f>
        <v>136.49999999999991</v>
      </c>
      <c r="BE58" s="13">
        <f>BD58*VLOOKUP('Données projet'!$B$11,Paramètres!$A$1:$I$89,3,0)*VLOOKUP('Données projet'!$B$11,Paramètres!$A$1:$I$89,5,0)</f>
        <v>119.24639999999994</v>
      </c>
      <c r="BF58" s="13">
        <f t="shared" si="37"/>
        <v>31.499170077667014</v>
      </c>
      <c r="BG58" s="20">
        <f t="shared" si="7"/>
        <v>262.5485345519366</v>
      </c>
      <c r="BH58" s="59">
        <f t="shared" si="8"/>
        <v>555.88186788526991</v>
      </c>
      <c r="BI58" s="59">
        <f ca="1">AVERAGE(OFFSET($BH$3,0,0,'Données projet'!$E$11+1,1))-AVERAGE(OFFSET($H$3,0,0,'Données projet'!$E$11+1,1))</f>
        <v>114.02623091248347</v>
      </c>
      <c r="BJ58" s="59">
        <f t="shared" si="38"/>
        <v>185.51554083721635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1.1896100480256246</v>
      </c>
      <c r="BQ58" s="21">
        <f>EXP(-LN(2)/25)*BQ57+(1-EXP(-LN(2)/25))/(LN(2)/25)*Calculateur!BL58*Calculateur!BN58*VLOOKUP('Données projet'!$B$11,Paramètres!$A$1:$I$89,3,0)*0.475*44/12</f>
        <v>5.6280652635427399</v>
      </c>
      <c r="BR58" s="21">
        <f>EXP(-LN(2)/2)*BR57+(1-EXP(-LN(2)/2))/(LN(2)/2)*BL58*BO58*VLOOKUP('Données projet'!$B$11,Paramètres!$A$1:$I$89,3,0)*0.475*44/12</f>
        <v>3.0451293562375275E-3</v>
      </c>
      <c r="BS58" s="22">
        <f t="shared" si="9"/>
        <v>6.8207204409246023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7.8</v>
      </c>
      <c r="BY58" s="12">
        <f>IF('Données projet'!$A$114&gt;35,BY57+BX58-CG57,IF(A58&lt;'Données projet'!$A$114,$BV$205^A58,IF(A58='Données projet'!$A$114,'Données projet'!$B$114,BY57+BX58-CG57)))</f>
        <v>196.00000000000011</v>
      </c>
      <c r="BZ58" s="13">
        <f>BY58*VLOOKUP('Données projet'!$B$12,Paramètres!$A$1:$I$89,3,0)*VLOOKUP('Données projet'!$B$12,Paramètres!$A$1:$I$89,5,0)</f>
        <v>177.34080000000012</v>
      </c>
      <c r="CA58" s="13">
        <f t="shared" si="39"/>
        <v>44.730051658603102</v>
      </c>
      <c r="CB58" s="20">
        <f t="shared" si="10"/>
        <v>386.77339997206718</v>
      </c>
      <c r="CC58" s="59">
        <f t="shared" si="11"/>
        <v>680.10673330540044</v>
      </c>
      <c r="CD58" s="59">
        <f ca="1">AVERAGE(OFFSET($CC$3,0,0,'Données projet'!$E$12+1,1))-AVERAGE(OFFSET($H$3,0,0,'Données projet'!$E$12+1,1))</f>
        <v>237.22177246688199</v>
      </c>
      <c r="CE58" s="59">
        <f t="shared" si="40"/>
        <v>149.27472147904302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1.552969086244955</v>
      </c>
      <c r="CM58" s="21">
        <f>EXP(-LN(2)/2)*CM57+(1-EXP(-LN(2)/2))/(LN(2)/2)*CG58*CJ58*VLOOKUP('Données projet'!$B$12,Paramètres!$A$1:$I$89,3,0)*0.475*44/12</f>
        <v>1.0684887302218626E-3</v>
      </c>
      <c r="CN58" s="22">
        <f t="shared" si="12"/>
        <v>1.5540375749751769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16.2</v>
      </c>
      <c r="CT58" s="12">
        <f>IF('Données projet'!$A$140&gt;35,CT57+CS58-DB57,IF(A58&lt;'Données projet'!$A$140,$CQ$205^A58,IF(A58='Données projet'!$A$140,'Données projet'!$B$140,CT57+CS58-DB57)))</f>
        <v>481.99999999999977</v>
      </c>
      <c r="CU58" s="17">
        <f>CT58*VLOOKUP('Données projet'!$B$13,Paramètres!$A$1:$I$89,3,0)*VLOOKUP('Données projet'!$B$13,Paramètres!$A$1:$I$89,5,0)</f>
        <v>269.43799999999987</v>
      </c>
      <c r="CV58" s="13">
        <f t="shared" si="41"/>
        <v>64.729984244002736</v>
      </c>
      <c r="CW58" s="20">
        <f t="shared" si="13"/>
        <v>582.00923922497111</v>
      </c>
      <c r="CX58" s="59">
        <f t="shared" si="14"/>
        <v>875.34257255830448</v>
      </c>
      <c r="CY58" s="59">
        <f ca="1">AVERAGE(OFFSET($CX$3,0,0,'Données projet'!$E$13+1,1))-AVERAGE(OFFSET($H$3,0,0,'Données projet'!$E$13+1,1))</f>
        <v>326.31232746914907</v>
      </c>
      <c r="CZ58" s="59">
        <f t="shared" si="42"/>
        <v>330.17137761430297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2.7841937294216765</v>
      </c>
      <c r="DG58" s="21">
        <f>EXP(-LN(2)/25)*DG57+(1-EXP(-LN(2)/25))/(LN(2)/25)*Calculateur!DB58*Calculateur!DD58*VLOOKUP('Données projet'!$B$13,Paramètres!$A$1:$I$89,3,0)*0.475*44/12</f>
        <v>15.086474134267855</v>
      </c>
      <c r="DH58" s="21">
        <f>EXP(-LN(2)/2)*DH57+(1-EXP(-LN(2)/2))/(LN(2)/2)*DB58*DE58*VLOOKUP('Données projet'!$B$13,Paramètres!$A$1:$I$89,3,0)*0.475*44/12</f>
        <v>5.6144016662800084E-3</v>
      </c>
      <c r="DI58" s="22">
        <f t="shared" si="15"/>
        <v>17.876282265355808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8.8000000000000007</v>
      </c>
      <c r="DO58" s="12">
        <f>IF('Données projet'!$A$166&gt;35,DO57+DN58-DW57,IF(A58&lt;'Données projet'!$A$166,$DL$205^A58,IF(A58='Données projet'!$A$166,'Données projet'!$B$166,DO57+DN58-DW57)))</f>
        <v>307.00000000000023</v>
      </c>
      <c r="DP58" s="17">
        <f>DO58*VLOOKUP('Données projet'!$B$14,Paramètres!$A$1:$I$89,3,0)*VLOOKUP('Données projet'!$B$14,Paramètres!$A$1:$I$89,5,0)</f>
        <v>191.56800000000013</v>
      </c>
      <c r="DQ58" s="13">
        <f t="shared" si="43"/>
        <v>47.886449394440142</v>
      </c>
      <c r="DR58" s="20">
        <f t="shared" si="16"/>
        <v>417.04983269531681</v>
      </c>
      <c r="DS58" s="59">
        <f t="shared" si="17"/>
        <v>710.38316602865007</v>
      </c>
      <c r="DT58" s="59">
        <f ca="1">AVERAGE(OFFSET($DS$3,0,0,'Données projet'!$E$14+1,1))-AVERAGE(OFFSET($H$3,0,0,'Données projet'!$E$14+1,1))</f>
        <v>209.93608079129638</v>
      </c>
      <c r="DU58" s="59">
        <f t="shared" si="44"/>
        <v>240.15652428700969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4.2380961631788692</v>
      </c>
      <c r="EB58" s="21">
        <f>EXP(-LN(2)/25)*EB57+(1-EXP(-LN(2)/25))/(LN(2)/25)*Calculateur!DW58*Calculateur!DY58*VLOOKUP('Données projet'!$B$14,Paramètres!$A$1:$I$89,3,0)*0.475*44/12</f>
        <v>10.393954228920441</v>
      </c>
      <c r="EC58" s="21">
        <f>EXP(-LN(2)/2)*EC57+(1-EXP(-LN(2)/2))/(LN(2)/2)*DW58*DZ58*VLOOKUP('Données projet'!$B$14,Paramètres!$A$1:$I$89,3,0)*0.475*44/12</f>
        <v>3.4856109766512274E-3</v>
      </c>
      <c r="ED58" s="22">
        <f t="shared" si="18"/>
        <v>14.635536003075961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11.4</v>
      </c>
      <c r="EJ58" s="12">
        <f>IF('Données projet'!$A$192&gt;35,EJ57+EI58-ER57,IF(A58&lt;'Données projet'!$A$192,$EG$205^A58,IF(A58='Données projet'!$A$192,'Données projet'!$B$192,EJ57+EI58-ER57)))</f>
        <v>329.99999999999989</v>
      </c>
      <c r="EK58" s="17">
        <f>EJ58*VLOOKUP('Données projet'!$B$15,Paramètres!$A$1:$I$89,3,0)*VLOOKUP('Données projet'!$B$15,Paramètres!$A$1:$I$89,5,0)</f>
        <v>197.33999999999995</v>
      </c>
      <c r="EL58" s="13">
        <f t="shared" si="45"/>
        <v>49.159125474269977</v>
      </c>
      <c r="EM58" s="20">
        <f t="shared" si="19"/>
        <v>429.31931020102019</v>
      </c>
      <c r="EN58" s="59">
        <f t="shared" si="20"/>
        <v>722.6526435343535</v>
      </c>
      <c r="EO58" s="59">
        <f ca="1">AVERAGE(OFFSET($EN$3,0,0,'Données projet'!$E$15+1,1))-AVERAGE(OFFSET($H$3,0,0,'Données projet'!$E$15+1,1))</f>
        <v>216.94426559495264</v>
      </c>
      <c r="EP58" s="59">
        <f t="shared" si="46"/>
        <v>225.33715877618704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6.4246317759251248</v>
      </c>
      <c r="EX58" s="21">
        <f>EXP(-LN(2)/2)*EX57+(1-EXP(-LN(2)/2))/(LN(2)/2)*ER58*EU58*VLOOKUP('Données projet'!$B$15,Paramètres!$A$1:$I$89,3,0)*0.475*44/12</f>
        <v>4.096482246092127E-3</v>
      </c>
      <c r="EY58" s="22">
        <f t="shared" si="21"/>
        <v>6.4287282581712173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2.625</v>
      </c>
      <c r="FE58" s="12">
        <f>IF('Données projet'!$A$218&gt;35,FE57+FD58-FM57,IF(A58&lt;'Données projet'!$A$218,$FB$205^A58,IF(A58='Données projet'!$A$218,'Données projet'!$B$218,FE57+FD58-FM57)))</f>
        <v>297.625</v>
      </c>
      <c r="FF58" s="17">
        <f>FE58*VLOOKUP('Données projet'!$B$16,Paramètres!$A$1:$I$89,3,0)*VLOOKUP('Données projet'!$B$16,Paramètres!$A$1:$I$89,5,0)</f>
        <v>177.97975</v>
      </c>
      <c r="FG58" s="13">
        <f t="shared" si="47"/>
        <v>44.87242292972973</v>
      </c>
      <c r="FH58" s="20">
        <f t="shared" si="22"/>
        <v>388.13420118594587</v>
      </c>
      <c r="FI58" s="59">
        <f t="shared" si="23"/>
        <v>681.46753451927918</v>
      </c>
      <c r="FJ58" s="59">
        <f ca="1">AVERAGE(OFFSET($FI$3,0,0,'Données projet'!$E$16+1,1))-AVERAGE(OFFSET($H$3,0,0,'Données projet'!$E$16+1,1))</f>
        <v>168.08890945052406</v>
      </c>
      <c r="FK58" s="59">
        <f t="shared" si="48"/>
        <v>182.52462557642343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3.7864174460952404</v>
      </c>
      <c r="FR58" s="21">
        <f>EXP(-LN(2)/25)*FR57+(1-EXP(-LN(2)/25))/(LN(2)/25)*Calculateur!FM58*Calculateur!FO58*VLOOKUP('Données projet'!$B$16,Paramètres!$A$1:$I$89,3,0)*0.475*44/12</f>
        <v>6.1654411259779023</v>
      </c>
      <c r="FS58" s="21">
        <f>EXP(-LN(2)/2)*FS57+(1-EXP(-LN(2)/2))/(LN(2)/2)*FM58*FP58*VLOOKUP('Données projet'!$B$16,Paramètres!$A$1:$I$89,3,0)*0.475*44/12</f>
        <v>9.4010888817473346E-4</v>
      </c>
      <c r="FT58" s="22">
        <f t="shared" si="24"/>
        <v>9.9527986809613171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12.25</v>
      </c>
      <c r="FZ58" s="12">
        <f>IF('Données projet'!$A$244&gt;35,FZ57+FY58-GH57,IF(A58&lt;'Données projet'!$A$244,$FW$205^A58,IF(A58='Données projet'!$A$244,'Données projet'!$B$244,FZ57+FY58-GH57)))</f>
        <v>335.24999999999994</v>
      </c>
      <c r="GA58" s="17">
        <f>FZ58*VLOOKUP('Données projet'!$B$17,Paramètres!$A$1:$I$89,3,0)*VLOOKUP('Données projet'!$B$17,Paramètres!$A$1:$I$89,5,0)</f>
        <v>191.76299999999995</v>
      </c>
      <c r="GB58" s="13">
        <f t="shared" si="49"/>
        <v>47.929517351413239</v>
      </c>
      <c r="GC58" s="20">
        <f t="shared" si="25"/>
        <v>417.46446772037797</v>
      </c>
      <c r="GD58" s="59">
        <f t="shared" si="26"/>
        <v>710.79780105371128</v>
      </c>
      <c r="GE58" s="59">
        <f ca="1">AVERAGE(OFFSET($GD$3,0,0,'Données projet'!$E$17+1,1))-AVERAGE(OFFSET($H$3,0,0,'Données projet'!$E$17+1,1))</f>
        <v>196.95560009657527</v>
      </c>
      <c r="GF58" s="59">
        <f t="shared" si="50"/>
        <v>168.90186968005662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0</v>
      </c>
      <c r="GM58" s="21">
        <f>EXP(-LN(2)/25)*GM57+(1-EXP(-LN(2)/25))/(LN(2)/25)*Calculateur!GH58*Calculateur!GJ58*VLOOKUP('Données projet'!$B$17,Paramètres!$A$1:$I$89,3,0)*0.475*44/12</f>
        <v>4.6154694908681213</v>
      </c>
      <c r="GN58" s="21">
        <f>EXP(-LN(2)/2)*GN57+(1-EXP(-LN(2)/2))/(LN(2)/2)*GH58*GK58*VLOOKUP('Données projet'!$B$17,Paramètres!$A$1:$I$89,3,0)*0.475*44/12</f>
        <v>2.2199939101703774E-3</v>
      </c>
      <c r="GO58" s="21">
        <f t="shared" si="27"/>
        <v>4.6176894847782917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13.499999999999996</v>
      </c>
      <c r="N59" s="13">
        <f>IF('Données projet'!$A$36&gt;35,N58+M59-V58,IF(A59&lt;'Données projet'!$A$36,$K$205^A59,IF(A59='Données projet'!$A$36,'Données projet'!$B$36,N58+M59-V58)))</f>
        <v>320.79999999999984</v>
      </c>
      <c r="O59" s="13">
        <f>N59*VLOOKUP('Données projet'!$B$9,Paramètres!$A$1:$I$89,3,0)*VLOOKUP('Données projet'!$B$9,Paramètres!$A$1:$I$89,5,0)</f>
        <v>150.13439999999994</v>
      </c>
      <c r="P59" s="13">
        <f t="shared" si="33"/>
        <v>38.609126910934812</v>
      </c>
      <c r="Q59" s="20">
        <f t="shared" si="53"/>
        <v>328.72830936987799</v>
      </c>
      <c r="R59" s="59">
        <f t="shared" si="0"/>
        <v>622.06164270321131</v>
      </c>
      <c r="S59" s="59">
        <f ca="1">AVERAGE(OFFSET($R$3,0,0,'Données projet'!$E$9+1,1))-AVERAGE(OFFSET($H$3,0,0,'Données projet'!$E$9+1,1))</f>
        <v>215.23235148064941</v>
      </c>
      <c r="T59" s="59">
        <f t="shared" si="34"/>
        <v>184.07239726900434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1.8730841880758438</v>
      </c>
      <c r="AA59" s="21">
        <f>EXP(-LN(2)/25)*AA58+(1-EXP(-LN(2)/25))/(LN(2)/25)*Calculateur!V59*Calculateur!X59*VLOOKUP('Données projet'!$B$9,Paramètres!$A$1:$I$89,3,0)*0.475*44/12</f>
        <v>3.8203281340661834</v>
      </c>
      <c r="AB59" s="21">
        <f>EXP(-LN(2)/2)*AB58+(1-EXP(-LN(2)/2))/(LN(2)/2)*V59*Y59*VLOOKUP('Données projet'!$B$9,Paramètres!$A$1:$I$89,3,0)*0.475*44/12</f>
        <v>1.2002168555048818E-3</v>
      </c>
      <c r="AC59" s="22">
        <f t="shared" si="3"/>
        <v>5.6946125389975322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5.6</v>
      </c>
      <c r="AI59" s="13">
        <f>IF('Données projet'!$A$62&gt;35,AI58+AH59-AQ58,IF(A59&lt;'Données projet'!$A$62,$AF$205^A59,IF(A59='Données projet'!$A$62,'Données projet'!$B$62,AI58+AH59-AQ58)))</f>
        <v>235.59999999999971</v>
      </c>
      <c r="AJ59" s="13">
        <f>AI59*VLOOKUP('Données projet'!$B$10,Paramètres!$A$1:$I$89,3,0)*VLOOKUP('Données projet'!$B$10,Paramètres!$A$1:$I$89,5,0)</f>
        <v>172.74191999999979</v>
      </c>
      <c r="AK59" s="13">
        <f t="shared" si="35"/>
        <v>43.703549427004376</v>
      </c>
      <c r="AL59" s="20">
        <f t="shared" si="4"/>
        <v>376.97585925203225</v>
      </c>
      <c r="AM59" s="59">
        <f t="shared" si="5"/>
        <v>670.30919258536551</v>
      </c>
      <c r="AN59" s="59">
        <f ca="1">AVERAGE(OFFSET($AM$3,0,0,'Données projet'!$E$10+1,1))-AVERAGE(OFFSET($H$3,0,0,'Données projet'!$E$10+1,1))</f>
        <v>178.12968684094687</v>
      </c>
      <c r="AO59" s="59">
        <f t="shared" si="36"/>
        <v>219.36004077210373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3.7391071810717902</v>
      </c>
      <c r="AW59" s="21">
        <f>EXP(-LN(2)/2)*AW58+(1-EXP(-LN(2)/2))/(LN(2)/2)*AQ59*AT59*VLOOKUP('Données projet'!$B$10,Paramètres!$A$1:$I$89,3,0)*0.475*44/12</f>
        <v>1.2106341061613192E-3</v>
      </c>
      <c r="AX59" s="21">
        <f t="shared" si="6"/>
        <v>3.7403178151779515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4.0999999999999996</v>
      </c>
      <c r="BD59" s="12">
        <f>IF('Données projet'!$A$88&gt;35,BD58+BC59-BL58,IF(A59&lt;'Données projet'!$A$88,$BA$205^A59,IF(A59='Données projet'!$A$88,'Données projet'!$B$88,BD58+BC59-BL58)))</f>
        <v>140.59999999999991</v>
      </c>
      <c r="BE59" s="13">
        <f>BD59*VLOOKUP('Données projet'!$B$11,Paramètres!$A$1:$I$89,3,0)*VLOOKUP('Données projet'!$B$11,Paramètres!$A$1:$I$89,5,0)</f>
        <v>122.82815999999994</v>
      </c>
      <c r="BF59" s="13">
        <f t="shared" si="37"/>
        <v>32.333724232859019</v>
      </c>
      <c r="BG59" s="20">
        <f t="shared" si="7"/>
        <v>270.24028170556272</v>
      </c>
      <c r="BH59" s="59">
        <f t="shared" si="8"/>
        <v>563.57361503889604</v>
      </c>
      <c r="BI59" s="59">
        <f ca="1">AVERAGE(OFFSET($BH$3,0,0,'Données projet'!$E$11+1,1))-AVERAGE(OFFSET($H$3,0,0,'Données projet'!$E$11+1,1))</f>
        <v>114.02623091248347</v>
      </c>
      <c r="BJ59" s="59">
        <f t="shared" si="38"/>
        <v>185.51554083721635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1.1662825205743252</v>
      </c>
      <c r="BQ59" s="21">
        <f>EXP(-LN(2)/25)*BQ58+(1-EXP(-LN(2)/25))/(LN(2)/25)*Calculateur!BL59*Calculateur!BN59*VLOOKUP('Données projet'!$B$11,Paramètres!$A$1:$I$89,3,0)*0.475*44/12</f>
        <v>5.4741655229440749</v>
      </c>
      <c r="BR59" s="21">
        <f>EXP(-LN(2)/2)*BR58+(1-EXP(-LN(2)/2))/(LN(2)/2)*BL59*BO59*VLOOKUP('Données projet'!$B$11,Paramètres!$A$1:$I$89,3,0)*0.475*44/12</f>
        <v>2.1532316173857816E-3</v>
      </c>
      <c r="BS59" s="22">
        <f t="shared" si="9"/>
        <v>6.6426012751357861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7.8</v>
      </c>
      <c r="BY59" s="12">
        <f>IF('Données projet'!$A$114&gt;35,BY58+BX59-CG58,IF(A59&lt;'Données projet'!$A$114,$BV$205^A59,IF(A59='Données projet'!$A$114,'Données projet'!$B$114,BY58+BX59-CG58)))</f>
        <v>203.80000000000013</v>
      </c>
      <c r="BZ59" s="13">
        <f>BY59*VLOOKUP('Données projet'!$B$12,Paramètres!$A$1:$I$89,3,0)*VLOOKUP('Données projet'!$B$12,Paramètres!$A$1:$I$89,5,0)</f>
        <v>184.3982400000001</v>
      </c>
      <c r="CA59" s="13">
        <f t="shared" si="39"/>
        <v>46.299334464645959</v>
      </c>
      <c r="CB59" s="20">
        <f t="shared" si="10"/>
        <v>401.79827552592519</v>
      </c>
      <c r="CC59" s="59">
        <f t="shared" si="11"/>
        <v>695.13160885925845</v>
      </c>
      <c r="CD59" s="59">
        <f ca="1">AVERAGE(OFFSET($CC$3,0,0,'Données projet'!$E$12+1,1))-AVERAGE(OFFSET($H$3,0,0,'Données projet'!$E$12+1,1))</f>
        <v>237.22177246688199</v>
      </c>
      <c r="CE59" s="59">
        <f t="shared" si="40"/>
        <v>149.27472147904302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1.5105030649144917</v>
      </c>
      <c r="CM59" s="21">
        <f>EXP(-LN(2)/2)*CM58+(1-EXP(-LN(2)/2))/(LN(2)/2)*CG59*CJ59*VLOOKUP('Données projet'!$B$12,Paramètres!$A$1:$I$89,3,0)*0.475*44/12</f>
        <v>7.5553562676128263E-4</v>
      </c>
      <c r="CN59" s="22">
        <f t="shared" si="12"/>
        <v>1.5112586005412529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16.2</v>
      </c>
      <c r="CT59" s="12">
        <f>IF('Données projet'!$A$140&gt;35,CT58+CS59-DB58,IF(A59&lt;'Données projet'!$A$140,$CQ$205^A59,IF(A59='Données projet'!$A$140,'Données projet'!$B$140,CT58+CS59-DB58)))</f>
        <v>498.19999999999976</v>
      </c>
      <c r="CU59" s="17">
        <f>CT59*VLOOKUP('Données projet'!$B$13,Paramètres!$A$1:$I$89,3,0)*VLOOKUP('Données projet'!$B$13,Paramètres!$A$1:$I$89,5,0)</f>
        <v>278.49379999999985</v>
      </c>
      <c r="CV59" s="13">
        <f t="shared" si="41"/>
        <v>66.648605670285122</v>
      </c>
      <c r="CW59" s="20">
        <f t="shared" si="13"/>
        <v>601.12302320907963</v>
      </c>
      <c r="CX59" s="59">
        <f t="shared" si="14"/>
        <v>894.456356542413</v>
      </c>
      <c r="CY59" s="59">
        <f ca="1">AVERAGE(OFFSET($CX$3,0,0,'Données projet'!$E$13+1,1))-AVERAGE(OFFSET($H$3,0,0,'Données projet'!$E$13+1,1))</f>
        <v>326.31232746914907</v>
      </c>
      <c r="CZ59" s="59">
        <f t="shared" si="42"/>
        <v>330.17137761430297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2.7295973885782101</v>
      </c>
      <c r="DG59" s="21">
        <f>EXP(-LN(2)/25)*DG58+(1-EXP(-LN(2)/25))/(LN(2)/25)*Calculateur!DB59*Calculateur!DD59*VLOOKUP('Données projet'!$B$13,Paramètres!$A$1:$I$89,3,0)*0.475*44/12</f>
        <v>14.673933705703107</v>
      </c>
      <c r="DH59" s="21">
        <f>EXP(-LN(2)/2)*DH58+(1-EXP(-LN(2)/2))/(LN(2)/2)*DB59*DE59*VLOOKUP('Données projet'!$B$13,Paramètres!$A$1:$I$89,3,0)*0.475*44/12</f>
        <v>3.9699814905316457E-3</v>
      </c>
      <c r="DI59" s="22">
        <f t="shared" si="15"/>
        <v>17.407501075771847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8.8000000000000007</v>
      </c>
      <c r="DO59" s="12">
        <f>IF('Données projet'!$A$166&gt;35,DO58+DN59-DW58,IF(A59&lt;'Données projet'!$A$166,$DL$205^A59,IF(A59='Données projet'!$A$166,'Données projet'!$B$166,DO58+DN59-DW58)))</f>
        <v>315.80000000000024</v>
      </c>
      <c r="DP59" s="17">
        <f>DO59*VLOOKUP('Données projet'!$B$14,Paramètres!$A$1:$I$89,3,0)*VLOOKUP('Données projet'!$B$14,Paramètres!$A$1:$I$89,5,0)</f>
        <v>197.05920000000015</v>
      </c>
      <c r="DQ59" s="13">
        <f t="shared" si="43"/>
        <v>49.097312759424973</v>
      </c>
      <c r="DR59" s="20">
        <f t="shared" si="16"/>
        <v>428.72259305599874</v>
      </c>
      <c r="DS59" s="59">
        <f t="shared" si="17"/>
        <v>722.05592638933206</v>
      </c>
      <c r="DT59" s="59">
        <f ca="1">AVERAGE(OFFSET($DS$3,0,0,'Données projet'!$E$14+1,1))-AVERAGE(OFFSET($H$3,0,0,'Données projet'!$E$14+1,1))</f>
        <v>209.93608079129638</v>
      </c>
      <c r="DU59" s="59">
        <f t="shared" si="44"/>
        <v>240.15652428700969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4.1549896824023449</v>
      </c>
      <c r="EB59" s="21">
        <f>EXP(-LN(2)/25)*EB58+(1-EXP(-LN(2)/25))/(LN(2)/25)*Calculateur!DW59*Calculateur!DY59*VLOOKUP('Données projet'!$B$14,Paramètres!$A$1:$I$89,3,0)*0.475*44/12</f>
        <v>10.109731003936314</v>
      </c>
      <c r="EC59" s="21">
        <f>EXP(-LN(2)/2)*EC58+(1-EXP(-LN(2)/2))/(LN(2)/2)*DW59*DZ59*VLOOKUP('Données projet'!$B$14,Paramètres!$A$1:$I$89,3,0)*0.475*44/12</f>
        <v>2.4646991581683477E-3</v>
      </c>
      <c r="ED59" s="22">
        <f t="shared" si="18"/>
        <v>14.267185385496827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11.4</v>
      </c>
      <c r="EJ59" s="12">
        <f>IF('Données projet'!$A$192&gt;35,EJ58+EI59-ER58,IF(A59&lt;'Données projet'!$A$192,$EG$205^A59,IF(A59='Données projet'!$A$192,'Données projet'!$B$192,EJ58+EI59-ER58)))</f>
        <v>341.39999999999986</v>
      </c>
      <c r="EK59" s="17">
        <f>EJ59*VLOOKUP('Données projet'!$B$15,Paramètres!$A$1:$I$89,3,0)*VLOOKUP('Données projet'!$B$15,Paramètres!$A$1:$I$89,5,0)</f>
        <v>204.15719999999996</v>
      </c>
      <c r="EL59" s="13">
        <f t="shared" si="45"/>
        <v>50.656697660408256</v>
      </c>
      <c r="EM59" s="20">
        <f t="shared" si="19"/>
        <v>443.80087175854425</v>
      </c>
      <c r="EN59" s="59">
        <f t="shared" si="20"/>
        <v>737.13420509187756</v>
      </c>
      <c r="EO59" s="59">
        <f ca="1">AVERAGE(OFFSET($EN$3,0,0,'Données projet'!$E$15+1,1))-AVERAGE(OFFSET($H$3,0,0,'Données projet'!$E$15+1,1))</f>
        <v>216.94426559495264</v>
      </c>
      <c r="EP59" s="59">
        <f t="shared" si="46"/>
        <v>225.33715877618704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6.2489498821557508</v>
      </c>
      <c r="EX59" s="21">
        <f>EXP(-LN(2)/2)*EX58+(1-EXP(-LN(2)/2))/(LN(2)/2)*ER59*EU59*VLOOKUP('Données projet'!$B$15,Paramètres!$A$1:$I$89,3,0)*0.475*44/12</f>
        <v>2.8966503752220424E-3</v>
      </c>
      <c r="EY59" s="22">
        <f t="shared" si="21"/>
        <v>6.2518465325309727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2.625</v>
      </c>
      <c r="FE59" s="12">
        <f>IF('Données projet'!$A$218&gt;35,FE58+FD59-FM58,IF(A59&lt;'Données projet'!$A$218,$FB$205^A59,IF(A59='Données projet'!$A$218,'Données projet'!$B$218,FE58+FD59-FM58)))</f>
        <v>300.25</v>
      </c>
      <c r="FF59" s="17">
        <f>FE59*VLOOKUP('Données projet'!$B$16,Paramètres!$A$1:$I$89,3,0)*VLOOKUP('Données projet'!$B$16,Paramètres!$A$1:$I$89,5,0)</f>
        <v>179.54950000000002</v>
      </c>
      <c r="FG59" s="13">
        <f t="shared" si="47"/>
        <v>45.221943603548368</v>
      </c>
      <c r="FH59" s="20">
        <f t="shared" si="22"/>
        <v>391.47693094284676</v>
      </c>
      <c r="FI59" s="59">
        <f t="shared" si="23"/>
        <v>684.81026427618008</v>
      </c>
      <c r="FJ59" s="59">
        <f ca="1">AVERAGE(OFFSET($FI$3,0,0,'Données projet'!$E$16+1,1))-AVERAGE(OFFSET($H$3,0,0,'Données projet'!$E$16+1,1))</f>
        <v>168.08890945052406</v>
      </c>
      <c r="FK59" s="59">
        <f t="shared" si="48"/>
        <v>182.52462557642343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3.7121681094639118</v>
      </c>
      <c r="FR59" s="21">
        <f>EXP(-LN(2)/25)*FR58+(1-EXP(-LN(2)/25))/(LN(2)/25)*Calculateur!FM59*Calculateur!FO59*VLOOKUP('Données projet'!$B$16,Paramètres!$A$1:$I$89,3,0)*0.475*44/12</f>
        <v>5.9968468141615787</v>
      </c>
      <c r="FS59" s="21">
        <f>EXP(-LN(2)/2)*FS58+(1-EXP(-LN(2)/2))/(LN(2)/2)*FM59*FP59*VLOOKUP('Données projet'!$B$16,Paramètres!$A$1:$I$89,3,0)*0.475*44/12</f>
        <v>6.6475736988209975E-4</v>
      </c>
      <c r="FT59" s="22">
        <f t="shared" si="24"/>
        <v>9.7096796809953734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12.25</v>
      </c>
      <c r="FZ59" s="12">
        <f>IF('Données projet'!$A$244&gt;35,FZ58+FY59-GH58,IF(A59&lt;'Données projet'!$A$244,$FW$205^A59,IF(A59='Données projet'!$A$244,'Données projet'!$B$244,FZ58+FY59-GH58)))</f>
        <v>347.49999999999994</v>
      </c>
      <c r="GA59" s="17">
        <f>FZ59*VLOOKUP('Données projet'!$B$17,Paramètres!$A$1:$I$89,3,0)*VLOOKUP('Données projet'!$B$17,Paramètres!$A$1:$I$89,5,0)</f>
        <v>198.76999999999998</v>
      </c>
      <c r="GB59" s="13">
        <f t="shared" si="49"/>
        <v>49.473753977140319</v>
      </c>
      <c r="GC59" s="20">
        <f t="shared" si="25"/>
        <v>432.35787151018599</v>
      </c>
      <c r="GD59" s="59">
        <f t="shared" si="26"/>
        <v>725.69120484351924</v>
      </c>
      <c r="GE59" s="59">
        <f ca="1">AVERAGE(OFFSET($GD$3,0,0,'Données projet'!$E$17+1,1))-AVERAGE(OFFSET($H$3,0,0,'Données projet'!$E$17+1,1))</f>
        <v>196.95560009657527</v>
      </c>
      <c r="GF59" s="59">
        <f t="shared" si="50"/>
        <v>168.90186968005662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0</v>
      </c>
      <c r="GM59" s="21">
        <f>EXP(-LN(2)/25)*GM58+(1-EXP(-LN(2)/25))/(LN(2)/25)*Calculateur!GH59*Calculateur!GJ59*VLOOKUP('Données projet'!$B$17,Paramètres!$A$1:$I$89,3,0)*0.475*44/12</f>
        <v>4.4892592349233409</v>
      </c>
      <c r="GN59" s="21">
        <f>EXP(-LN(2)/2)*GN58+(1-EXP(-LN(2)/2))/(LN(2)/2)*GH59*GK59*VLOOKUP('Données projet'!$B$17,Paramètres!$A$1:$I$89,3,0)*0.475*44/12</f>
        <v>1.5697727480743131E-3</v>
      </c>
      <c r="GO59" s="21">
        <f t="shared" si="27"/>
        <v>4.4908290076714152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13.499999999999996</v>
      </c>
      <c r="N60" s="13">
        <f>IF('Données projet'!$A$36&gt;35,N59+M60-V59,IF(A60&lt;'Données projet'!$A$36,$K$205^A60,IF(A60='Données projet'!$A$36,'Données projet'!$B$36,N59+M60-V59)))</f>
        <v>334.29999999999984</v>
      </c>
      <c r="O60" s="13">
        <f>N60*VLOOKUP('Données projet'!$B$9,Paramètres!$A$1:$I$89,3,0)*VLOOKUP('Données projet'!$B$9,Paramètres!$A$1:$I$89,5,0)</f>
        <v>156.45239999999993</v>
      </c>
      <c r="P60" s="13">
        <f t="shared" si="33"/>
        <v>40.041303130551007</v>
      </c>
      <c r="Q60" s="20">
        <f t="shared" si="53"/>
        <v>342.2265329523762</v>
      </c>
      <c r="R60" s="59">
        <f t="shared" si="0"/>
        <v>635.55986628570952</v>
      </c>
      <c r="S60" s="59">
        <f ca="1">AVERAGE(OFFSET($R$3,0,0,'Données projet'!$E$9+1,1))-AVERAGE(OFFSET($H$3,0,0,'Données projet'!$E$9+1,1))</f>
        <v>215.23235148064941</v>
      </c>
      <c r="T60" s="59">
        <f t="shared" si="34"/>
        <v>184.07239726900434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1.8363541496162219</v>
      </c>
      <c r="AA60" s="21">
        <f>EXP(-LN(2)/25)*AA59+(1-EXP(-LN(2)/25))/(LN(2)/25)*Calculateur!V60*Calculateur!X60*VLOOKUP('Données projet'!$B$9,Paramètres!$A$1:$I$89,3,0)*0.475*44/12</f>
        <v>3.7158610603378186</v>
      </c>
      <c r="AB60" s="21">
        <f>EXP(-LN(2)/2)*AB59+(1-EXP(-LN(2)/2))/(LN(2)/2)*V60*Y60*VLOOKUP('Données projet'!$B$9,Paramètres!$A$1:$I$89,3,0)*0.475*44/12</f>
        <v>8.4868147742189661E-4</v>
      </c>
      <c r="AC60" s="22">
        <f t="shared" si="3"/>
        <v>5.5530638914314618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5.6</v>
      </c>
      <c r="AI60" s="13">
        <f>IF('Données projet'!$A$62&gt;35,AI59+AH60-AQ59,IF(A60&lt;'Données projet'!$A$62,$AF$205^A60,IF(A60='Données projet'!$A$62,'Données projet'!$B$62,AI59+AH60-AQ59)))</f>
        <v>241.1999999999997</v>
      </c>
      <c r="AJ60" s="13">
        <f>AI60*VLOOKUP('Données projet'!$B$10,Paramètres!$A$1:$I$89,3,0)*VLOOKUP('Données projet'!$B$10,Paramètres!$A$1:$I$89,5,0)</f>
        <v>176.84783999999976</v>
      </c>
      <c r="AK60" s="13">
        <f t="shared" si="35"/>
        <v>44.620169178759383</v>
      </c>
      <c r="AL60" s="20">
        <f t="shared" si="4"/>
        <v>385.72344931967217</v>
      </c>
      <c r="AM60" s="59">
        <f t="shared" si="5"/>
        <v>679.05678265300548</v>
      </c>
      <c r="AN60" s="59">
        <f ca="1">AVERAGE(OFFSET($AM$3,0,0,'Données projet'!$E$10+1,1))-AVERAGE(OFFSET($H$3,0,0,'Données projet'!$E$10+1,1))</f>
        <v>178.12968684094687</v>
      </c>
      <c r="AO60" s="59">
        <f t="shared" si="36"/>
        <v>219.36004077210373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3.6368610985742813</v>
      </c>
      <c r="AW60" s="21">
        <f>EXP(-LN(2)/2)*AW59+(1-EXP(-LN(2)/2))/(LN(2)/2)*AQ60*AT60*VLOOKUP('Données projet'!$B$10,Paramètres!$A$1:$I$89,3,0)*0.475*44/12</f>
        <v>8.5604758600238352E-4</v>
      </c>
      <c r="AX60" s="21">
        <f t="shared" si="6"/>
        <v>3.6377171461602837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4.0999999999999996</v>
      </c>
      <c r="BD60" s="12">
        <f>IF('Données projet'!$A$88&gt;35,BD59+BC60-BL59,IF(A60&lt;'Données projet'!$A$88,$BA$205^A60,IF(A60='Données projet'!$A$88,'Données projet'!$B$88,BD59+BC60-BL59)))</f>
        <v>144.6999999999999</v>
      </c>
      <c r="BE60" s="13">
        <f>BD60*VLOOKUP('Données projet'!$B$11,Paramètres!$A$1:$I$89,3,0)*VLOOKUP('Données projet'!$B$11,Paramètres!$A$1:$I$89,5,0)</f>
        <v>126.40991999999993</v>
      </c>
      <c r="BF60" s="13">
        <f t="shared" si="37"/>
        <v>33.16545003106458</v>
      </c>
      <c r="BG60" s="20">
        <f t="shared" si="7"/>
        <v>277.92710280410398</v>
      </c>
      <c r="BH60" s="59">
        <f t="shared" si="8"/>
        <v>571.2604361374373</v>
      </c>
      <c r="BI60" s="59">
        <f ca="1">AVERAGE(OFFSET($BH$3,0,0,'Données projet'!$E$11+1,1))-AVERAGE(OFFSET($H$3,0,0,'Données projet'!$E$11+1,1))</f>
        <v>114.02623091248347</v>
      </c>
      <c r="BJ60" s="59">
        <f t="shared" si="38"/>
        <v>185.51554083721635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1.143412431707959</v>
      </c>
      <c r="BQ60" s="21">
        <f>EXP(-LN(2)/25)*BQ59+(1-EXP(-LN(2)/25))/(LN(2)/25)*Calculateur!BL60*Calculateur!BN60*VLOOKUP('Données projet'!$B$11,Paramètres!$A$1:$I$89,3,0)*0.475*44/12</f>
        <v>5.3244741788453158</v>
      </c>
      <c r="BR60" s="21">
        <f>EXP(-LN(2)/2)*BR59+(1-EXP(-LN(2)/2))/(LN(2)/2)*BL60*BO60*VLOOKUP('Données projet'!$B$11,Paramètres!$A$1:$I$89,3,0)*0.475*44/12</f>
        <v>1.5225646781187637E-3</v>
      </c>
      <c r="BS60" s="22">
        <f t="shared" si="9"/>
        <v>6.4694091752313936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7.8</v>
      </c>
      <c r="BY60" s="12">
        <f>IF('Données projet'!$A$114&gt;35,BY59+BX60-CG59,IF(A60&lt;'Données projet'!$A$114,$BV$205^A60,IF(A60='Données projet'!$A$114,'Données projet'!$B$114,BY59+BX60-CG59)))</f>
        <v>211.60000000000014</v>
      </c>
      <c r="BZ60" s="13">
        <f>BY60*VLOOKUP('Données projet'!$B$12,Paramètres!$A$1:$I$89,3,0)*VLOOKUP('Données projet'!$B$12,Paramètres!$A$1:$I$89,5,0)</f>
        <v>191.45568000000011</v>
      </c>
      <c r="CA60" s="13">
        <f t="shared" si="39"/>
        <v>47.861639935303188</v>
      </c>
      <c r="CB60" s="20">
        <f t="shared" si="10"/>
        <v>416.81099888731995</v>
      </c>
      <c r="CC60" s="59">
        <f t="shared" si="11"/>
        <v>710.14433222065327</v>
      </c>
      <c r="CD60" s="59">
        <f ca="1">AVERAGE(OFFSET($CC$3,0,0,'Données projet'!$E$12+1,1))-AVERAGE(OFFSET($H$3,0,0,'Données projet'!$E$12+1,1))</f>
        <v>237.22177246688199</v>
      </c>
      <c r="CE60" s="59">
        <f t="shared" si="40"/>
        <v>149.27472147904302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1.4691982791705009</v>
      </c>
      <c r="CM60" s="21">
        <f>EXP(-LN(2)/2)*CM59+(1-EXP(-LN(2)/2))/(LN(2)/2)*CG60*CJ60*VLOOKUP('Données projet'!$B$12,Paramètres!$A$1:$I$89,3,0)*0.475*44/12</f>
        <v>5.3424436511093131E-4</v>
      </c>
      <c r="CN60" s="22">
        <f t="shared" si="12"/>
        <v>1.4697325235356118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16.2</v>
      </c>
      <c r="CT60" s="12">
        <f>IF('Données projet'!$A$140&gt;35,CT59+CS60-DB59,IF(A60&lt;'Données projet'!$A$140,$CQ$205^A60,IF(A60='Données projet'!$A$140,'Données projet'!$B$140,CT59+CS60-DB59)))</f>
        <v>514.39999999999975</v>
      </c>
      <c r="CU60" s="17">
        <f>CT60*VLOOKUP('Données projet'!$B$13,Paramètres!$A$1:$I$89,3,0)*VLOOKUP('Données projet'!$B$13,Paramètres!$A$1:$I$89,5,0)</f>
        <v>287.54959999999988</v>
      </c>
      <c r="CV60" s="13">
        <f t="shared" si="41"/>
        <v>68.559977517591122</v>
      </c>
      <c r="CW60" s="20">
        <f t="shared" si="13"/>
        <v>620.22418084313767</v>
      </c>
      <c r="CX60" s="59">
        <f t="shared" si="14"/>
        <v>913.55751417647093</v>
      </c>
      <c r="CY60" s="59">
        <f ca="1">AVERAGE(OFFSET($CX$3,0,0,'Données projet'!$E$13+1,1))-AVERAGE(OFFSET($H$3,0,0,'Données projet'!$E$13+1,1))</f>
        <v>326.31232746914907</v>
      </c>
      <c r="CZ60" s="59">
        <f t="shared" si="42"/>
        <v>330.17137761430297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2.6760716486782044</v>
      </c>
      <c r="DG60" s="21">
        <f>EXP(-LN(2)/25)*DG59+(1-EXP(-LN(2)/25))/(LN(2)/25)*Calculateur!DB60*Calculateur!DD60*VLOOKUP('Données projet'!$B$13,Paramètres!$A$1:$I$89,3,0)*0.475*44/12</f>
        <v>14.272674216852019</v>
      </c>
      <c r="DH60" s="21">
        <f>EXP(-LN(2)/2)*DH59+(1-EXP(-LN(2)/2))/(LN(2)/2)*DB60*DE60*VLOOKUP('Données projet'!$B$13,Paramètres!$A$1:$I$89,3,0)*0.475*44/12</f>
        <v>2.8072008331400042E-3</v>
      </c>
      <c r="DI60" s="22">
        <f t="shared" si="15"/>
        <v>16.951553066363363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8.8000000000000007</v>
      </c>
      <c r="DO60" s="12">
        <f>IF('Données projet'!$A$166&gt;35,DO59+DN60-DW59,IF(A60&lt;'Données projet'!$A$166,$DL$205^A60,IF(A60='Données projet'!$A$166,'Données projet'!$B$166,DO59+DN60-DW59)))</f>
        <v>324.60000000000025</v>
      </c>
      <c r="DP60" s="17">
        <f>DO60*VLOOKUP('Données projet'!$B$14,Paramètres!$A$1:$I$89,3,0)*VLOOKUP('Données projet'!$B$14,Paramètres!$A$1:$I$89,5,0)</f>
        <v>202.55040000000014</v>
      </c>
      <c r="DQ60" s="13">
        <f t="shared" si="43"/>
        <v>50.304254428465725</v>
      </c>
      <c r="DR60" s="20">
        <f t="shared" si="16"/>
        <v>440.38852312957806</v>
      </c>
      <c r="DS60" s="59">
        <f t="shared" si="17"/>
        <v>733.72185646291132</v>
      </c>
      <c r="DT60" s="59">
        <f ca="1">AVERAGE(OFFSET($DS$3,0,0,'Données projet'!$E$14+1,1))-AVERAGE(OFFSET($H$3,0,0,'Données projet'!$E$14+1,1))</f>
        <v>209.93608079129638</v>
      </c>
      <c r="DU60" s="59">
        <f t="shared" si="44"/>
        <v>240.15652428700969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4.0735128690239009</v>
      </c>
      <c r="EB60" s="21">
        <f>EXP(-LN(2)/25)*EB59+(1-EXP(-LN(2)/25))/(LN(2)/25)*Calculateur!DW60*Calculateur!DY60*VLOOKUP('Données projet'!$B$14,Paramètres!$A$1:$I$89,3,0)*0.475*44/12</f>
        <v>9.833279877986028</v>
      </c>
      <c r="EC60" s="21">
        <f>EXP(-LN(2)/2)*EC59+(1-EXP(-LN(2)/2))/(LN(2)/2)*DW60*DZ60*VLOOKUP('Données projet'!$B$14,Paramètres!$A$1:$I$89,3,0)*0.475*44/12</f>
        <v>1.7428054883256137E-3</v>
      </c>
      <c r="ED60" s="22">
        <f t="shared" si="18"/>
        <v>13.908535552498254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11.4</v>
      </c>
      <c r="EJ60" s="12">
        <f>IF('Données projet'!$A$192&gt;35,EJ59+EI60-ER59,IF(A60&lt;'Données projet'!$A$192,$EG$205^A60,IF(A60='Données projet'!$A$192,'Données projet'!$B$192,EJ59+EI60-ER59)))</f>
        <v>352.79999999999984</v>
      </c>
      <c r="EK60" s="17">
        <f>EJ60*VLOOKUP('Données projet'!$B$15,Paramètres!$A$1:$I$89,3,0)*VLOOKUP('Données projet'!$B$15,Paramètres!$A$1:$I$89,5,0)</f>
        <v>210.97439999999992</v>
      </c>
      <c r="EL60" s="13">
        <f t="shared" si="45"/>
        <v>52.148459211324706</v>
      </c>
      <c r="EM60" s="20">
        <f t="shared" si="19"/>
        <v>458.27231312639037</v>
      </c>
      <c r="EN60" s="59">
        <f t="shared" si="20"/>
        <v>751.60564645972363</v>
      </c>
      <c r="EO60" s="59">
        <f ca="1">AVERAGE(OFFSET($EN$3,0,0,'Données projet'!$E$15+1,1))-AVERAGE(OFFSET($H$3,0,0,'Données projet'!$E$15+1,1))</f>
        <v>216.94426559495264</v>
      </c>
      <c r="EP60" s="59">
        <f t="shared" si="46"/>
        <v>225.33715877618704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6.07807201901021</v>
      </c>
      <c r="EX60" s="21">
        <f>EXP(-LN(2)/2)*EX59+(1-EXP(-LN(2)/2))/(LN(2)/2)*ER60*EU60*VLOOKUP('Données projet'!$B$15,Paramètres!$A$1:$I$89,3,0)*0.475*44/12</f>
        <v>2.0482411230460635E-3</v>
      </c>
      <c r="EY60" s="22">
        <f t="shared" si="21"/>
        <v>6.0801202601332562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2.625</v>
      </c>
      <c r="FE60" s="12">
        <f>IF('Données projet'!$A$218&gt;35,FE59+FD60-FM59,IF(A60&lt;'Données projet'!$A$218,$FB$205^A60,IF(A60='Données projet'!$A$218,'Données projet'!$B$218,FE59+FD60-FM59)))</f>
        <v>302.875</v>
      </c>
      <c r="FF60" s="17">
        <f>FE60*VLOOKUP('Données projet'!$B$16,Paramètres!$A$1:$I$89,3,0)*VLOOKUP('Données projet'!$B$16,Paramètres!$A$1:$I$89,5,0)</f>
        <v>181.11925000000002</v>
      </c>
      <c r="FG60" s="13">
        <f t="shared" si="47"/>
        <v>45.571108763102352</v>
      </c>
      <c r="FH60" s="20">
        <f t="shared" si="22"/>
        <v>394.81904151240332</v>
      </c>
      <c r="FI60" s="59">
        <f t="shared" si="23"/>
        <v>688.15237484573663</v>
      </c>
      <c r="FJ60" s="59">
        <f ca="1">AVERAGE(OFFSET($FI$3,0,0,'Données projet'!$E$16+1,1))-AVERAGE(OFFSET($H$3,0,0,'Données projet'!$E$16+1,1))</f>
        <v>168.08890945052406</v>
      </c>
      <c r="FK60" s="59">
        <f t="shared" si="48"/>
        <v>182.52462557642343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3.6393747570363004</v>
      </c>
      <c r="FR60" s="21">
        <f>EXP(-LN(2)/25)*FR59+(1-EXP(-LN(2)/25))/(LN(2)/25)*Calculateur!FM60*Calculateur!FO60*VLOOKUP('Données projet'!$B$16,Paramètres!$A$1:$I$89,3,0)*0.475*44/12</f>
        <v>5.832862722667862</v>
      </c>
      <c r="FS60" s="21">
        <f>EXP(-LN(2)/2)*FS59+(1-EXP(-LN(2)/2))/(LN(2)/2)*FM60*FP60*VLOOKUP('Données projet'!$B$16,Paramètres!$A$1:$I$89,3,0)*0.475*44/12</f>
        <v>4.7005444408736678E-4</v>
      </c>
      <c r="FT60" s="22">
        <f t="shared" si="24"/>
        <v>9.472707534148249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12.25</v>
      </c>
      <c r="FZ60" s="12">
        <f>IF('Données projet'!$A$244&gt;35,FZ59+FY60-GH59,IF(A60&lt;'Données projet'!$A$244,$FW$205^A60,IF(A60='Données projet'!$A$244,'Données projet'!$B$244,FZ59+FY60-GH59)))</f>
        <v>359.74999999999994</v>
      </c>
      <c r="GA60" s="17">
        <f>FZ60*VLOOKUP('Données projet'!$B$17,Paramètres!$A$1:$I$89,3,0)*VLOOKUP('Données projet'!$B$17,Paramètres!$A$1:$I$89,5,0)</f>
        <v>205.77699999999996</v>
      </c>
      <c r="GB60" s="13">
        <f t="shared" si="49"/>
        <v>51.011665720992838</v>
      </c>
      <c r="GC60" s="20">
        <f t="shared" si="25"/>
        <v>447.24025946406249</v>
      </c>
      <c r="GD60" s="59">
        <f t="shared" si="26"/>
        <v>740.5735927973958</v>
      </c>
      <c r="GE60" s="59">
        <f ca="1">AVERAGE(OFFSET($GD$3,0,0,'Données projet'!$E$17+1,1))-AVERAGE(OFFSET($H$3,0,0,'Données projet'!$E$17+1,1))</f>
        <v>196.95560009657527</v>
      </c>
      <c r="GF60" s="59">
        <f t="shared" si="50"/>
        <v>168.90186968005662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0</v>
      </c>
      <c r="GM60" s="21">
        <f>EXP(-LN(2)/25)*GM59+(1-EXP(-LN(2)/25))/(LN(2)/25)*Calculateur!GH60*Calculateur!GJ60*VLOOKUP('Données projet'!$B$17,Paramètres!$A$1:$I$89,3,0)*0.475*44/12</f>
        <v>4.3665002050644794</v>
      </c>
      <c r="GN60" s="21">
        <f>EXP(-LN(2)/2)*GN59+(1-EXP(-LN(2)/2))/(LN(2)/2)*GH60*GK60*VLOOKUP('Données projet'!$B$17,Paramètres!$A$1:$I$89,3,0)*0.475*44/12</f>
        <v>1.1099969550851887E-3</v>
      </c>
      <c r="GO60" s="21">
        <f t="shared" si="27"/>
        <v>4.3676102020195646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13.499999999999996</v>
      </c>
      <c r="N61" s="13">
        <f>IF('Données projet'!$A$36&gt;35,N60+M61-V60,IF(A61&lt;'Données projet'!$A$36,$K$205^A61,IF(A61='Données projet'!$A$36,'Données projet'!$B$36,N60+M61-V60)))</f>
        <v>347.79999999999984</v>
      </c>
      <c r="O61" s="13">
        <f>N61*VLOOKUP('Données projet'!$B$9,Paramètres!$A$1:$I$89,3,0)*VLOOKUP('Données projet'!$B$9,Paramètres!$A$1:$I$89,5,0)</f>
        <v>162.77039999999994</v>
      </c>
      <c r="P61" s="13">
        <f t="shared" si="33"/>
        <v>41.466761176934256</v>
      </c>
      <c r="Q61" s="20">
        <f t="shared" si="53"/>
        <v>355.71305571649367</v>
      </c>
      <c r="R61" s="59">
        <f t="shared" si="0"/>
        <v>649.04638904982698</v>
      </c>
      <c r="S61" s="59">
        <f ca="1">AVERAGE(OFFSET($R$3,0,0,'Données projet'!$E$9+1,1))-AVERAGE(OFFSET($H$3,0,0,'Données projet'!$E$9+1,1))</f>
        <v>215.23235148064941</v>
      </c>
      <c r="T61" s="59">
        <f t="shared" si="34"/>
        <v>184.07239726900434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1.8003443648076818</v>
      </c>
      <c r="AA61" s="21">
        <f>EXP(-LN(2)/25)*AA60+(1-EXP(-LN(2)/25))/(LN(2)/25)*Calculateur!V61*Calculateur!X61*VLOOKUP('Données projet'!$B$9,Paramètres!$A$1:$I$89,3,0)*0.475*44/12</f>
        <v>3.6142506442342404</v>
      </c>
      <c r="AB61" s="21">
        <f>EXP(-LN(2)/2)*AB60+(1-EXP(-LN(2)/2))/(LN(2)/2)*V61*Y61*VLOOKUP('Données projet'!$B$9,Paramètres!$A$1:$I$89,3,0)*0.475*44/12</f>
        <v>6.0010842775244091E-4</v>
      </c>
      <c r="AC61" s="22">
        <f t="shared" si="3"/>
        <v>5.4151951174696746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5.6</v>
      </c>
      <c r="AI61" s="13">
        <f>IF('Données projet'!$A$62&gt;35,AI60+AH61-AQ60,IF(A61&lt;'Données projet'!$A$62,$AF$205^A61,IF(A61='Données projet'!$A$62,'Données projet'!$B$62,AI60+AH61-AQ60)))</f>
        <v>246.7999999999997</v>
      </c>
      <c r="AJ61" s="13">
        <f>AI61*VLOOKUP('Données projet'!$B$10,Paramètres!$A$1:$I$89,3,0)*VLOOKUP('Données projet'!$B$10,Paramètres!$A$1:$I$89,5,0)</f>
        <v>180.95375999999979</v>
      </c>
      <c r="AK61" s="13">
        <f t="shared" si="35"/>
        <v>45.534314886343658</v>
      </c>
      <c r="AL61" s="20">
        <f t="shared" si="4"/>
        <v>394.46673042704816</v>
      </c>
      <c r="AM61" s="59">
        <f t="shared" si="5"/>
        <v>687.80006376038148</v>
      </c>
      <c r="AN61" s="59">
        <f ca="1">AVERAGE(OFFSET($AM$3,0,0,'Données projet'!$E$10+1,1))-AVERAGE(OFFSET($H$3,0,0,'Données projet'!$E$10+1,1))</f>
        <v>178.12968684094687</v>
      </c>
      <c r="AO61" s="59">
        <f t="shared" si="36"/>
        <v>219.36004077210373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3.5374109405795546</v>
      </c>
      <c r="AW61" s="21">
        <f>EXP(-LN(2)/2)*AW60+(1-EXP(-LN(2)/2))/(LN(2)/2)*AQ61*AT61*VLOOKUP('Données projet'!$B$10,Paramètres!$A$1:$I$89,3,0)*0.475*44/12</f>
        <v>6.0531705308065962E-4</v>
      </c>
      <c r="AX61" s="21">
        <f t="shared" si="6"/>
        <v>3.5380162576326355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4.0999999999999996</v>
      </c>
      <c r="BD61" s="12">
        <f>IF('Données projet'!$A$88&gt;35,BD60+BC61-BL60,IF(A61&lt;'Données projet'!$A$88,$BA$205^A61,IF(A61='Données projet'!$A$88,'Données projet'!$B$88,BD60+BC61-BL60)))</f>
        <v>148.7999999999999</v>
      </c>
      <c r="BE61" s="13">
        <f>BD61*VLOOKUP('Données projet'!$B$11,Paramètres!$A$1:$I$89,3,0)*VLOOKUP('Données projet'!$B$11,Paramètres!$A$1:$I$89,5,0)</f>
        <v>129.99167999999992</v>
      </c>
      <c r="BF61" s="13">
        <f t="shared" si="37"/>
        <v>33.994436817469825</v>
      </c>
      <c r="BG61" s="20">
        <f t="shared" si="7"/>
        <v>285.6091534570931</v>
      </c>
      <c r="BH61" s="59">
        <f t="shared" si="8"/>
        <v>578.94248679042641</v>
      </c>
      <c r="BI61" s="59">
        <f ca="1">AVERAGE(OFFSET($BH$3,0,0,'Données projet'!$E$11+1,1))-AVERAGE(OFFSET($H$3,0,0,'Données projet'!$E$11+1,1))</f>
        <v>114.02623091248347</v>
      </c>
      <c r="BJ61" s="59">
        <f t="shared" si="38"/>
        <v>185.51554083721635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1.1209908113348854</v>
      </c>
      <c r="BQ61" s="21">
        <f>EXP(-LN(2)/25)*BQ60+(1-EXP(-LN(2)/25))/(LN(2)/25)*Calculateur!BL61*Calculateur!BN61*VLOOKUP('Données projet'!$B$11,Paramètres!$A$1:$I$89,3,0)*0.475*44/12</f>
        <v>5.1788761524228626</v>
      </c>
      <c r="BR61" s="21">
        <f>EXP(-LN(2)/2)*BR60+(1-EXP(-LN(2)/2))/(LN(2)/2)*BL61*BO61*VLOOKUP('Données projet'!$B$11,Paramètres!$A$1:$I$89,3,0)*0.475*44/12</f>
        <v>1.0766158086928908E-3</v>
      </c>
      <c r="BS61" s="22">
        <f t="shared" si="9"/>
        <v>6.3009435795664412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7.8</v>
      </c>
      <c r="BY61" s="12">
        <f>IF('Données projet'!$A$114&gt;35,BY60+BX61-CG60,IF(A61&lt;'Données projet'!$A$114,$BV$205^A61,IF(A61='Données projet'!$A$114,'Données projet'!$B$114,BY60+BX61-CG60)))</f>
        <v>219.40000000000015</v>
      </c>
      <c r="BZ61" s="13">
        <f>BY61*VLOOKUP('Données projet'!$B$12,Paramètres!$A$1:$I$89,3,0)*VLOOKUP('Données projet'!$B$12,Paramètres!$A$1:$I$89,5,0)</f>
        <v>198.51312000000013</v>
      </c>
      <c r="CA61" s="13">
        <f t="shared" si="39"/>
        <v>49.417254724004458</v>
      </c>
      <c r="CB61" s="20">
        <f t="shared" si="10"/>
        <v>431.81206931097466</v>
      </c>
      <c r="CC61" s="59">
        <f t="shared" si="11"/>
        <v>725.14540264430798</v>
      </c>
      <c r="CD61" s="59">
        <f ca="1">AVERAGE(OFFSET($CC$3,0,0,'Données projet'!$E$12+1,1))-AVERAGE(OFFSET($H$3,0,0,'Données projet'!$E$12+1,1))</f>
        <v>237.22177246688199</v>
      </c>
      <c r="CE61" s="59">
        <f t="shared" si="40"/>
        <v>149.27472147904302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1.429022974964804</v>
      </c>
      <c r="CM61" s="21">
        <f>EXP(-LN(2)/2)*CM60+(1-EXP(-LN(2)/2))/(LN(2)/2)*CG61*CJ61*VLOOKUP('Données projet'!$B$12,Paramètres!$A$1:$I$89,3,0)*0.475*44/12</f>
        <v>3.7776781338064131E-4</v>
      </c>
      <c r="CN61" s="22">
        <f t="shared" si="12"/>
        <v>1.4294007427781847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16.2</v>
      </c>
      <c r="CT61" s="12">
        <f>IF('Données projet'!$A$140&gt;35,CT60+CS61-DB60,IF(A61&lt;'Données projet'!$A$140,$CQ$205^A61,IF(A61='Données projet'!$A$140,'Données projet'!$B$140,CT60+CS61-DB60)))</f>
        <v>530.5999999999998</v>
      </c>
      <c r="CU61" s="17">
        <f>CT61*VLOOKUP('Données projet'!$B$13,Paramètres!$A$1:$I$89,3,0)*VLOOKUP('Données projet'!$B$13,Paramètres!$A$1:$I$89,5,0)</f>
        <v>296.60539999999986</v>
      </c>
      <c r="CV61" s="13">
        <f t="shared" si="41"/>
        <v>70.464354291088782</v>
      </c>
      <c r="CW61" s="20">
        <f t="shared" si="13"/>
        <v>639.31315539031277</v>
      </c>
      <c r="CX61" s="59">
        <f t="shared" si="14"/>
        <v>932.64648872364614</v>
      </c>
      <c r="CY61" s="59">
        <f ca="1">AVERAGE(OFFSET($CX$3,0,0,'Données projet'!$E$13+1,1))-AVERAGE(OFFSET($H$3,0,0,'Données projet'!$E$13+1,1))</f>
        <v>326.31232746914907</v>
      </c>
      <c r="CZ61" s="59">
        <f t="shared" si="42"/>
        <v>330.17137761430297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2.6235955158901598</v>
      </c>
      <c r="DG61" s="21">
        <f>EXP(-LN(2)/25)*DG60+(1-EXP(-LN(2)/25))/(LN(2)/25)*Calculateur!DB61*Calculateur!DD61*VLOOKUP('Données projet'!$B$13,Paramètres!$A$1:$I$89,3,0)*0.475*44/12</f>
        <v>13.882387189824884</v>
      </c>
      <c r="DH61" s="21">
        <f>EXP(-LN(2)/2)*DH60+(1-EXP(-LN(2)/2))/(LN(2)/2)*DB61*DE61*VLOOKUP('Données projet'!$B$13,Paramètres!$A$1:$I$89,3,0)*0.475*44/12</f>
        <v>1.9849907452658229E-3</v>
      </c>
      <c r="DI61" s="22">
        <f t="shared" si="15"/>
        <v>16.507967696460312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8.8000000000000007</v>
      </c>
      <c r="DO61" s="12">
        <f>IF('Données projet'!$A$166&gt;35,DO60+DN61-DW60,IF(A61&lt;'Données projet'!$A$166,$DL$205^A61,IF(A61='Données projet'!$A$166,'Données projet'!$B$166,DO60+DN61-DW60)))</f>
        <v>333.40000000000026</v>
      </c>
      <c r="DP61" s="17">
        <f>DO61*VLOOKUP('Données projet'!$B$14,Paramètres!$A$1:$I$89,3,0)*VLOOKUP('Données projet'!$B$14,Paramètres!$A$1:$I$89,5,0)</f>
        <v>208.04160000000016</v>
      </c>
      <c r="DQ61" s="13">
        <f t="shared" si="43"/>
        <v>51.507392937650074</v>
      </c>
      <c r="DR61" s="20">
        <f t="shared" si="16"/>
        <v>452.04782936640748</v>
      </c>
      <c r="DS61" s="59">
        <f t="shared" si="17"/>
        <v>745.3811626997408</v>
      </c>
      <c r="DT61" s="59">
        <f ca="1">AVERAGE(OFFSET($DS$3,0,0,'Données projet'!$E$14+1,1))-AVERAGE(OFFSET($H$3,0,0,'Données projet'!$E$14+1,1))</f>
        <v>209.93608079129638</v>
      </c>
      <c r="DU61" s="59">
        <f t="shared" si="44"/>
        <v>240.15652428700969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3.9936337662598587</v>
      </c>
      <c r="EB61" s="21">
        <f>EXP(-LN(2)/25)*EB60+(1-EXP(-LN(2)/25))/(LN(2)/25)*Calculateur!DW61*Calculateur!DY61*VLOOKUP('Données projet'!$B$14,Paramètres!$A$1:$I$89,3,0)*0.475*44/12</f>
        <v>9.5643883226127855</v>
      </c>
      <c r="EC61" s="21">
        <f>EXP(-LN(2)/2)*EC60+(1-EXP(-LN(2)/2))/(LN(2)/2)*DW61*DZ61*VLOOKUP('Données projet'!$B$14,Paramètres!$A$1:$I$89,3,0)*0.475*44/12</f>
        <v>1.2323495790841738E-3</v>
      </c>
      <c r="ED61" s="22">
        <f t="shared" si="18"/>
        <v>13.559254438451728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11.4</v>
      </c>
      <c r="EJ61" s="12">
        <f>IF('Données projet'!$A$192&gt;35,EJ60+EI61-ER60,IF(A61&lt;'Données projet'!$A$192,$EG$205^A61,IF(A61='Données projet'!$A$192,'Données projet'!$B$192,EJ60+EI61-ER60)))</f>
        <v>364.19999999999982</v>
      </c>
      <c r="EK61" s="17">
        <f>EJ61*VLOOKUP('Données projet'!$B$15,Paramètres!$A$1:$I$89,3,0)*VLOOKUP('Données projet'!$B$15,Paramètres!$A$1:$I$89,5,0)</f>
        <v>217.7915999999999</v>
      </c>
      <c r="EL61" s="13">
        <f t="shared" si="45"/>
        <v>53.634619420976641</v>
      </c>
      <c r="EM61" s="20">
        <f t="shared" si="19"/>
        <v>472.73399882486751</v>
      </c>
      <c r="EN61" s="59">
        <f t="shared" si="20"/>
        <v>766.06733215820077</v>
      </c>
      <c r="EO61" s="59">
        <f ca="1">AVERAGE(OFFSET($EN$3,0,0,'Données projet'!$E$15+1,1))-AVERAGE(OFFSET($H$3,0,0,'Données projet'!$E$15+1,1))</f>
        <v>216.94426559495264</v>
      </c>
      <c r="EP61" s="59">
        <f t="shared" si="46"/>
        <v>225.33715877618704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5.9118668200184601</v>
      </c>
      <c r="EX61" s="21">
        <f>EXP(-LN(2)/2)*EX60+(1-EXP(-LN(2)/2))/(LN(2)/2)*ER61*EU61*VLOOKUP('Données projet'!$B$15,Paramètres!$A$1:$I$89,3,0)*0.475*44/12</f>
        <v>1.4483251876110212E-3</v>
      </c>
      <c r="EY61" s="22">
        <f t="shared" si="21"/>
        <v>5.913315145206071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2.625</v>
      </c>
      <c r="FE61" s="12">
        <f>IF('Données projet'!$A$218&gt;35,FE60+FD61-FM60,IF(A61&lt;'Données projet'!$A$218,$FB$205^A61,IF(A61='Données projet'!$A$218,'Données projet'!$B$218,FE60+FD61-FM60)))</f>
        <v>305.5</v>
      </c>
      <c r="FF61" s="17">
        <f>FE61*VLOOKUP('Données projet'!$B$16,Paramètres!$A$1:$I$89,3,0)*VLOOKUP('Données projet'!$B$16,Paramètres!$A$1:$I$89,5,0)</f>
        <v>182.68900000000002</v>
      </c>
      <c r="FG61" s="13">
        <f t="shared" si="47"/>
        <v>45.919921846619154</v>
      </c>
      <c r="FH61" s="20">
        <f t="shared" si="22"/>
        <v>398.16053888286166</v>
      </c>
      <c r="FI61" s="59">
        <f t="shared" si="23"/>
        <v>691.49387221619497</v>
      </c>
      <c r="FJ61" s="59">
        <f ca="1">AVERAGE(OFFSET($FI$3,0,0,'Données projet'!$E$16+1,1))-AVERAGE(OFFSET($H$3,0,0,'Données projet'!$E$16+1,1))</f>
        <v>168.08890945052406</v>
      </c>
      <c r="FK61" s="59">
        <f t="shared" si="48"/>
        <v>182.52462557642343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3.5680088378502335</v>
      </c>
      <c r="FR61" s="21">
        <f>EXP(-LN(2)/25)*FR60+(1-EXP(-LN(2)/25))/(LN(2)/25)*Calculateur!FM61*Calculateur!FO61*VLOOKUP('Données projet'!$B$16,Paramètres!$A$1:$I$89,3,0)*0.475*44/12</f>
        <v>5.6733627847795898</v>
      </c>
      <c r="FS61" s="21">
        <f>EXP(-LN(2)/2)*FS60+(1-EXP(-LN(2)/2))/(LN(2)/2)*FM61*FP61*VLOOKUP('Données projet'!$B$16,Paramètres!$A$1:$I$89,3,0)*0.475*44/12</f>
        <v>3.3237868494104993E-4</v>
      </c>
      <c r="FT61" s="22">
        <f t="shared" si="24"/>
        <v>9.2417040013147655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>
        <f>VLOOKUP(A61,'Données projet'!$A$243:$I$263,2,0)</f>
        <v>372</v>
      </c>
      <c r="FX61" s="12">
        <f>VLOOKUP(A61,'Données projet'!$A$243:$I$263,9,0)</f>
        <v>12.25</v>
      </c>
      <c r="FY61" s="12">
        <f t="array" ref="FY61">INDEX(FX:FX,MIN(IF(ISNUMBER(FX61:FX257),ROW(FX61:FX257),"")))</f>
        <v>12.25</v>
      </c>
      <c r="FZ61" s="12">
        <f>IF('Données projet'!$A$244&gt;35,FZ60+FY61-GH60,IF(A61&lt;'Données projet'!$A$244,$FW$205^A61,IF(A61='Données projet'!$A$244,'Données projet'!$B$244,FZ60+FY61-GH60)))</f>
        <v>371.99999999999994</v>
      </c>
      <c r="GA61" s="17">
        <f>FZ61*VLOOKUP('Données projet'!$B$17,Paramètres!$A$1:$I$89,3,0)*VLOOKUP('Données projet'!$B$17,Paramètres!$A$1:$I$89,5,0)</f>
        <v>212.78399999999999</v>
      </c>
      <c r="GB61" s="13">
        <f t="shared" si="49"/>
        <v>52.543492641808065</v>
      </c>
      <c r="GC61" s="20">
        <f t="shared" si="25"/>
        <v>462.11204968448237</v>
      </c>
      <c r="GD61" s="59">
        <f t="shared" si="26"/>
        <v>755.44538301781563</v>
      </c>
      <c r="GE61" s="59">
        <f ca="1">AVERAGE(OFFSET($GD$3,0,0,'Données projet'!$E$17+1,1))-AVERAGE(OFFSET($H$3,0,0,'Données projet'!$E$17+1,1))</f>
        <v>196.95560009657527</v>
      </c>
      <c r="GF61" s="59">
        <f t="shared" si="50"/>
        <v>168.90186968005662</v>
      </c>
      <c r="GG61" s="15">
        <f>IF(ISNA(VLOOKUP(A61,'Données projet'!$A$243:$I$263,3,0)),0,VLOOKUP(A61,'Données projet'!$A$243:$I$263,3,0))</f>
        <v>8</v>
      </c>
      <c r="GH61" s="15">
        <f>IF(ISNA(VLOOKUP(A61,'Données projet'!$A$243:$I$263,4,0)),0,VLOOKUP(A61,'Données projet'!$A$243:$I$263,4,0))</f>
        <v>48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0</v>
      </c>
      <c r="GM61" s="21">
        <f>EXP(-LN(2)/25)*GM60+(1-EXP(-LN(2)/25))/(LN(2)/25)*Calculateur!GH61*Calculateur!GJ61*VLOOKUP('Données projet'!$B$17,Paramètres!$A$1:$I$89,3,0)*0.475*44/12</f>
        <v>4.2470980273327257</v>
      </c>
      <c r="GN61" s="21">
        <f>EXP(-LN(2)/2)*GN60+(1-EXP(-LN(2)/2))/(LN(2)/2)*GH61*GK61*VLOOKUP('Données projet'!$B$17,Paramètres!$A$1:$I$89,3,0)*0.475*44/12</f>
        <v>7.8488637403715655E-4</v>
      </c>
      <c r="GO61" s="21">
        <f t="shared" si="27"/>
        <v>4.2478829137067624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13.499999999999996</v>
      </c>
      <c r="N62" s="13">
        <f>IF('Données projet'!$A$36&gt;35,N61+M62-V61,IF(A62&lt;'Données projet'!$A$36,$K$205^A62,IF(A62='Données projet'!$A$36,'Données projet'!$B$36,N61+M62-V61)))</f>
        <v>361.29999999999984</v>
      </c>
      <c r="O62" s="13">
        <f>N62*VLOOKUP('Données projet'!$B$9,Paramètres!$A$1:$I$89,3,0)*VLOOKUP('Données projet'!$B$9,Paramètres!$A$1:$I$89,5,0)</f>
        <v>169.08839999999992</v>
      </c>
      <c r="P62" s="13">
        <f t="shared" si="33"/>
        <v>42.885791664164614</v>
      </c>
      <c r="Q62" s="20">
        <f t="shared" si="53"/>
        <v>369.18838381508658</v>
      </c>
      <c r="R62" s="59">
        <f t="shared" si="0"/>
        <v>662.52171714841984</v>
      </c>
      <c r="S62" s="59">
        <f ca="1">AVERAGE(OFFSET($R$3,0,0,'Données projet'!$E$9+1,1))-AVERAGE(OFFSET($H$3,0,0,'Données projet'!$E$9+1,1))</f>
        <v>215.23235148064941</v>
      </c>
      <c r="T62" s="59">
        <f t="shared" si="34"/>
        <v>184.07239726900434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1.765040709915437</v>
      </c>
      <c r="AA62" s="21">
        <f>EXP(-LN(2)/25)*AA61+(1-EXP(-LN(2)/25))/(LN(2)/25)*Calculateur!V62*Calculateur!X62*VLOOKUP('Données projet'!$B$9,Paramètres!$A$1:$I$89,3,0)*0.475*44/12</f>
        <v>3.5154187703024742</v>
      </c>
      <c r="AB62" s="21">
        <f>EXP(-LN(2)/2)*AB61+(1-EXP(-LN(2)/2))/(LN(2)/2)*V62*Y62*VLOOKUP('Données projet'!$B$9,Paramètres!$A$1:$I$89,3,0)*0.475*44/12</f>
        <v>4.2434073871094831E-4</v>
      </c>
      <c r="AC62" s="22">
        <f t="shared" si="3"/>
        <v>5.280883820956622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5.6</v>
      </c>
      <c r="AI62" s="13">
        <f>IF('Données projet'!$A$62&gt;35,AI61+AH62-AQ61,IF(A62&lt;'Données projet'!$A$62,$AF$205^A62,IF(A62='Données projet'!$A$62,'Données projet'!$B$62,AI61+AH62-AQ61)))</f>
        <v>252.39999999999969</v>
      </c>
      <c r="AJ62" s="13">
        <f>AI62*VLOOKUP('Données projet'!$B$10,Paramètres!$A$1:$I$89,3,0)*VLOOKUP('Données projet'!$B$10,Paramètres!$A$1:$I$89,5,0)</f>
        <v>185.05967999999976</v>
      </c>
      <c r="AK62" s="13">
        <f t="shared" si="35"/>
        <v>46.446049149430465</v>
      </c>
      <c r="AL62" s="20">
        <f t="shared" si="4"/>
        <v>403.20581160192432</v>
      </c>
      <c r="AM62" s="59">
        <f t="shared" si="5"/>
        <v>696.53914493525758</v>
      </c>
      <c r="AN62" s="59">
        <f ca="1">AVERAGE(OFFSET($AM$3,0,0,'Données projet'!$E$10+1,1))-AVERAGE(OFFSET($H$3,0,0,'Données projet'!$E$10+1,1))</f>
        <v>178.12968684094687</v>
      </c>
      <c r="AO62" s="59">
        <f t="shared" si="36"/>
        <v>219.36004077210373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3.4406802523850502</v>
      </c>
      <c r="AW62" s="21">
        <f>EXP(-LN(2)/2)*AW61+(1-EXP(-LN(2)/2))/(LN(2)/2)*AQ62*AT62*VLOOKUP('Données projet'!$B$10,Paramètres!$A$1:$I$89,3,0)*0.475*44/12</f>
        <v>4.2802379300119176E-4</v>
      </c>
      <c r="AX62" s="21">
        <f t="shared" si="6"/>
        <v>3.4411082761780514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4.0999999999999996</v>
      </c>
      <c r="BD62" s="12">
        <f>IF('Données projet'!$A$88&gt;35,BD61+BC62-BL61,IF(A62&lt;'Données projet'!$A$88,$BA$205^A62,IF(A62='Données projet'!$A$88,'Données projet'!$B$88,BD61+BC62-BL61)))</f>
        <v>152.89999999999989</v>
      </c>
      <c r="BE62" s="13">
        <f>BD62*VLOOKUP('Données projet'!$B$11,Paramètres!$A$1:$I$89,3,0)*VLOOKUP('Données projet'!$B$11,Paramètres!$A$1:$I$89,5,0)</f>
        <v>133.57343999999992</v>
      </c>
      <c r="BF62" s="13">
        <f t="shared" si="37"/>
        <v>34.82076873347156</v>
      </c>
      <c r="BG62" s="20">
        <f t="shared" si="7"/>
        <v>293.28658021079622</v>
      </c>
      <c r="BH62" s="59">
        <f t="shared" si="8"/>
        <v>586.61991354412953</v>
      </c>
      <c r="BI62" s="59">
        <f ca="1">AVERAGE(OFFSET($BH$3,0,0,'Données projet'!$E$11+1,1))-AVERAGE(OFFSET($H$3,0,0,'Données projet'!$E$11+1,1))</f>
        <v>114.02623091248347</v>
      </c>
      <c r="BJ62" s="59">
        <f t="shared" si="38"/>
        <v>185.51554083721635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1.0990088652614898</v>
      </c>
      <c r="BQ62" s="21">
        <f>EXP(-LN(2)/25)*BQ61+(1-EXP(-LN(2)/25))/(LN(2)/25)*Calculateur!BL62*Calculateur!BN62*VLOOKUP('Données projet'!$B$11,Paramètres!$A$1:$I$89,3,0)*0.475*44/12</f>
        <v>5.0372595116895988</v>
      </c>
      <c r="BR62" s="21">
        <f>EXP(-LN(2)/2)*BR61+(1-EXP(-LN(2)/2))/(LN(2)/2)*BL62*BO62*VLOOKUP('Données projet'!$B$11,Paramètres!$A$1:$I$89,3,0)*0.475*44/12</f>
        <v>7.6128233905938187E-4</v>
      </c>
      <c r="BS62" s="22">
        <f t="shared" si="9"/>
        <v>6.1370296592901479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7.8</v>
      </c>
      <c r="BY62" s="12">
        <f>IF('Données projet'!$A$114&gt;35,BY61+BX62-CG61,IF(A62&lt;'Données projet'!$A$114,$BV$205^A62,IF(A62='Données projet'!$A$114,'Données projet'!$B$114,BY61+BX62-CG61)))</f>
        <v>227.20000000000016</v>
      </c>
      <c r="BZ62" s="13">
        <f>BY62*VLOOKUP('Données projet'!$B$12,Paramètres!$A$1:$I$89,3,0)*VLOOKUP('Données projet'!$B$12,Paramètres!$A$1:$I$89,5,0)</f>
        <v>205.57056000000014</v>
      </c>
      <c r="CA62" s="13">
        <f t="shared" si="39"/>
        <v>50.966443946767434</v>
      </c>
      <c r="CB62" s="20">
        <f t="shared" si="10"/>
        <v>446.80194854062023</v>
      </c>
      <c r="CC62" s="59">
        <f t="shared" si="11"/>
        <v>740.13528187395355</v>
      </c>
      <c r="CD62" s="59">
        <f ca="1">AVERAGE(OFFSET($CC$3,0,0,'Données projet'!$E$12+1,1))-AVERAGE(OFFSET($H$3,0,0,'Données projet'!$E$12+1,1))</f>
        <v>237.22177246688199</v>
      </c>
      <c r="CE62" s="59">
        <f t="shared" si="40"/>
        <v>149.27472147904302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1.3899462665653393</v>
      </c>
      <c r="CM62" s="21">
        <f>EXP(-LN(2)/2)*CM61+(1-EXP(-LN(2)/2))/(LN(2)/2)*CG62*CJ62*VLOOKUP('Données projet'!$B$12,Paramètres!$A$1:$I$89,3,0)*0.475*44/12</f>
        <v>2.6712218255546565E-4</v>
      </c>
      <c r="CN62" s="22">
        <f t="shared" si="12"/>
        <v>1.3902133887478947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16.2</v>
      </c>
      <c r="CT62" s="12">
        <f>IF('Données projet'!$A$140&gt;35,CT61+CS62-DB61,IF(A62&lt;'Données projet'!$A$140,$CQ$205^A62,IF(A62='Données projet'!$A$140,'Données projet'!$B$140,CT61+CS62-DB61)))</f>
        <v>546.79999999999984</v>
      </c>
      <c r="CU62" s="17">
        <f>CT62*VLOOKUP('Données projet'!$B$13,Paramètres!$A$1:$I$89,3,0)*VLOOKUP('Données projet'!$B$13,Paramètres!$A$1:$I$89,5,0)</f>
        <v>305.66119999999995</v>
      </c>
      <c r="CV62" s="13">
        <f t="shared" si="41"/>
        <v>72.361974072085076</v>
      </c>
      <c r="CW62" s="20">
        <f t="shared" si="13"/>
        <v>658.39036150888137</v>
      </c>
      <c r="CX62" s="59">
        <f t="shared" si="14"/>
        <v>951.72369484221463</v>
      </c>
      <c r="CY62" s="59">
        <f ca="1">AVERAGE(OFFSET($CX$3,0,0,'Données projet'!$E$13+1,1))-AVERAGE(OFFSET($H$3,0,0,'Données projet'!$E$13+1,1))</f>
        <v>326.31232746914907</v>
      </c>
      <c r="CZ62" s="59">
        <f t="shared" si="42"/>
        <v>330.17137761430297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2.5721484080588084</v>
      </c>
      <c r="DG62" s="21">
        <f>EXP(-LN(2)/25)*DG61+(1-EXP(-LN(2)/25))/(LN(2)/25)*Calculateur!DB62*Calculateur!DD62*VLOOKUP('Données projet'!$B$13,Paramètres!$A$1:$I$89,3,0)*0.475*44/12</f>
        <v>13.502772582076108</v>
      </c>
      <c r="DH62" s="21">
        <f>EXP(-LN(2)/2)*DH61+(1-EXP(-LN(2)/2))/(LN(2)/2)*DB62*DE62*VLOOKUP('Données projet'!$B$13,Paramètres!$A$1:$I$89,3,0)*0.475*44/12</f>
        <v>1.4036004165700021E-3</v>
      </c>
      <c r="DI62" s="22">
        <f t="shared" si="15"/>
        <v>16.076324590551486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8.8000000000000007</v>
      </c>
      <c r="DO62" s="12">
        <f>IF('Données projet'!$A$166&gt;35,DO61+DN62-DW61,IF(A62&lt;'Données projet'!$A$166,$DL$205^A62,IF(A62='Données projet'!$A$166,'Données projet'!$B$166,DO61+DN62-DW61)))</f>
        <v>342.20000000000027</v>
      </c>
      <c r="DP62" s="17">
        <f>DO62*VLOOKUP('Données projet'!$B$14,Paramètres!$A$1:$I$89,3,0)*VLOOKUP('Données projet'!$B$14,Paramètres!$A$1:$I$89,5,0)</f>
        <v>213.53280000000015</v>
      </c>
      <c r="DQ62" s="13">
        <f t="shared" si="43"/>
        <v>52.706840209271277</v>
      </c>
      <c r="DR62" s="20">
        <f t="shared" si="16"/>
        <v>463.70070669781438</v>
      </c>
      <c r="DS62" s="59">
        <f t="shared" si="17"/>
        <v>757.0340400311477</v>
      </c>
      <c r="DT62" s="59">
        <f ca="1">AVERAGE(OFFSET($DS$3,0,0,'Données projet'!$E$14+1,1))-AVERAGE(OFFSET($H$3,0,0,'Données projet'!$E$14+1,1))</f>
        <v>209.93608079129638</v>
      </c>
      <c r="DU62" s="59">
        <f t="shared" si="44"/>
        <v>240.15652428700969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3.9153210439795774</v>
      </c>
      <c r="EB62" s="21">
        <f>EXP(-LN(2)/25)*EB61+(1-EXP(-LN(2)/25))/(LN(2)/25)*Calculateur!DW62*Calculateur!DY62*VLOOKUP('Données projet'!$B$14,Paramètres!$A$1:$I$89,3,0)*0.475*44/12</f>
        <v>9.3028496209616165</v>
      </c>
      <c r="EC62" s="21">
        <f>EXP(-LN(2)/2)*EC61+(1-EXP(-LN(2)/2))/(LN(2)/2)*DW62*DZ62*VLOOKUP('Données projet'!$B$14,Paramètres!$A$1:$I$89,3,0)*0.475*44/12</f>
        <v>8.7140274416280686E-4</v>
      </c>
      <c r="ED62" s="22">
        <f t="shared" si="18"/>
        <v>13.219042067685358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11.4</v>
      </c>
      <c r="EJ62" s="12">
        <f>IF('Données projet'!$A$192&gt;35,EJ61+EI62-ER61,IF(A62&lt;'Données projet'!$A$192,$EG$205^A62,IF(A62='Données projet'!$A$192,'Données projet'!$B$192,EJ61+EI62-ER61)))</f>
        <v>375.5999999999998</v>
      </c>
      <c r="EK62" s="17">
        <f>EJ62*VLOOKUP('Données projet'!$B$15,Paramètres!$A$1:$I$89,3,0)*VLOOKUP('Données projet'!$B$15,Paramètres!$A$1:$I$89,5,0)</f>
        <v>224.60879999999992</v>
      </c>
      <c r="EL62" s="13">
        <f t="shared" si="45"/>
        <v>55.11537373670501</v>
      </c>
      <c r="EM62" s="20">
        <f t="shared" si="19"/>
        <v>487.1862692580944</v>
      </c>
      <c r="EN62" s="59">
        <f t="shared" si="20"/>
        <v>780.51960259142766</v>
      </c>
      <c r="EO62" s="59">
        <f ca="1">AVERAGE(OFFSET($EN$3,0,0,'Données projet'!$E$15+1,1))-AVERAGE(OFFSET($H$3,0,0,'Données projet'!$E$15+1,1))</f>
        <v>216.94426559495264</v>
      </c>
      <c r="EP62" s="59">
        <f t="shared" si="46"/>
        <v>225.33715877618704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5.7502065109334906</v>
      </c>
      <c r="EX62" s="21">
        <f>EXP(-LN(2)/2)*EX61+(1-EXP(-LN(2)/2))/(LN(2)/2)*ER62*EU62*VLOOKUP('Données projet'!$B$15,Paramètres!$A$1:$I$89,3,0)*0.475*44/12</f>
        <v>1.0241205615230317E-3</v>
      </c>
      <c r="EY62" s="22">
        <f t="shared" si="21"/>
        <v>5.7512306314950132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2.625</v>
      </c>
      <c r="FE62" s="12">
        <f>IF('Données projet'!$A$218&gt;35,FE61+FD62-FM61,IF(A62&lt;'Données projet'!$A$218,$FB$205^A62,IF(A62='Données projet'!$A$218,'Données projet'!$B$218,FE61+FD62-FM61)))</f>
        <v>308.125</v>
      </c>
      <c r="FF62" s="17">
        <f>FE62*VLOOKUP('Données projet'!$B$16,Paramètres!$A$1:$I$89,3,0)*VLOOKUP('Données projet'!$B$16,Paramètres!$A$1:$I$89,5,0)</f>
        <v>184.25875000000002</v>
      </c>
      <c r="FG62" s="13">
        <f t="shared" si="47"/>
        <v>46.26838622983076</v>
      </c>
      <c r="FH62" s="20">
        <f t="shared" si="22"/>
        <v>401.50142893362187</v>
      </c>
      <c r="FI62" s="59">
        <f t="shared" si="23"/>
        <v>694.83476226695518</v>
      </c>
      <c r="FJ62" s="59">
        <f ca="1">AVERAGE(OFFSET($FI$3,0,0,'Données projet'!$E$16+1,1))-AVERAGE(OFFSET($H$3,0,0,'Données projet'!$E$16+1,1))</f>
        <v>168.08890945052406</v>
      </c>
      <c r="FK62" s="59">
        <f t="shared" si="48"/>
        <v>182.52462557642343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3.4980423608104925</v>
      </c>
      <c r="FR62" s="21">
        <f>EXP(-LN(2)/25)*FR61+(1-EXP(-LN(2)/25))/(LN(2)/25)*Calculateur!FM62*Calculateur!FO62*VLOOKUP('Données projet'!$B$16,Paramètres!$A$1:$I$89,3,0)*0.475*44/12</f>
        <v>5.5182243810806098</v>
      </c>
      <c r="FS62" s="21">
        <f>EXP(-LN(2)/2)*FS61+(1-EXP(-LN(2)/2))/(LN(2)/2)*FM62*FP62*VLOOKUP('Données projet'!$B$16,Paramètres!$A$1:$I$89,3,0)*0.475*44/12</f>
        <v>2.3502722204368342E-4</v>
      </c>
      <c r="FT62" s="22">
        <f t="shared" si="24"/>
        <v>9.0165017691131446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11.375</v>
      </c>
      <c r="FZ62" s="12">
        <f>IF('Données projet'!$A$244&gt;35,FZ61+FY62-GH61,IF(A62&lt;'Données projet'!$A$244,$FW$205^A62,IF(A62='Données projet'!$A$244,'Données projet'!$B$244,FZ61+FY62-GH61)))</f>
        <v>335.37499999999994</v>
      </c>
      <c r="GA62" s="17">
        <f>FZ62*VLOOKUP('Données projet'!$B$17,Paramètres!$A$1:$I$89,3,0)*VLOOKUP('Données projet'!$B$17,Paramètres!$A$1:$I$89,5,0)</f>
        <v>191.83449999999996</v>
      </c>
      <c r="GB62" s="13">
        <f t="shared" si="49"/>
        <v>47.945307658140791</v>
      </c>
      <c r="GC62" s="20">
        <f t="shared" si="25"/>
        <v>417.61649833792848</v>
      </c>
      <c r="GD62" s="59">
        <f t="shared" si="26"/>
        <v>710.94983167126179</v>
      </c>
      <c r="GE62" s="59">
        <f ca="1">AVERAGE(OFFSET($GD$3,0,0,'Données projet'!$E$17+1,1))-AVERAGE(OFFSET($H$3,0,0,'Données projet'!$E$17+1,1))</f>
        <v>196.95560009657527</v>
      </c>
      <c r="GF62" s="59">
        <f t="shared" si="50"/>
        <v>168.90186968005662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0</v>
      </c>
      <c r="GM62" s="21">
        <f>EXP(-LN(2)/25)*GM61+(1-EXP(-LN(2)/25))/(LN(2)/25)*Calculateur!GH62*Calculateur!GJ62*VLOOKUP('Données projet'!$B$17,Paramètres!$A$1:$I$89,3,0)*0.475*44/12</f>
        <v>4.1309609084301337</v>
      </c>
      <c r="GN62" s="21">
        <f>EXP(-LN(2)/2)*GN61+(1-EXP(-LN(2)/2))/(LN(2)/2)*GH62*GK62*VLOOKUP('Données projet'!$B$17,Paramètres!$A$1:$I$89,3,0)*0.475*44/12</f>
        <v>5.5499847754259435E-4</v>
      </c>
      <c r="GO62" s="21">
        <f t="shared" si="27"/>
        <v>4.1315159069076763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374.79999999999995</v>
      </c>
      <c r="L63" s="12">
        <f>VLOOKUP(A63,'Données projet'!$A$35:$I$55,9,0)</f>
        <v>13.499999999999996</v>
      </c>
      <c r="M63" s="12">
        <f t="array" ref="M63">INDEX(L:L,MIN(IF(ISNUMBER(L63:L259),ROW(L63:L259),"")))</f>
        <v>13.499999999999996</v>
      </c>
      <c r="N63" s="13">
        <f>IF('Données projet'!$A$36&gt;35,N62+M63-V62,IF(A63&lt;'Données projet'!$A$36,$K$205^A63,IF(A63='Données projet'!$A$36,'Données projet'!$B$36,N62+M63-V62)))</f>
        <v>374.79999999999984</v>
      </c>
      <c r="O63" s="13">
        <f>N63*VLOOKUP('Données projet'!$B$9,Paramètres!$A$1:$I$89,3,0)*VLOOKUP('Données projet'!$B$9,Paramètres!$A$1:$I$89,5,0)</f>
        <v>175.40639999999993</v>
      </c>
      <c r="P63" s="13">
        <f t="shared" si="33"/>
        <v>44.298662258322672</v>
      </c>
      <c r="Q63" s="20">
        <f t="shared" si="53"/>
        <v>382.65298343324525</v>
      </c>
      <c r="R63" s="59">
        <f t="shared" si="0"/>
        <v>675.98631676657851</v>
      </c>
      <c r="S63" s="59">
        <f ca="1">AVERAGE(OFFSET($R$3,0,0,'Données projet'!$E$9+1,1))-AVERAGE(OFFSET($H$3,0,0,'Données projet'!$E$9+1,1))</f>
        <v>215.23235148064941</v>
      </c>
      <c r="T63" s="59">
        <f t="shared" si="34"/>
        <v>184.07239726900434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83.4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1.730429338162526</v>
      </c>
      <c r="AA63" s="21">
        <f>EXP(-LN(2)/25)*AA62+(1-EXP(-LN(2)/25))/(LN(2)/25)*Calculateur!V63*Calculateur!X63*VLOOKUP('Données projet'!$B$9,Paramètres!$A$1:$I$89,3,0)*0.475*44/12</f>
        <v>3.4192894591607144</v>
      </c>
      <c r="AB63" s="21">
        <f>EXP(-LN(2)/2)*AB62+(1-EXP(-LN(2)/2))/(LN(2)/2)*V63*Y63*VLOOKUP('Données projet'!$B$9,Paramètres!$A$1:$I$89,3,0)*0.475*44/12</f>
        <v>3.0005421387622046E-4</v>
      </c>
      <c r="AC63" s="22">
        <f t="shared" si="3"/>
        <v>5.1500188515371166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258</v>
      </c>
      <c r="AG63" s="12">
        <f>VLOOKUP(A63,'Données projet'!$A$61:$I$81,9,0)</f>
        <v>5.6</v>
      </c>
      <c r="AH63" s="12">
        <f t="array" ref="AH63">INDEX(AG:AG,MIN(IF(ISNUMBER(AG63:AG259),ROW(AG63:AG259),"")))</f>
        <v>5.6</v>
      </c>
      <c r="AI63" s="13">
        <f>IF('Données projet'!$A$62&gt;35,AI62+AH63-AQ62,IF(A63&lt;'Données projet'!$A$62,$AF$205^A63,IF(A63='Données projet'!$A$62,'Données projet'!$B$62,AI62+AH63-AQ62)))</f>
        <v>257.99999999999972</v>
      </c>
      <c r="AJ63" s="13">
        <f>AI63*VLOOKUP('Données projet'!$B$10,Paramètres!$A$1:$I$89,3,0)*VLOOKUP('Données projet'!$B$10,Paramètres!$A$1:$I$89,5,0)</f>
        <v>189.16559999999978</v>
      </c>
      <c r="AK63" s="13">
        <f t="shared" si="35"/>
        <v>47.355431631295232</v>
      </c>
      <c r="AL63" s="20">
        <f t="shared" si="4"/>
        <v>411.94079675783877</v>
      </c>
      <c r="AM63" s="59">
        <f t="shared" si="5"/>
        <v>705.27413009117208</v>
      </c>
      <c r="AN63" s="59">
        <f ca="1">AVERAGE(OFFSET($AM$3,0,0,'Données projet'!$E$10+1,1))-AVERAGE(OFFSET($H$3,0,0,'Données projet'!$E$10+1,1))</f>
        <v>178.12968684094687</v>
      </c>
      <c r="AO63" s="59">
        <f t="shared" si="36"/>
        <v>219.36004077210373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25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3.3465946699460702</v>
      </c>
      <c r="AW63" s="21">
        <f>EXP(-LN(2)/2)*AW62+(1-EXP(-LN(2)/2))/(LN(2)/2)*AQ63*AT63*VLOOKUP('Données projet'!$B$10,Paramètres!$A$1:$I$89,3,0)*0.475*44/12</f>
        <v>3.0265852654032981E-4</v>
      </c>
      <c r="AX63" s="21">
        <f t="shared" si="6"/>
        <v>3.3468973284726107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157</v>
      </c>
      <c r="BB63" s="12">
        <f>VLOOKUP(A63,'Données projet'!$A$87:$I$107,9,0)</f>
        <v>4.0999999999999996</v>
      </c>
      <c r="BC63" s="12">
        <f t="array" ref="BC63">INDEX(BB:BB,MIN(IF(ISNUMBER(BB63:BB259),ROW(BB63:BB259),"")))</f>
        <v>4.0999999999999996</v>
      </c>
      <c r="BD63" s="12">
        <f>IF('Données projet'!$A$88&gt;35,BD62+BC63-BL62,IF(A63&lt;'Données projet'!$A$88,$BA$205^A63,IF(A63='Données projet'!$A$88,'Données projet'!$B$88,BD62+BC63-BL62)))</f>
        <v>156.99999999999989</v>
      </c>
      <c r="BE63" s="13">
        <f>BD63*VLOOKUP('Données projet'!$B$11,Paramètres!$A$1:$I$89,3,0)*VLOOKUP('Données projet'!$B$11,Paramètres!$A$1:$I$89,5,0)</f>
        <v>137.15519999999992</v>
      </c>
      <c r="BF63" s="13">
        <f t="shared" si="37"/>
        <v>35.644525151069693</v>
      </c>
      <c r="BG63" s="20">
        <f t="shared" si="7"/>
        <v>300.95952130477957</v>
      </c>
      <c r="BH63" s="59">
        <f t="shared" si="8"/>
        <v>594.29285463811289</v>
      </c>
      <c r="BI63" s="59">
        <f ca="1">AVERAGE(OFFSET($BH$3,0,0,'Données projet'!$E$11+1,1))-AVERAGE(OFFSET($H$3,0,0,'Données projet'!$E$11+1,1))</f>
        <v>114.02623091248347</v>
      </c>
      <c r="BJ63" s="59">
        <f t="shared" si="38"/>
        <v>185.51554083721635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30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1.0774579717429302</v>
      </c>
      <c r="BQ63" s="21">
        <f>EXP(-LN(2)/25)*BQ62+(1-EXP(-LN(2)/25))/(LN(2)/25)*Calculateur!BL63*Calculateur!BN63*VLOOKUP('Données projet'!$B$11,Paramètres!$A$1:$I$89,3,0)*0.475*44/12</f>
        <v>4.8995153854444817</v>
      </c>
      <c r="BR63" s="21">
        <f>EXP(-LN(2)/2)*BR62+(1-EXP(-LN(2)/2))/(LN(2)/2)*BL63*BO63*VLOOKUP('Données projet'!$B$11,Paramètres!$A$1:$I$89,3,0)*0.475*44/12</f>
        <v>5.3830790434644541E-4</v>
      </c>
      <c r="BS63" s="22">
        <f t="shared" si="9"/>
        <v>5.9775116650917584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235</v>
      </c>
      <c r="BW63" s="12">
        <f>VLOOKUP(A63,'Données projet'!$A$113:$I$133,9,0)</f>
        <v>7.8</v>
      </c>
      <c r="BX63" s="12">
        <f t="array" ref="BX63">INDEX(BW:BW,MIN(IF(ISNUMBER(BW63:BW259),ROW(BW63:BW259),"")))</f>
        <v>7.8</v>
      </c>
      <c r="BY63" s="12">
        <f>IF('Données projet'!$A$114&gt;35,BY62+BX63-CG62,IF(A63&lt;'Données projet'!$A$114,$BV$205^A63,IF(A63='Données projet'!$A$114,'Données projet'!$B$114,BY62+BX63-CG62)))</f>
        <v>235.00000000000017</v>
      </c>
      <c r="BZ63" s="13">
        <f>BY63*VLOOKUP('Données projet'!$B$12,Paramètres!$A$1:$I$89,3,0)*VLOOKUP('Données projet'!$B$12,Paramètres!$A$1:$I$89,5,0)</f>
        <v>212.62800000000016</v>
      </c>
      <c r="CA63" s="13">
        <f t="shared" si="39"/>
        <v>52.509453483719085</v>
      </c>
      <c r="CB63" s="20">
        <f t="shared" si="10"/>
        <v>461.78106481747767</v>
      </c>
      <c r="CC63" s="59">
        <f t="shared" si="11"/>
        <v>755.11439815081098</v>
      </c>
      <c r="CD63" s="59">
        <f ca="1">AVERAGE(OFFSET($CC$3,0,0,'Données projet'!$E$12+1,1))-AVERAGE(OFFSET($H$3,0,0,'Données projet'!$E$12+1,1))</f>
        <v>237.22177246688199</v>
      </c>
      <c r="CE63" s="59">
        <f t="shared" si="40"/>
        <v>149.27472147904302</v>
      </c>
      <c r="CF63" s="15">
        <f>IF(ISNA(VLOOKUP(A63,'Données projet'!$A$113:$I$133,3,0)),0,VLOOKUP(A63,'Données projet'!$A$113:$I$133,3,0))</f>
        <v>4</v>
      </c>
      <c r="CG63" s="15">
        <f>IF(ISNA(VLOOKUP(A63,'Données projet'!$A$113:$I$133,4,0)),0,VLOOKUP(A63,'Données projet'!$A$113:$I$133,4,0))</f>
        <v>42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1.3519381128120127</v>
      </c>
      <c r="CM63" s="21">
        <f>EXP(-LN(2)/2)*CM62+(1-EXP(-LN(2)/2))/(LN(2)/2)*CG63*CJ63*VLOOKUP('Données projet'!$B$12,Paramètres!$A$1:$I$89,3,0)*0.475*44/12</f>
        <v>1.8888390669032066E-4</v>
      </c>
      <c r="CN63" s="22">
        <f t="shared" si="12"/>
        <v>1.3521269967187031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563</v>
      </c>
      <c r="CR63" s="12">
        <f>VLOOKUP(A63,'Données projet'!$A$139:$I$159,9,0)</f>
        <v>16.2</v>
      </c>
      <c r="CS63" s="12">
        <f t="array" ref="CS63">INDEX(CR:CR,MIN(IF(ISNUMBER(CR63:CR259),ROW(CR63:CR259),"")))</f>
        <v>16.2</v>
      </c>
      <c r="CT63" s="12">
        <f>IF('Données projet'!$A$140&gt;35,CT62+CS63-DB62,IF(A63&lt;'Données projet'!$A$140,$CQ$205^A63,IF(A63='Données projet'!$A$140,'Données projet'!$B$140,CT62+CS63-DB62)))</f>
        <v>562.99999999999989</v>
      </c>
      <c r="CU63" s="17">
        <f>CT63*VLOOKUP('Données projet'!$B$13,Paramètres!$A$1:$I$89,3,0)*VLOOKUP('Données projet'!$B$13,Paramètres!$A$1:$I$89,5,0)</f>
        <v>314.71699999999993</v>
      </c>
      <c r="CV63" s="13">
        <f t="shared" si="41"/>
        <v>74.253060032718466</v>
      </c>
      <c r="CW63" s="20">
        <f t="shared" si="13"/>
        <v>677.45618789031789</v>
      </c>
      <c r="CX63" s="59">
        <f t="shared" si="14"/>
        <v>970.78952122365126</v>
      </c>
      <c r="CY63" s="59">
        <f ca="1">AVERAGE(OFFSET($CX$3,0,0,'Données projet'!$E$13+1,1))-AVERAGE(OFFSET($H$3,0,0,'Données projet'!$E$13+1,1))</f>
        <v>326.31232746914907</v>
      </c>
      <c r="CZ63" s="59">
        <f t="shared" si="42"/>
        <v>330.17137761430297</v>
      </c>
      <c r="DA63" s="15">
        <f>IF(ISNA(VLOOKUP(A63,'Données projet'!$A$139:$I$159,3,0)),0,VLOOKUP(A63,'Données projet'!$A$139:$I$159,3,0))</f>
        <v>5</v>
      </c>
      <c r="DB63" s="15">
        <f>IF(ISNA(VLOOKUP(A63,'Données projet'!$A$139:$I$159,4,0)),0,VLOOKUP(A63,'Données projet'!$A$139:$I$159,4,0))</f>
        <v>83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2.5217101466323926</v>
      </c>
      <c r="DG63" s="21">
        <f>EXP(-LN(2)/25)*DG62+(1-EXP(-LN(2)/25))/(LN(2)/25)*Calculateur!DB63*Calculateur!DD63*VLOOKUP('Données projet'!$B$13,Paramètres!$A$1:$I$89,3,0)*0.475*44/12</f>
        <v>13.133538555739289</v>
      </c>
      <c r="DH63" s="21">
        <f>EXP(-LN(2)/2)*DH62+(1-EXP(-LN(2)/2))/(LN(2)/2)*DB63*DE63*VLOOKUP('Données projet'!$B$13,Paramètres!$A$1:$I$89,3,0)*0.475*44/12</f>
        <v>9.9249537263291143E-4</v>
      </c>
      <c r="DI63" s="22">
        <f t="shared" si="15"/>
        <v>15.656241197744315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351</v>
      </c>
      <c r="DM63" s="12">
        <f>VLOOKUP(A63,'Données projet'!$A$165:$I$185,9,0)</f>
        <v>8.8000000000000007</v>
      </c>
      <c r="DN63" s="12">
        <f t="array" ref="DN63">INDEX(DM:DM,MIN(IF(ISNUMBER(DM63:DM259),ROW(DM63:DM259),"")))</f>
        <v>8.8000000000000007</v>
      </c>
      <c r="DO63" s="12">
        <f>IF('Données projet'!$A$166&gt;35,DO62+DN63-DW62,IF(A63&lt;'Données projet'!$A$166,$DL$205^A63,IF(A63='Données projet'!$A$166,'Données projet'!$B$166,DO62+DN63-DW62)))</f>
        <v>351.00000000000028</v>
      </c>
      <c r="DP63" s="17">
        <f>DO63*VLOOKUP('Données projet'!$B$14,Paramètres!$A$1:$I$89,3,0)*VLOOKUP('Données projet'!$B$14,Paramètres!$A$1:$I$89,5,0)</f>
        <v>219.02400000000017</v>
      </c>
      <c r="DQ63" s="13">
        <f t="shared" si="43"/>
        <v>53.902702081308355</v>
      </c>
      <c r="DR63" s="20">
        <f t="shared" si="16"/>
        <v>475.34733945827901</v>
      </c>
      <c r="DS63" s="59">
        <f t="shared" si="17"/>
        <v>768.68067279161232</v>
      </c>
      <c r="DT63" s="59">
        <f ca="1">AVERAGE(OFFSET($DS$3,0,0,'Données projet'!$E$14+1,1))-AVERAGE(OFFSET($H$3,0,0,'Données projet'!$E$14+1,1))</f>
        <v>209.93608079129638</v>
      </c>
      <c r="DU63" s="59">
        <f t="shared" si="44"/>
        <v>240.15652428700969</v>
      </c>
      <c r="DV63" s="15">
        <f>IF(ISNA(VLOOKUP(A63,'Données projet'!$A$165:$I$185,3,0)),0,VLOOKUP(A63,'Données projet'!$A$165:$I$185,3,0))</f>
        <v>5</v>
      </c>
      <c r="DW63" s="15">
        <f>IF(ISNA(VLOOKUP(A63,'Données projet'!$A$165:$I$185,4,0)),0,VLOOKUP(A63,'Données projet'!$A$165:$I$185,4,0))</f>
        <v>47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3.8385439864171684</v>
      </c>
      <c r="EB63" s="21">
        <f>EXP(-LN(2)/25)*EB62+(1-EXP(-LN(2)/25))/(LN(2)/25)*Calculateur!DW63*Calculateur!DY63*VLOOKUP('Données projet'!$B$14,Paramètres!$A$1:$I$89,3,0)*0.475*44/12</f>
        <v>9.0484627088608214</v>
      </c>
      <c r="EC63" s="21">
        <f>EXP(-LN(2)/2)*EC62+(1-EXP(-LN(2)/2))/(LN(2)/2)*DW63*DZ63*VLOOKUP('Données projet'!$B$14,Paramètres!$A$1:$I$89,3,0)*0.475*44/12</f>
        <v>6.1617478954208691E-4</v>
      </c>
      <c r="ED63" s="22">
        <f t="shared" si="18"/>
        <v>12.887622870067531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387</v>
      </c>
      <c r="EH63" s="12">
        <f>VLOOKUP(A63,'Données projet'!$A$191:$I$211,9,0)</f>
        <v>11.4</v>
      </c>
      <c r="EI63" s="12">
        <f t="array" ref="EI63">INDEX(EH:EH,MIN(IF(ISNUMBER(EH63:EH259),ROW(EH63:EH259),"")))</f>
        <v>11.4</v>
      </c>
      <c r="EJ63" s="12">
        <f>IF('Données projet'!$A$192&gt;35,EJ62+EI63-ER62,IF(A63&lt;'Données projet'!$A$192,$EG$205^A63,IF(A63='Données projet'!$A$192,'Données projet'!$B$192,EJ62+EI63-ER62)))</f>
        <v>386.99999999999977</v>
      </c>
      <c r="EK63" s="17">
        <f>EJ63*VLOOKUP('Données projet'!$B$15,Paramètres!$A$1:$I$89,3,0)*VLOOKUP('Données projet'!$B$15,Paramètres!$A$1:$I$89,5,0)</f>
        <v>231.42599999999987</v>
      </c>
      <c r="EL63" s="13">
        <f t="shared" si="45"/>
        <v>56.590905067453171</v>
      </c>
      <c r="EM63" s="20">
        <f t="shared" si="19"/>
        <v>501.62944299248062</v>
      </c>
      <c r="EN63" s="59">
        <f t="shared" si="20"/>
        <v>794.96277632581393</v>
      </c>
      <c r="EO63" s="59">
        <f ca="1">AVERAGE(OFFSET($EN$3,0,0,'Données projet'!$E$15+1,1))-AVERAGE(OFFSET($H$3,0,0,'Données projet'!$E$15+1,1))</f>
        <v>216.94426559495264</v>
      </c>
      <c r="EP63" s="59">
        <f t="shared" si="46"/>
        <v>225.33715877618704</v>
      </c>
      <c r="EQ63" s="15">
        <f>IF(ISNA(VLOOKUP(A63,'Données projet'!$A$191:$I$211,3,0)),0,VLOOKUP(A63,'Données projet'!$A$191:$I$211,3,0))</f>
        <v>5</v>
      </c>
      <c r="ER63" s="15">
        <f>IF(ISNA(VLOOKUP(A63,'Données projet'!$A$191:$I$211,4,0)),0,VLOOKUP(A63,'Données projet'!$A$191:$I$211,4,0))</f>
        <v>57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5.5929668115017961</v>
      </c>
      <c r="EX63" s="21">
        <f>EXP(-LN(2)/2)*EX62+(1-EXP(-LN(2)/2))/(LN(2)/2)*ER63*EU63*VLOOKUP('Données projet'!$B$15,Paramètres!$A$1:$I$89,3,0)*0.475*44/12</f>
        <v>7.241625938055106E-4</v>
      </c>
      <c r="EY63" s="22">
        <f t="shared" si="21"/>
        <v>5.593690974095602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2.625</v>
      </c>
      <c r="FE63" s="12">
        <f>IF('Données projet'!$A$218&gt;35,FE62+FD63-FM62,IF(A63&lt;'Données projet'!$A$218,$FB$205^A63,IF(A63='Données projet'!$A$218,'Données projet'!$B$218,FE62+FD63-FM62)))</f>
        <v>310.75</v>
      </c>
      <c r="FF63" s="17">
        <f>FE63*VLOOKUP('Données projet'!$B$16,Paramètres!$A$1:$I$89,3,0)*VLOOKUP('Données projet'!$B$16,Paramètres!$A$1:$I$89,5,0)</f>
        <v>185.82849999999999</v>
      </c>
      <c r="FG63" s="13">
        <f t="shared" si="47"/>
        <v>46.616505227631926</v>
      </c>
      <c r="FH63" s="20">
        <f t="shared" si="22"/>
        <v>404.84171743812561</v>
      </c>
      <c r="FI63" s="59">
        <f t="shared" si="23"/>
        <v>698.17505077145893</v>
      </c>
      <c r="FJ63" s="59">
        <f ca="1">AVERAGE(OFFSET($FI$3,0,0,'Données projet'!$E$16+1,1))-AVERAGE(OFFSET($H$3,0,0,'Données projet'!$E$16+1,1))</f>
        <v>168.08890945052406</v>
      </c>
      <c r="FK63" s="59">
        <f t="shared" si="48"/>
        <v>182.52462557642343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3.4294478837101638</v>
      </c>
      <c r="FR63" s="21">
        <f>EXP(-LN(2)/25)*FR62+(1-EXP(-LN(2)/25))/(LN(2)/25)*Calculateur!FM63*Calculateur!FO63*VLOOKUP('Données projet'!$B$16,Paramètres!$A$1:$I$89,3,0)*0.475*44/12</f>
        <v>5.3673282451891522</v>
      </c>
      <c r="FS63" s="21">
        <f>EXP(-LN(2)/2)*FS62+(1-EXP(-LN(2)/2))/(LN(2)/2)*FM63*FP63*VLOOKUP('Données projet'!$B$16,Paramètres!$A$1:$I$89,3,0)*0.475*44/12</f>
        <v>1.6618934247052499E-4</v>
      </c>
      <c r="FT63" s="22">
        <f t="shared" si="24"/>
        <v>8.7969423182417863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11.375</v>
      </c>
      <c r="FZ63" s="12">
        <f>IF('Données projet'!$A$244&gt;35,FZ62+FY63-GH62,IF(A63&lt;'Données projet'!$A$244,$FW$205^A63,IF(A63='Données projet'!$A$244,'Données projet'!$B$244,FZ62+FY63-GH62)))</f>
        <v>346.74999999999994</v>
      </c>
      <c r="GA63" s="17">
        <f>FZ63*VLOOKUP('Données projet'!$B$17,Paramètres!$A$1:$I$89,3,0)*VLOOKUP('Données projet'!$B$17,Paramètres!$A$1:$I$89,5,0)</f>
        <v>198.34099999999995</v>
      </c>
      <c r="GB63" s="13">
        <f t="shared" si="49"/>
        <v>49.379393175979537</v>
      </c>
      <c r="GC63" s="20">
        <f t="shared" si="25"/>
        <v>431.44635144816431</v>
      </c>
      <c r="GD63" s="59">
        <f t="shared" si="26"/>
        <v>724.77968478149762</v>
      </c>
      <c r="GE63" s="59">
        <f ca="1">AVERAGE(OFFSET($GD$3,0,0,'Données projet'!$E$17+1,1))-AVERAGE(OFFSET($H$3,0,0,'Données projet'!$E$17+1,1))</f>
        <v>196.95560009657527</v>
      </c>
      <c r="GF63" s="59">
        <f t="shared" si="50"/>
        <v>168.90186968005662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0</v>
      </c>
      <c r="GM63" s="21">
        <f>EXP(-LN(2)/25)*GM62+(1-EXP(-LN(2)/25))/(LN(2)/25)*Calculateur!GH63*Calculateur!GJ63*VLOOKUP('Données projet'!$B$17,Paramètres!$A$1:$I$89,3,0)*0.475*44/12</f>
        <v>4.0179995651513192</v>
      </c>
      <c r="GN63" s="21">
        <f>EXP(-LN(2)/2)*GN62+(1-EXP(-LN(2)/2))/(LN(2)/2)*GH63*GK63*VLOOKUP('Données projet'!$B$17,Paramètres!$A$1:$I$89,3,0)*0.475*44/12</f>
        <v>3.9244318701857827E-4</v>
      </c>
      <c r="GO63" s="21">
        <f t="shared" si="27"/>
        <v>4.0183920083383375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15.5</v>
      </c>
      <c r="N64" s="13">
        <f>IF('Données projet'!$A$36&gt;35,N63+M64-V63,IF(A64&lt;'Données projet'!$A$36,$K$205^A64,IF(A64='Données projet'!$A$36,'Données projet'!$B$36,N63+M64-V63)))</f>
        <v>306.89999999999986</v>
      </c>
      <c r="O64" s="13">
        <f>N64*VLOOKUP('Données projet'!$B$9,Paramètres!$A$1:$I$89,3,0)*VLOOKUP('Données projet'!$B$9,Paramètres!$A$1:$I$89,5,0)</f>
        <v>143.62919999999994</v>
      </c>
      <c r="P64" s="13">
        <f t="shared" si="33"/>
        <v>37.127161849234348</v>
      </c>
      <c r="Q64" s="20">
        <f t="shared" si="53"/>
        <v>314.81733022074968</v>
      </c>
      <c r="R64" s="59">
        <f t="shared" si="0"/>
        <v>608.15066355408294</v>
      </c>
      <c r="S64" s="59">
        <f ca="1">AVERAGE(OFFSET($R$3,0,0,'Données projet'!$E$9+1,1))-AVERAGE(OFFSET($H$3,0,0,'Données projet'!$E$9+1,1))</f>
        <v>215.23235148064941</v>
      </c>
      <c r="T64" s="59">
        <f t="shared" si="34"/>
        <v>184.07239726900434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1.6964966742988374</v>
      </c>
      <c r="AA64" s="21">
        <f>EXP(-LN(2)/25)*AA63+(1-EXP(-LN(2)/25))/(LN(2)/25)*Calculateur!V64*Calculateur!X64*VLOOKUP('Données projet'!$B$9,Paramètres!$A$1:$I$89,3,0)*0.475*44/12</f>
        <v>3.3257888090873466</v>
      </c>
      <c r="AB64" s="21">
        <f>EXP(-LN(2)/2)*AB63+(1-EXP(-LN(2)/2))/(LN(2)/2)*V64*Y64*VLOOKUP('Données projet'!$B$9,Paramètres!$A$1:$I$89,3,0)*0.475*44/12</f>
        <v>2.1217036935547415E-4</v>
      </c>
      <c r="AC64" s="22">
        <f t="shared" si="3"/>
        <v>5.0224976537555399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4.0999999999999996</v>
      </c>
      <c r="AI64" s="13">
        <f>IF('Données projet'!$A$62&gt;35,AI63+AH64-AQ63,IF(A64&lt;'Données projet'!$A$62,$AF$205^A64,IF(A64='Données projet'!$A$62,'Données projet'!$B$62,AI63+AH64-AQ63)))</f>
        <v>237.09999999999974</v>
      </c>
      <c r="AJ64" s="13">
        <f>AI64*VLOOKUP('Données projet'!$B$10,Paramètres!$A$1:$I$89,3,0)*VLOOKUP('Données projet'!$B$10,Paramètres!$A$1:$I$89,5,0)</f>
        <v>173.84171999999981</v>
      </c>
      <c r="AK64" s="13">
        <f t="shared" si="35"/>
        <v>43.949318830610693</v>
      </c>
      <c r="AL64" s="20">
        <f t="shared" si="4"/>
        <v>379.31939262997997</v>
      </c>
      <c r="AM64" s="59">
        <f t="shared" si="5"/>
        <v>672.65272596331329</v>
      </c>
      <c r="AN64" s="59">
        <f ca="1">AVERAGE(OFFSET($AM$3,0,0,'Données projet'!$E$10+1,1))-AVERAGE(OFFSET($H$3,0,0,'Données projet'!$E$10+1,1))</f>
        <v>178.12968684094687</v>
      </c>
      <c r="AO64" s="59">
        <f t="shared" si="36"/>
        <v>219.36004077210373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3.2550818627066298</v>
      </c>
      <c r="AW64" s="21">
        <f>EXP(-LN(2)/2)*AW63+(1-EXP(-LN(2)/2))/(LN(2)/2)*AQ64*AT64*VLOOKUP('Données projet'!$B$10,Paramètres!$A$1:$I$89,3,0)*0.475*44/12</f>
        <v>2.1401189650059588E-4</v>
      </c>
      <c r="AX64" s="21">
        <f t="shared" si="6"/>
        <v>3.2552958746031302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3.1</v>
      </c>
      <c r="BD64" s="12">
        <f>IF('Données projet'!$A$88&gt;35,BD63+BC64-BL63,IF(A64&lt;'Données projet'!$A$88,$BA$205^A64,IF(A64='Données projet'!$A$88,'Données projet'!$B$88,BD63+BC64-BL63)))</f>
        <v>130.09999999999988</v>
      </c>
      <c r="BE64" s="13">
        <f>BD64*VLOOKUP('Données projet'!$B$11,Paramètres!$A$1:$I$89,3,0)*VLOOKUP('Données projet'!$B$11,Paramètres!$A$1:$I$89,5,0)</f>
        <v>113.6553599999999</v>
      </c>
      <c r="BF64" s="13">
        <f t="shared" si="37"/>
        <v>30.190570505412133</v>
      </c>
      <c r="BG64" s="20">
        <f t="shared" si="7"/>
        <v>250.53166229692593</v>
      </c>
      <c r="BH64" s="59">
        <f t="shared" si="8"/>
        <v>543.86499563025927</v>
      </c>
      <c r="BI64" s="59">
        <f ca="1">AVERAGE(OFFSET($BH$3,0,0,'Données projet'!$E$11+1,1))-AVERAGE(OFFSET($H$3,0,0,'Données projet'!$E$11+1,1))</f>
        <v>114.02623091248347</v>
      </c>
      <c r="BJ64" s="59">
        <f t="shared" si="38"/>
        <v>185.51554083721635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1.0563296781015226</v>
      </c>
      <c r="BQ64" s="21">
        <f>EXP(-LN(2)/25)*BQ63+(1-EXP(-LN(2)/25))/(LN(2)/25)*Calculateur!BL64*Calculateur!BN64*VLOOKUP('Données projet'!$B$11,Paramètres!$A$1:$I$89,3,0)*0.475*44/12</f>
        <v>4.7655378795751862</v>
      </c>
      <c r="BR64" s="21">
        <f>EXP(-LN(2)/2)*BR63+(1-EXP(-LN(2)/2))/(LN(2)/2)*BL64*BO64*VLOOKUP('Données projet'!$B$11,Paramètres!$A$1:$I$89,3,0)*0.475*44/12</f>
        <v>3.8064116952969093E-4</v>
      </c>
      <c r="BS64" s="22">
        <f t="shared" si="9"/>
        <v>5.8222481988462382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7</v>
      </c>
      <c r="BY64" s="12">
        <f>IF('Données projet'!$A$114&gt;35,BY63+BX64-CG63,IF(A64&lt;'Données projet'!$A$114,$BV$205^A64,IF(A64='Données projet'!$A$114,'Données projet'!$B$114,BY63+BX64-CG63)))</f>
        <v>200.00000000000017</v>
      </c>
      <c r="BZ64" s="13">
        <f>BY64*VLOOKUP('Données projet'!$B$12,Paramètres!$A$1:$I$89,3,0)*VLOOKUP('Données projet'!$B$12,Paramètres!$A$1:$I$89,5,0)</f>
        <v>180.96000000000015</v>
      </c>
      <c r="CA64" s="13">
        <f t="shared" si="39"/>
        <v>45.535702314871806</v>
      </c>
      <c r="CB64" s="20">
        <f t="shared" si="10"/>
        <v>394.48001486506865</v>
      </c>
      <c r="CC64" s="59">
        <f t="shared" si="11"/>
        <v>687.81334819840197</v>
      </c>
      <c r="CD64" s="59">
        <f ca="1">AVERAGE(OFFSET($CC$3,0,0,'Données projet'!$E$12+1,1))-AVERAGE(OFFSET($H$3,0,0,'Données projet'!$E$12+1,1))</f>
        <v>237.22177246688199</v>
      </c>
      <c r="CE64" s="59">
        <f t="shared" si="40"/>
        <v>149.27472147904302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1.3149692940218327</v>
      </c>
      <c r="CM64" s="21">
        <f>EXP(-LN(2)/2)*CM63+(1-EXP(-LN(2)/2))/(LN(2)/2)*CG64*CJ64*VLOOKUP('Données projet'!$B$12,Paramètres!$A$1:$I$89,3,0)*0.475*44/12</f>
        <v>1.3356109127773283E-4</v>
      </c>
      <c r="CN64" s="22">
        <f t="shared" si="12"/>
        <v>1.3151028551131105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13.4</v>
      </c>
      <c r="CT64" s="12">
        <f>IF('Données projet'!$A$140&gt;35,CT63+CS64-DB63,IF(A64&lt;'Données projet'!$A$140,$CQ$205^A64,IF(A64='Données projet'!$A$140,'Données projet'!$B$140,CT63+CS64-DB63)))</f>
        <v>493.39999999999986</v>
      </c>
      <c r="CU64" s="17">
        <f>CT64*VLOOKUP('Données projet'!$B$13,Paramètres!$A$1:$I$89,3,0)*VLOOKUP('Données projet'!$B$13,Paramètres!$A$1:$I$89,5,0)</f>
        <v>275.81059999999997</v>
      </c>
      <c r="CV64" s="13">
        <f t="shared" si="41"/>
        <v>66.080892951487996</v>
      </c>
      <c r="CW64" s="20">
        <f t="shared" si="13"/>
        <v>595.46101689050818</v>
      </c>
      <c r="CX64" s="59">
        <f t="shared" si="14"/>
        <v>888.79435022384155</v>
      </c>
      <c r="CY64" s="59">
        <f ca="1">AVERAGE(OFFSET($CX$3,0,0,'Données projet'!$E$13+1,1))-AVERAGE(OFFSET($H$3,0,0,'Données projet'!$E$13+1,1))</f>
        <v>326.31232746914907</v>
      </c>
      <c r="CZ64" s="59">
        <f t="shared" si="42"/>
        <v>330.17137761430297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2.472260948748247</v>
      </c>
      <c r="DG64" s="21">
        <f>EXP(-LN(2)/25)*DG63+(1-EXP(-LN(2)/25))/(LN(2)/25)*Calculateur!DB64*Calculateur!DD64*VLOOKUP('Données projet'!$B$13,Paramètres!$A$1:$I$89,3,0)*0.475*44/12</f>
        <v>12.774401253269822</v>
      </c>
      <c r="DH64" s="21">
        <f>EXP(-LN(2)/2)*DH63+(1-EXP(-LN(2)/2))/(LN(2)/2)*DB64*DE64*VLOOKUP('Données projet'!$B$13,Paramètres!$A$1:$I$89,3,0)*0.475*44/12</f>
        <v>7.0180020828500105E-4</v>
      </c>
      <c r="DI64" s="22">
        <f t="shared" si="15"/>
        <v>15.247364002226353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6.8</v>
      </c>
      <c r="DO64" s="12">
        <f>IF('Données projet'!$A$166&gt;35,DO63+DN64-DW63,IF(A64&lt;'Données projet'!$A$166,$DL$205^A64,IF(A64='Données projet'!$A$166,'Données projet'!$B$166,DO63+DN64-DW63)))</f>
        <v>310.8000000000003</v>
      </c>
      <c r="DP64" s="17">
        <f>DO64*VLOOKUP('Données projet'!$B$14,Paramètres!$A$1:$I$89,3,0)*VLOOKUP('Données projet'!$B$14,Paramètres!$A$1:$I$89,5,0)</f>
        <v>193.9392000000002</v>
      </c>
      <c r="DQ64" s="13">
        <f t="shared" si="43"/>
        <v>48.409811198069427</v>
      </c>
      <c r="DR64" s="20">
        <f t="shared" si="16"/>
        <v>422.09119450330462</v>
      </c>
      <c r="DS64" s="59">
        <f t="shared" si="17"/>
        <v>715.42452783663794</v>
      </c>
      <c r="DT64" s="59">
        <f ca="1">AVERAGE(OFFSET($DS$3,0,0,'Données projet'!$E$14+1,1))-AVERAGE(OFFSET($H$3,0,0,'Données projet'!$E$14+1,1))</f>
        <v>209.93608079129638</v>
      </c>
      <c r="DU64" s="59">
        <f t="shared" si="44"/>
        <v>240.15652428700969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3.763272480124177</v>
      </c>
      <c r="EB64" s="21">
        <f>EXP(-LN(2)/25)*EB63+(1-EXP(-LN(2)/25))/(LN(2)/25)*Calculateur!DW64*Calculateur!DY64*VLOOKUP('Données projet'!$B$14,Paramètres!$A$1:$I$89,3,0)*0.475*44/12</f>
        <v>8.8010320202490497</v>
      </c>
      <c r="EC64" s="21">
        <f>EXP(-LN(2)/2)*EC63+(1-EXP(-LN(2)/2))/(LN(2)/2)*DW64*DZ64*VLOOKUP('Données projet'!$B$14,Paramètres!$A$1:$I$89,3,0)*0.475*44/12</f>
        <v>4.3570137208140343E-4</v>
      </c>
      <c r="ED64" s="22">
        <f t="shared" si="18"/>
        <v>12.564740201745309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9.1999999999999993</v>
      </c>
      <c r="EJ64" s="12">
        <f>IF('Données projet'!$A$192&gt;35,EJ63+EI64-ER63,IF(A64&lt;'Données projet'!$A$192,$EG$205^A64,IF(A64='Données projet'!$A$192,'Données projet'!$B$192,EJ63+EI64-ER63)))</f>
        <v>339.19999999999976</v>
      </c>
      <c r="EK64" s="17">
        <f>EJ64*VLOOKUP('Données projet'!$B$15,Paramètres!$A$1:$I$89,3,0)*VLOOKUP('Données projet'!$B$15,Paramètres!$A$1:$I$89,5,0)</f>
        <v>202.84159999999989</v>
      </c>
      <c r="EL64" s="13">
        <f t="shared" si="45"/>
        <v>50.368151708087709</v>
      </c>
      <c r="EM64" s="20">
        <f t="shared" si="19"/>
        <v>441.00698422491922</v>
      </c>
      <c r="EN64" s="59">
        <f t="shared" si="20"/>
        <v>734.34031755825254</v>
      </c>
      <c r="EO64" s="59">
        <f ca="1">AVERAGE(OFFSET($EN$3,0,0,'Données projet'!$E$15+1,1))-AVERAGE(OFFSET($H$3,0,0,'Données projet'!$E$15+1,1))</f>
        <v>216.94426559495264</v>
      </c>
      <c r="EP64" s="59">
        <f t="shared" si="46"/>
        <v>225.33715877618704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5.4400268399199376</v>
      </c>
      <c r="EX64" s="21">
        <f>EXP(-LN(2)/2)*EX63+(1-EXP(-LN(2)/2))/(LN(2)/2)*ER64*EU64*VLOOKUP('Données projet'!$B$15,Paramètres!$A$1:$I$89,3,0)*0.475*44/12</f>
        <v>5.1206028076151587E-4</v>
      </c>
      <c r="EY64" s="22">
        <f t="shared" si="21"/>
        <v>5.440538900200699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2.625</v>
      </c>
      <c r="FE64" s="12">
        <f>IF('Données projet'!$A$218&gt;35,FE63+FD64-FM63,IF(A64&lt;'Données projet'!$A$218,$FB$205^A64,IF(A64='Données projet'!$A$218,'Données projet'!$B$218,FE63+FD64-FM63)))</f>
        <v>313.375</v>
      </c>
      <c r="FF64" s="17">
        <f>FE64*VLOOKUP('Données projet'!$B$16,Paramètres!$A$1:$I$89,3,0)*VLOOKUP('Données projet'!$B$16,Paramètres!$A$1:$I$89,5,0)</f>
        <v>187.39825000000002</v>
      </c>
      <c r="FG64" s="13">
        <f t="shared" si="47"/>
        <v>46.964282095681376</v>
      </c>
      <c r="FH64" s="20">
        <f t="shared" si="22"/>
        <v>408.18141006664501</v>
      </c>
      <c r="FI64" s="59">
        <f t="shared" si="23"/>
        <v>701.51474339997833</v>
      </c>
      <c r="FJ64" s="59">
        <f ca="1">AVERAGE(OFFSET($FI$3,0,0,'Données projet'!$E$16+1,1))-AVERAGE(OFFSET($H$3,0,0,'Données projet'!$E$16+1,1))</f>
        <v>168.08890945052406</v>
      </c>
      <c r="FK64" s="59">
        <f t="shared" si="48"/>
        <v>182.52462557642343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3.3621985024672729</v>
      </c>
      <c r="FR64" s="21">
        <f>EXP(-LN(2)/25)*FR63+(1-EXP(-LN(2)/25))/(LN(2)/25)*Calculateur!FM64*Calculateur!FO64*VLOOKUP('Données projet'!$B$16,Paramètres!$A$1:$I$89,3,0)*0.475*44/12</f>
        <v>5.2205583720689299</v>
      </c>
      <c r="FS64" s="21">
        <f>EXP(-LN(2)/2)*FS63+(1-EXP(-LN(2)/2))/(LN(2)/2)*FM64*FP64*VLOOKUP('Données projet'!$B$16,Paramètres!$A$1:$I$89,3,0)*0.475*44/12</f>
        <v>1.1751361102184174E-4</v>
      </c>
      <c r="FT64" s="22">
        <f t="shared" si="24"/>
        <v>8.5828743881472249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11.375</v>
      </c>
      <c r="FZ64" s="12">
        <f>IF('Données projet'!$A$244&gt;35,FZ63+FY64-GH63,IF(A64&lt;'Données projet'!$A$244,$FW$205^A64,IF(A64='Données projet'!$A$244,'Données projet'!$B$244,FZ63+FY64-GH63)))</f>
        <v>358.12499999999994</v>
      </c>
      <c r="GA64" s="17">
        <f>FZ64*VLOOKUP('Données projet'!$B$17,Paramètres!$A$1:$I$89,3,0)*VLOOKUP('Données projet'!$B$17,Paramètres!$A$1:$I$89,5,0)</f>
        <v>204.8475</v>
      </c>
      <c r="GB64" s="13">
        <f t="shared" si="49"/>
        <v>50.808012105592304</v>
      </c>
      <c r="GC64" s="20">
        <f t="shared" si="25"/>
        <v>445.26668358390657</v>
      </c>
      <c r="GD64" s="59">
        <f t="shared" si="26"/>
        <v>738.60001691723983</v>
      </c>
      <c r="GE64" s="59">
        <f ca="1">AVERAGE(OFFSET($GD$3,0,0,'Données projet'!$E$17+1,1))-AVERAGE(OFFSET($H$3,0,0,'Données projet'!$E$17+1,1))</f>
        <v>196.95560009657527</v>
      </c>
      <c r="GF64" s="59">
        <f t="shared" si="50"/>
        <v>168.90186968005662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0</v>
      </c>
      <c r="GM64" s="21">
        <f>EXP(-LN(2)/25)*GM63+(1-EXP(-LN(2)/25))/(LN(2)/25)*Calculateur!GH64*Calculateur!GJ64*VLOOKUP('Données projet'!$B$17,Paramètres!$A$1:$I$89,3,0)*0.475*44/12</f>
        <v>3.9081271557448423</v>
      </c>
      <c r="GN64" s="21">
        <f>EXP(-LN(2)/2)*GN63+(1-EXP(-LN(2)/2))/(LN(2)/2)*GH64*GK64*VLOOKUP('Données projet'!$B$17,Paramètres!$A$1:$I$89,3,0)*0.475*44/12</f>
        <v>2.7749923877129718E-4</v>
      </c>
      <c r="GO64" s="21">
        <f t="shared" si="27"/>
        <v>3.9084046549836136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15.5</v>
      </c>
      <c r="N65" s="13">
        <f>IF('Données projet'!$A$36&gt;35,N64+M65-V64,IF(A65&lt;'Données projet'!$A$36,$K$205^A65,IF(A65='Données projet'!$A$36,'Données projet'!$B$36,N64+M65-V64)))</f>
        <v>322.39999999999986</v>
      </c>
      <c r="O65" s="13">
        <f>N65*VLOOKUP('Données projet'!$B$9,Paramètres!$A$1:$I$89,3,0)*VLOOKUP('Données projet'!$B$9,Paramètres!$A$1:$I$89,5,0)</f>
        <v>150.88319999999993</v>
      </c>
      <c r="P65" s="13">
        <f t="shared" si="33"/>
        <v>38.779227360583164</v>
      </c>
      <c r="Q65" s="20">
        <f t="shared" si="53"/>
        <v>330.32872765301551</v>
      </c>
      <c r="R65" s="59">
        <f t="shared" si="0"/>
        <v>623.66206098634882</v>
      </c>
      <c r="S65" s="59">
        <f ca="1">AVERAGE(OFFSET($R$3,0,0,'Données projet'!$E$9+1,1))-AVERAGE(OFFSET($H$3,0,0,'Données projet'!$E$9+1,1))</f>
        <v>215.23235148064941</v>
      </c>
      <c r="T65" s="59">
        <f t="shared" si="34"/>
        <v>184.07239726900434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1.6632294092766344</v>
      </c>
      <c r="AA65" s="21">
        <f>EXP(-LN(2)/25)*AA64+(1-EXP(-LN(2)/25))/(LN(2)/25)*Calculateur!V65*Calculateur!X65*VLOOKUP('Données projet'!$B$9,Paramètres!$A$1:$I$89,3,0)*0.475*44/12</f>
        <v>3.2348449392072207</v>
      </c>
      <c r="AB65" s="21">
        <f>EXP(-LN(2)/2)*AB64+(1-EXP(-LN(2)/2))/(LN(2)/2)*V65*Y65*VLOOKUP('Données projet'!$B$9,Paramètres!$A$1:$I$89,3,0)*0.475*44/12</f>
        <v>1.5002710693811023E-4</v>
      </c>
      <c r="AC65" s="22">
        <f t="shared" si="3"/>
        <v>4.898224375590793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4.0999999999999996</v>
      </c>
      <c r="AI65" s="13">
        <f>IF('Données projet'!$A$62&gt;35,AI64+AH65-AQ64,IF(A65&lt;'Données projet'!$A$62,$AF$205^A65,IF(A65='Données projet'!$A$62,'Données projet'!$B$62,AI64+AH65-AQ64)))</f>
        <v>241.19999999999973</v>
      </c>
      <c r="AJ65" s="13">
        <f>AI65*VLOOKUP('Données projet'!$B$10,Paramètres!$A$1:$I$89,3,0)*VLOOKUP('Données projet'!$B$10,Paramètres!$A$1:$I$89,5,0)</f>
        <v>176.84783999999979</v>
      </c>
      <c r="AK65" s="13">
        <f t="shared" si="35"/>
        <v>44.620169178759383</v>
      </c>
      <c r="AL65" s="20">
        <f t="shared" si="4"/>
        <v>385.72344931967223</v>
      </c>
      <c r="AM65" s="59">
        <f t="shared" si="5"/>
        <v>679.05678265300548</v>
      </c>
      <c r="AN65" s="59">
        <f ca="1">AVERAGE(OFFSET($AM$3,0,0,'Données projet'!$E$10+1,1))-AVERAGE(OFFSET($H$3,0,0,'Données projet'!$E$10+1,1))</f>
        <v>178.12968684094687</v>
      </c>
      <c r="AO65" s="59">
        <f t="shared" si="36"/>
        <v>219.36004077210373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3.1660714779936012</v>
      </c>
      <c r="AW65" s="21">
        <f>EXP(-LN(2)/2)*AW64+(1-EXP(-LN(2)/2))/(LN(2)/2)*AQ65*AT65*VLOOKUP('Données projet'!$B$10,Paramètres!$A$1:$I$89,3,0)*0.475*44/12</f>
        <v>1.5132926327016491E-4</v>
      </c>
      <c r="AX65" s="21">
        <f t="shared" si="6"/>
        <v>3.1662228072568714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3.1</v>
      </c>
      <c r="BD65" s="12">
        <f>IF('Données projet'!$A$88&gt;35,BD64+BC65-BL64,IF(A65&lt;'Données projet'!$A$88,$BA$205^A65,IF(A65='Données projet'!$A$88,'Données projet'!$B$88,BD64+BC65-BL64)))</f>
        <v>133.19999999999987</v>
      </c>
      <c r="BE65" s="13">
        <f>BD65*VLOOKUP('Données projet'!$B$11,Paramètres!$A$1:$I$89,3,0)*VLOOKUP('Données projet'!$B$11,Paramètres!$A$1:$I$89,5,0)</f>
        <v>116.36351999999991</v>
      </c>
      <c r="BF65" s="13">
        <f t="shared" si="37"/>
        <v>30.825337032325734</v>
      </c>
      <c r="BG65" s="20">
        <f t="shared" si="7"/>
        <v>256.35392599796717</v>
      </c>
      <c r="BH65" s="59">
        <f t="shared" si="8"/>
        <v>549.68725933130054</v>
      </c>
      <c r="BI65" s="59">
        <f ca="1">AVERAGE(OFFSET($BH$3,0,0,'Données projet'!$E$11+1,1))-AVERAGE(OFFSET($H$3,0,0,'Données projet'!$E$11+1,1))</f>
        <v>114.02623091248347</v>
      </c>
      <c r="BJ65" s="59">
        <f t="shared" si="38"/>
        <v>185.51554083721635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1.0356156974114363</v>
      </c>
      <c r="BQ65" s="21">
        <f>EXP(-LN(2)/25)*BQ64+(1-EXP(-LN(2)/25))/(LN(2)/25)*Calculateur!BL65*Calculateur!BN65*VLOOKUP('Données projet'!$B$11,Paramètres!$A$1:$I$89,3,0)*0.475*44/12</f>
        <v>4.635223995649457</v>
      </c>
      <c r="BR65" s="21">
        <f>EXP(-LN(2)/2)*BR64+(1-EXP(-LN(2)/2))/(LN(2)/2)*BL65*BO65*VLOOKUP('Données projet'!$B$11,Paramètres!$A$1:$I$89,3,0)*0.475*44/12</f>
        <v>2.691539521732227E-4</v>
      </c>
      <c r="BS65" s="22">
        <f t="shared" si="9"/>
        <v>5.6711088470130662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7</v>
      </c>
      <c r="BY65" s="12">
        <f>IF('Données projet'!$A$114&gt;35,BY64+BX65-CG64,IF(A65&lt;'Données projet'!$A$114,$BV$205^A65,IF(A65='Données projet'!$A$114,'Données projet'!$B$114,BY64+BX65-CG64)))</f>
        <v>207.00000000000017</v>
      </c>
      <c r="BZ65" s="13">
        <f>BY65*VLOOKUP('Données projet'!$B$12,Paramètres!$A$1:$I$89,3,0)*VLOOKUP('Données projet'!$B$12,Paramètres!$A$1:$I$89,5,0)</f>
        <v>187.29360000000014</v>
      </c>
      <c r="CA65" s="13">
        <f t="shared" si="39"/>
        <v>46.941107550760456</v>
      </c>
      <c r="CB65" s="20">
        <f t="shared" si="10"/>
        <v>407.95878231757462</v>
      </c>
      <c r="CC65" s="59">
        <f t="shared" si="11"/>
        <v>701.29211565090793</v>
      </c>
      <c r="CD65" s="59">
        <f ca="1">AVERAGE(OFFSET($CC$3,0,0,'Données projet'!$E$12+1,1))-AVERAGE(OFFSET($H$3,0,0,'Données projet'!$E$12+1,1))</f>
        <v>237.22177246688199</v>
      </c>
      <c r="CE65" s="59">
        <f t="shared" si="40"/>
        <v>149.27472147904302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1.2790113895255759</v>
      </c>
      <c r="CM65" s="21">
        <f>EXP(-LN(2)/2)*CM64+(1-EXP(-LN(2)/2))/(LN(2)/2)*CG65*CJ65*VLOOKUP('Données projet'!$B$12,Paramètres!$A$1:$I$89,3,0)*0.475*44/12</f>
        <v>9.4441953345160328E-5</v>
      </c>
      <c r="CN65" s="22">
        <f t="shared" si="12"/>
        <v>1.279105831478921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13.4</v>
      </c>
      <c r="CT65" s="12">
        <f>IF('Données projet'!$A$140&gt;35,CT64+CS65-DB64,IF(A65&lt;'Données projet'!$A$140,$CQ$205^A65,IF(A65='Données projet'!$A$140,'Données projet'!$B$140,CT64+CS65-DB64)))</f>
        <v>506.79999999999984</v>
      </c>
      <c r="CU65" s="17">
        <f>CT65*VLOOKUP('Données projet'!$B$13,Paramètres!$A$1:$I$89,3,0)*VLOOKUP('Données projet'!$B$13,Paramètres!$A$1:$I$89,5,0)</f>
        <v>283.30119999999988</v>
      </c>
      <c r="CV65" s="13">
        <f t="shared" si="41"/>
        <v>67.664170722499449</v>
      </c>
      <c r="CW65" s="20">
        <f t="shared" si="13"/>
        <v>611.26468734168623</v>
      </c>
      <c r="CX65" s="59">
        <f t="shared" si="14"/>
        <v>904.5980206750196</v>
      </c>
      <c r="CY65" s="59">
        <f ca="1">AVERAGE(OFFSET($CX$3,0,0,'Données projet'!$E$13+1,1))-AVERAGE(OFFSET($H$3,0,0,'Données projet'!$E$13+1,1))</f>
        <v>326.31232746914907</v>
      </c>
      <c r="CZ65" s="59">
        <f t="shared" si="42"/>
        <v>330.17137761430297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2.4237814194735767</v>
      </c>
      <c r="DG65" s="21">
        <f>EXP(-LN(2)/25)*DG64+(1-EXP(-LN(2)/25))/(LN(2)/25)*Calculateur!DB65*Calculateur!DD65*VLOOKUP('Données projet'!$B$13,Paramètres!$A$1:$I$89,3,0)*0.475*44/12</f>
        <v>12.425084579222593</v>
      </c>
      <c r="DH65" s="21">
        <f>EXP(-LN(2)/2)*DH64+(1-EXP(-LN(2)/2))/(LN(2)/2)*DB65*DE65*VLOOKUP('Données projet'!$B$13,Paramètres!$A$1:$I$89,3,0)*0.475*44/12</f>
        <v>4.9624768631645571E-4</v>
      </c>
      <c r="DI65" s="22">
        <f t="shared" si="15"/>
        <v>14.849362246382485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6.8</v>
      </c>
      <c r="DO65" s="12">
        <f>IF('Données projet'!$A$166&gt;35,DO64+DN65-DW64,IF(A65&lt;'Données projet'!$A$166,$DL$205^A65,IF(A65='Données projet'!$A$166,'Données projet'!$B$166,DO64+DN65-DW64)))</f>
        <v>317.60000000000031</v>
      </c>
      <c r="DP65" s="17">
        <f>DO65*VLOOKUP('Données projet'!$B$14,Paramètres!$A$1:$I$89,3,0)*VLOOKUP('Données projet'!$B$14,Paramètres!$A$1:$I$89,5,0)</f>
        <v>198.1824000000002</v>
      </c>
      <c r="DQ65" s="13">
        <f t="shared" si="43"/>
        <v>49.344502261104303</v>
      </c>
      <c r="DR65" s="20">
        <f t="shared" si="16"/>
        <v>431.10935477142363</v>
      </c>
      <c r="DS65" s="59">
        <f t="shared" si="17"/>
        <v>724.44268810475694</v>
      </c>
      <c r="DT65" s="59">
        <f ca="1">AVERAGE(OFFSET($DS$3,0,0,'Données projet'!$E$14+1,1))-AVERAGE(OFFSET($H$3,0,0,'Données projet'!$E$14+1,1))</f>
        <v>209.93608079129638</v>
      </c>
      <c r="DU65" s="59">
        <f t="shared" si="44"/>
        <v>240.15652428700969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3.6894770021585059</v>
      </c>
      <c r="EB65" s="21">
        <f>EXP(-LN(2)/25)*EB64+(1-EXP(-LN(2)/25))/(LN(2)/25)*Calculateur!DW65*Calculateur!DY65*VLOOKUP('Données projet'!$B$14,Paramètres!$A$1:$I$89,3,0)*0.475*44/12</f>
        <v>8.5603673368291808</v>
      </c>
      <c r="EC65" s="21">
        <f>EXP(-LN(2)/2)*EC64+(1-EXP(-LN(2)/2))/(LN(2)/2)*DW65*DZ65*VLOOKUP('Données projet'!$B$14,Paramètres!$A$1:$I$89,3,0)*0.475*44/12</f>
        <v>3.0808739477104346E-4</v>
      </c>
      <c r="ED65" s="22">
        <f t="shared" si="18"/>
        <v>12.250152426382458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9.1999999999999993</v>
      </c>
      <c r="EJ65" s="12">
        <f>IF('Données projet'!$A$192&gt;35,EJ64+EI65-ER64,IF(A65&lt;'Données projet'!$A$192,$EG$205^A65,IF(A65='Données projet'!$A$192,'Données projet'!$B$192,EJ64+EI65-ER64)))</f>
        <v>348.39999999999975</v>
      </c>
      <c r="EK65" s="17">
        <f>EJ65*VLOOKUP('Données projet'!$B$15,Paramètres!$A$1:$I$89,3,0)*VLOOKUP('Données projet'!$B$15,Paramètres!$A$1:$I$89,5,0)</f>
        <v>208.34319999999988</v>
      </c>
      <c r="EL65" s="13">
        <f t="shared" si="45"/>
        <v>51.573366479945882</v>
      </c>
      <c r="EM65" s="20">
        <f t="shared" si="19"/>
        <v>452.68801995257218</v>
      </c>
      <c r="EN65" s="59">
        <f t="shared" si="20"/>
        <v>746.02135328590543</v>
      </c>
      <c r="EO65" s="59">
        <f ca="1">AVERAGE(OFFSET($EN$3,0,0,'Données projet'!$E$15+1,1))-AVERAGE(OFFSET($H$3,0,0,'Données projet'!$E$15+1,1))</f>
        <v>216.94426559495264</v>
      </c>
      <c r="EP65" s="59">
        <f t="shared" si="46"/>
        <v>225.33715877618704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5.2912690199037486</v>
      </c>
      <c r="EX65" s="21">
        <f>EXP(-LN(2)/2)*EX64+(1-EXP(-LN(2)/2))/(LN(2)/2)*ER65*EU65*VLOOKUP('Données projet'!$B$15,Paramètres!$A$1:$I$89,3,0)*0.475*44/12</f>
        <v>3.620812969027553E-4</v>
      </c>
      <c r="EY65" s="22">
        <f t="shared" si="21"/>
        <v>5.2916311012006512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>
        <f>VLOOKUP(A65,'Données projet'!$A$217:$I$237,2,0)</f>
        <v>316</v>
      </c>
      <c r="FC65" s="12">
        <f>VLOOKUP(A65,'Données projet'!$A$217:$I$237,9,0)</f>
        <v>2.625</v>
      </c>
      <c r="FD65" s="12">
        <f t="array" ref="FD65">INDEX(FC:FC,MIN(IF(ISNUMBER(FC65:FC261),ROW(FC65:FC261),"")))</f>
        <v>2.625</v>
      </c>
      <c r="FE65" s="12">
        <f>IF('Données projet'!$A$218&gt;35,FE64+FD65-FM64,IF(A65&lt;'Données projet'!$A$218,$FB$205^A65,IF(A65='Données projet'!$A$218,'Données projet'!$B$218,FE64+FD65-FM64)))</f>
        <v>316</v>
      </c>
      <c r="FF65" s="17">
        <f>FE65*VLOOKUP('Données projet'!$B$16,Paramètres!$A$1:$I$89,3,0)*VLOOKUP('Données projet'!$B$16,Paramètres!$A$1:$I$89,5,0)</f>
        <v>188.96800000000002</v>
      </c>
      <c r="FG65" s="13">
        <f t="shared" si="47"/>
        <v>47.311720031947068</v>
      </c>
      <c r="FH65" s="20">
        <f t="shared" si="22"/>
        <v>411.52051238897451</v>
      </c>
      <c r="FI65" s="59">
        <f t="shared" si="23"/>
        <v>704.85384572230782</v>
      </c>
      <c r="FJ65" s="59">
        <f ca="1">AVERAGE(OFFSET($FI$3,0,0,'Données projet'!$E$16+1,1))-AVERAGE(OFFSET($H$3,0,0,'Données projet'!$E$16+1,1))</f>
        <v>168.08890945052406</v>
      </c>
      <c r="FK65" s="59">
        <f t="shared" si="48"/>
        <v>182.52462557642343</v>
      </c>
      <c r="FL65" s="15">
        <f>IF(ISNA(VLOOKUP(A65,'Données projet'!$A$217:$I$237,3,0)),0,VLOOKUP(A65,'Données projet'!$A$217:$I$237,3,0))</f>
        <v>9</v>
      </c>
      <c r="FM65" s="15">
        <f>IF(ISNA(VLOOKUP(A65,'Données projet'!$A$217:$I$237,4,0)),0,VLOOKUP(A65,'Données projet'!$A$217:$I$237,4,0))</f>
        <v>316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3.2962678405724826</v>
      </c>
      <c r="FR65" s="21">
        <f>EXP(-LN(2)/25)*FR64+(1-EXP(-LN(2)/25))/(LN(2)/25)*Calculateur!FM65*Calculateur!FO65*VLOOKUP('Données projet'!$B$16,Paramètres!$A$1:$I$89,3,0)*0.475*44/12</f>
        <v>5.0778019288474718</v>
      </c>
      <c r="FS65" s="21">
        <f>EXP(-LN(2)/2)*FS64+(1-EXP(-LN(2)/2))/(LN(2)/2)*FM65*FP65*VLOOKUP('Données projet'!$B$16,Paramètres!$A$1:$I$89,3,0)*0.475*44/12</f>
        <v>8.309467123526251E-5</v>
      </c>
      <c r="FT65" s="22">
        <f t="shared" si="24"/>
        <v>8.3741528640911884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11.375</v>
      </c>
      <c r="FZ65" s="12">
        <f>IF('Données projet'!$A$244&gt;35,FZ64+FY65-GH64,IF(A65&lt;'Données projet'!$A$244,$FW$205^A65,IF(A65='Données projet'!$A$244,'Données projet'!$B$244,FZ64+FY65-GH64)))</f>
        <v>369.49999999999994</v>
      </c>
      <c r="GA65" s="17">
        <f>FZ65*VLOOKUP('Données projet'!$B$17,Paramètres!$A$1:$I$89,3,0)*VLOOKUP('Données projet'!$B$17,Paramètres!$A$1:$I$89,5,0)</f>
        <v>211.35399999999998</v>
      </c>
      <c r="GB65" s="13">
        <f t="shared" si="49"/>
        <v>52.23135799939994</v>
      </c>
      <c r="GC65" s="20">
        <f t="shared" si="25"/>
        <v>459.07783184895493</v>
      </c>
      <c r="GD65" s="59">
        <f t="shared" si="26"/>
        <v>752.41116518228819</v>
      </c>
      <c r="GE65" s="59">
        <f ca="1">AVERAGE(OFFSET($GD$3,0,0,'Données projet'!$E$17+1,1))-AVERAGE(OFFSET($H$3,0,0,'Données projet'!$E$17+1,1))</f>
        <v>196.95560009657527</v>
      </c>
      <c r="GF65" s="59">
        <f t="shared" si="50"/>
        <v>168.90186968005662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0</v>
      </c>
      <c r="GM65" s="21">
        <f>EXP(-LN(2)/25)*GM64+(1-EXP(-LN(2)/25))/(LN(2)/25)*Calculateur!GH65*Calculateur!GJ65*VLOOKUP('Données projet'!$B$17,Paramètres!$A$1:$I$89,3,0)*0.475*44/12</f>
        <v>3.8012592131515244</v>
      </c>
      <c r="GN65" s="21">
        <f>EXP(-LN(2)/2)*GN64+(1-EXP(-LN(2)/2))/(LN(2)/2)*GH65*GK65*VLOOKUP('Données projet'!$B$17,Paramètres!$A$1:$I$89,3,0)*0.475*44/12</f>
        <v>1.9622159350928914E-4</v>
      </c>
      <c r="GO65" s="21">
        <f t="shared" si="27"/>
        <v>3.8014554347450336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15.5</v>
      </c>
      <c r="N66" s="13">
        <f>IF('Données projet'!$A$36&gt;35,N65+M66-V65,IF(A66&lt;'Données projet'!$A$36,$K$205^A66,IF(A66='Données projet'!$A$36,'Données projet'!$B$36,N65+M66-V65)))</f>
        <v>337.89999999999986</v>
      </c>
      <c r="O66" s="13">
        <f>N66*VLOOKUP('Données projet'!$B$9,Paramètres!$A$1:$I$89,3,0)*VLOOKUP('Données projet'!$B$9,Paramètres!$A$1:$I$89,5,0)</f>
        <v>158.13719999999995</v>
      </c>
      <c r="P66" s="13">
        <f t="shared" si="33"/>
        <v>40.422069728367696</v>
      </c>
      <c r="Q66" s="20">
        <f t="shared" si="53"/>
        <v>345.82406144357361</v>
      </c>
      <c r="R66" s="59">
        <f t="shared" si="0"/>
        <v>639.15739477690693</v>
      </c>
      <c r="S66" s="59">
        <f ca="1">AVERAGE(OFFSET($R$3,0,0,'Données projet'!$E$9+1,1))-AVERAGE(OFFSET($H$3,0,0,'Données projet'!$E$9+1,1))</f>
        <v>215.23235148064941</v>
      </c>
      <c r="T66" s="59">
        <f t="shared" si="34"/>
        <v>184.07239726900434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1.6306144950304886</v>
      </c>
      <c r="AA66" s="21">
        <f>EXP(-LN(2)/25)*AA65+(1-EXP(-LN(2)/25))/(LN(2)/25)*Calculateur!V66*Calculateur!X66*VLOOKUP('Données projet'!$B$9,Paramètres!$A$1:$I$89,3,0)*0.475*44/12</f>
        <v>3.1463879342314973</v>
      </c>
      <c r="AB66" s="21">
        <f>EXP(-LN(2)/2)*AB65+(1-EXP(-LN(2)/2))/(LN(2)/2)*V66*Y66*VLOOKUP('Données projet'!$B$9,Paramètres!$A$1:$I$89,3,0)*0.475*44/12</f>
        <v>1.0608518467773708E-4</v>
      </c>
      <c r="AC66" s="22">
        <f t="shared" si="3"/>
        <v>4.7771085144466632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4.0999999999999996</v>
      </c>
      <c r="AI66" s="13">
        <f>IF('Données projet'!$A$62&gt;35,AI65+AH66-AQ65,IF(A66&lt;'Données projet'!$A$62,$AF$205^A66,IF(A66='Données projet'!$A$62,'Données projet'!$B$62,AI65+AH66-AQ65)))</f>
        <v>245.29999999999973</v>
      </c>
      <c r="AJ66" s="13">
        <f>AI66*VLOOKUP('Données projet'!$B$10,Paramètres!$A$1:$I$89,3,0)*VLOOKUP('Données projet'!$B$10,Paramètres!$A$1:$I$89,5,0)</f>
        <v>179.8539599999998</v>
      </c>
      <c r="AK66" s="13">
        <f t="shared" si="35"/>
        <v>45.289693422506019</v>
      </c>
      <c r="AL66" s="20">
        <f t="shared" si="4"/>
        <v>392.12519637753098</v>
      </c>
      <c r="AM66" s="59">
        <f t="shared" si="5"/>
        <v>685.45852971086424</v>
      </c>
      <c r="AN66" s="59">
        <f ca="1">AVERAGE(OFFSET($AM$3,0,0,'Données projet'!$E$10+1,1))-AVERAGE(OFFSET($H$3,0,0,'Données projet'!$E$10+1,1))</f>
        <v>178.12968684094687</v>
      </c>
      <c r="AO66" s="59">
        <f t="shared" si="36"/>
        <v>219.36004077210373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3.0794950869314035</v>
      </c>
      <c r="AW66" s="21">
        <f>EXP(-LN(2)/2)*AW65+(1-EXP(-LN(2)/2))/(LN(2)/2)*AQ66*AT66*VLOOKUP('Données projet'!$B$10,Paramètres!$A$1:$I$89,3,0)*0.475*44/12</f>
        <v>1.0700594825029794E-4</v>
      </c>
      <c r="AX66" s="21">
        <f t="shared" si="6"/>
        <v>3.0796020928796537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3.1</v>
      </c>
      <c r="BD66" s="12">
        <f>IF('Données projet'!$A$88&gt;35,BD65+BC66-BL65,IF(A66&lt;'Données projet'!$A$88,$BA$205^A66,IF(A66='Données projet'!$A$88,'Données projet'!$B$88,BD65+BC66-BL65)))</f>
        <v>136.29999999999987</v>
      </c>
      <c r="BE66" s="13">
        <f>BD66*VLOOKUP('Données projet'!$B$11,Paramètres!$A$1:$I$89,3,0)*VLOOKUP('Données projet'!$B$11,Paramètres!$A$1:$I$89,5,0)</f>
        <v>119.0716799999999</v>
      </c>
      <c r="BF66" s="13">
        <f t="shared" si="37"/>
        <v>31.458386134225606</v>
      </c>
      <c r="BG66" s="20">
        <f t="shared" si="7"/>
        <v>262.17319851710943</v>
      </c>
      <c r="BH66" s="59">
        <f t="shared" si="8"/>
        <v>555.5065318504428</v>
      </c>
      <c r="BI66" s="59">
        <f ca="1">AVERAGE(OFFSET($BH$3,0,0,'Données projet'!$E$11+1,1))-AVERAGE(OFFSET($H$3,0,0,'Données projet'!$E$11+1,1))</f>
        <v>114.02623091248347</v>
      </c>
      <c r="BJ66" s="59">
        <f t="shared" si="38"/>
        <v>185.51554083721635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1.015307905248402</v>
      </c>
      <c r="BQ66" s="21">
        <f>EXP(-LN(2)/25)*BQ65+(1-EXP(-LN(2)/25))/(LN(2)/25)*Calculateur!BL66*Calculateur!BN66*VLOOKUP('Données projet'!$B$11,Paramètres!$A$1:$I$89,3,0)*0.475*44/12</f>
        <v>4.5084735517325862</v>
      </c>
      <c r="BR66" s="21">
        <f>EXP(-LN(2)/2)*BR65+(1-EXP(-LN(2)/2))/(LN(2)/2)*BL66*BO66*VLOOKUP('Données projet'!$B$11,Paramètres!$A$1:$I$89,3,0)*0.475*44/12</f>
        <v>1.9032058476484547E-4</v>
      </c>
      <c r="BS66" s="22">
        <f t="shared" si="9"/>
        <v>5.5239717775657526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7</v>
      </c>
      <c r="BY66" s="12">
        <f>IF('Données projet'!$A$114&gt;35,BY65+BX66-CG65,IF(A66&lt;'Données projet'!$A$114,$BV$205^A66,IF(A66='Données projet'!$A$114,'Données projet'!$B$114,BY65+BX66-CG65)))</f>
        <v>214.00000000000017</v>
      </c>
      <c r="BZ66" s="13">
        <f>BY66*VLOOKUP('Données projet'!$B$12,Paramètres!$A$1:$I$89,3,0)*VLOOKUP('Données projet'!$B$12,Paramètres!$A$1:$I$89,5,0)</f>
        <v>193.62720000000016</v>
      </c>
      <c r="CA66" s="13">
        <f t="shared" si="39"/>
        <v>48.340990547231236</v>
      </c>
      <c r="CB66" s="20">
        <f t="shared" si="10"/>
        <v>421.42793186976132</v>
      </c>
      <c r="CC66" s="59">
        <f t="shared" si="11"/>
        <v>714.76126520309458</v>
      </c>
      <c r="CD66" s="59">
        <f ca="1">AVERAGE(OFFSET($CC$3,0,0,'Données projet'!$E$12+1,1))-AVERAGE(OFFSET($H$3,0,0,'Données projet'!$E$12+1,1))</f>
        <v>237.22177246688199</v>
      </c>
      <c r="CE66" s="59">
        <f t="shared" si="40"/>
        <v>149.27472147904302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1.2440367558187133</v>
      </c>
      <c r="CM66" s="21">
        <f>EXP(-LN(2)/2)*CM65+(1-EXP(-LN(2)/2))/(LN(2)/2)*CG66*CJ66*VLOOKUP('Données projet'!$B$12,Paramètres!$A$1:$I$89,3,0)*0.475*44/12</f>
        <v>6.6780545638866413E-5</v>
      </c>
      <c r="CN66" s="22">
        <f t="shared" si="12"/>
        <v>1.2441035363643522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13.4</v>
      </c>
      <c r="CT66" s="12">
        <f>IF('Données projet'!$A$140&gt;35,CT65+CS66-DB65,IF(A66&lt;'Données projet'!$A$140,$CQ$205^A66,IF(A66='Données projet'!$A$140,'Données projet'!$B$140,CT65+CS66-DB65)))</f>
        <v>520.19999999999982</v>
      </c>
      <c r="CU66" s="17">
        <f>CT66*VLOOKUP('Données projet'!$B$13,Paramètres!$A$1:$I$89,3,0)*VLOOKUP('Données projet'!$B$13,Paramètres!$A$1:$I$89,5,0)</f>
        <v>290.79179999999991</v>
      </c>
      <c r="CV66" s="13">
        <f t="shared" si="41"/>
        <v>69.242582588470327</v>
      </c>
      <c r="CW66" s="20">
        <f t="shared" si="13"/>
        <v>627.05988300825231</v>
      </c>
      <c r="CX66" s="59">
        <f t="shared" si="14"/>
        <v>920.39321634158568</v>
      </c>
      <c r="CY66" s="59">
        <f ca="1">AVERAGE(OFFSET($CX$3,0,0,'Données projet'!$E$13+1,1))-AVERAGE(OFFSET($H$3,0,0,'Données projet'!$E$13+1,1))</f>
        <v>326.31232746914907</v>
      </c>
      <c r="CZ66" s="59">
        <f t="shared" si="42"/>
        <v>330.17137761430297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2.3762525441983899</v>
      </c>
      <c r="DG66" s="21">
        <f>EXP(-LN(2)/25)*DG65+(1-EXP(-LN(2)/25))/(LN(2)/25)*Calculateur!DB66*Calculateur!DD66*VLOOKUP('Données projet'!$B$13,Paramètres!$A$1:$I$89,3,0)*0.475*44/12</f>
        <v>12.085319987996952</v>
      </c>
      <c r="DH66" s="21">
        <f>EXP(-LN(2)/2)*DH65+(1-EXP(-LN(2)/2))/(LN(2)/2)*DB66*DE66*VLOOKUP('Données projet'!$B$13,Paramètres!$A$1:$I$89,3,0)*0.475*44/12</f>
        <v>3.5090010414250052E-4</v>
      </c>
      <c r="DI66" s="22">
        <f t="shared" si="15"/>
        <v>14.461923432299486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6.8</v>
      </c>
      <c r="DO66" s="12">
        <f>IF('Données projet'!$A$166&gt;35,DO65+DN66-DW65,IF(A66&lt;'Données projet'!$A$166,$DL$205^A66,IF(A66='Données projet'!$A$166,'Données projet'!$B$166,DO65+DN66-DW65)))</f>
        <v>324.40000000000032</v>
      </c>
      <c r="DP66" s="17">
        <f>DO66*VLOOKUP('Données projet'!$B$14,Paramètres!$A$1:$I$89,3,0)*VLOOKUP('Données projet'!$B$14,Paramètres!$A$1:$I$89,5,0)</f>
        <v>202.4256000000002</v>
      </c>
      <c r="DQ66" s="13">
        <f t="shared" si="43"/>
        <v>50.276866607459766</v>
      </c>
      <c r="DR66" s="20">
        <f t="shared" si="16"/>
        <v>440.12346267465938</v>
      </c>
      <c r="DS66" s="59">
        <f t="shared" si="17"/>
        <v>733.45679600799269</v>
      </c>
      <c r="DT66" s="59">
        <f ca="1">AVERAGE(OFFSET($DS$3,0,0,'Données projet'!$E$14+1,1))-AVERAGE(OFFSET($H$3,0,0,'Données projet'!$E$14+1,1))</f>
        <v>209.93608079129638</v>
      </c>
      <c r="DU66" s="59">
        <f t="shared" si="44"/>
        <v>240.15652428700969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3.6171286085049443</v>
      </c>
      <c r="EB66" s="21">
        <f>EXP(-LN(2)/25)*EB65+(1-EXP(-LN(2)/25))/(LN(2)/25)*Calculateur!DW66*Calculateur!DY66*VLOOKUP('Données projet'!$B$14,Paramètres!$A$1:$I$89,3,0)*0.475*44/12</f>
        <v>8.3262836418334345</v>
      </c>
      <c r="EC66" s="21">
        <f>EXP(-LN(2)/2)*EC65+(1-EXP(-LN(2)/2))/(LN(2)/2)*DW66*DZ66*VLOOKUP('Données projet'!$B$14,Paramètres!$A$1:$I$89,3,0)*0.475*44/12</f>
        <v>2.1785068604070171E-4</v>
      </c>
      <c r="ED66" s="22">
        <f t="shared" si="18"/>
        <v>11.94363010102442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9.1999999999999993</v>
      </c>
      <c r="EJ66" s="12">
        <f>IF('Données projet'!$A$192&gt;35,EJ65+EI66-ER65,IF(A66&lt;'Données projet'!$A$192,$EG$205^A66,IF(A66='Données projet'!$A$192,'Données projet'!$B$192,EJ65+EI66-ER65)))</f>
        <v>357.59999999999974</v>
      </c>
      <c r="EK66" s="17">
        <f>EJ66*VLOOKUP('Données projet'!$B$15,Paramètres!$A$1:$I$89,3,0)*VLOOKUP('Données projet'!$B$15,Paramètres!$A$1:$I$89,5,0)</f>
        <v>213.84479999999988</v>
      </c>
      <c r="EL66" s="13">
        <f t="shared" si="45"/>
        <v>52.774882006161135</v>
      </c>
      <c r="EM66" s="20">
        <f t="shared" si="19"/>
        <v>464.36261282739719</v>
      </c>
      <c r="EN66" s="59">
        <f t="shared" si="20"/>
        <v>757.6959461607305</v>
      </c>
      <c r="EO66" s="59">
        <f ca="1">AVERAGE(OFFSET($EN$3,0,0,'Données projet'!$E$15+1,1))-AVERAGE(OFFSET($H$3,0,0,'Données projet'!$E$15+1,1))</f>
        <v>216.94426559495264</v>
      </c>
      <c r="EP66" s="59">
        <f t="shared" si="46"/>
        <v>225.33715877618704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5.1465789902987362</v>
      </c>
      <c r="EX66" s="21">
        <f>EXP(-LN(2)/2)*EX65+(1-EXP(-LN(2)/2))/(LN(2)/2)*ER66*EU66*VLOOKUP('Données projet'!$B$15,Paramètres!$A$1:$I$89,3,0)*0.475*44/12</f>
        <v>2.5603014038075793E-4</v>
      </c>
      <c r="EY66" s="22">
        <f t="shared" si="21"/>
        <v>5.1468350204391173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>
        <f>FE66*VLOOKUP('Données projet'!$B$16,Paramètres!$A$1:$I$89,3,0)*VLOOKUP('Données projet'!$B$16,Paramètres!$A$1:$I$89,5,0)</f>
        <v>0</v>
      </c>
      <c r="FG66" s="13" t="e">
        <f t="shared" si="47"/>
        <v>#NUM!</v>
      </c>
      <c r="FH66" s="20" t="e">
        <f t="shared" si="22"/>
        <v>#NUM!</v>
      </c>
      <c r="FI66" s="59" t="e">
        <f t="shared" si="23"/>
        <v>#NUM!</v>
      </c>
      <c r="FJ66" s="59">
        <f ca="1">AVERAGE(OFFSET($FI$3,0,0,'Données projet'!$E$16+1,1))-AVERAGE(OFFSET($H$3,0,0,'Données projet'!$E$16+1,1))</f>
        <v>168.08890945052406</v>
      </c>
      <c r="FK66" s="59">
        <f t="shared" si="48"/>
        <v>182.52462557642343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3.2316300387437162</v>
      </c>
      <c r="FR66" s="21">
        <f>EXP(-LN(2)/25)*FR65+(1-EXP(-LN(2)/25))/(LN(2)/25)*Calculateur!FM66*Calculateur!FO66*VLOOKUP('Données projet'!$B$16,Paramètres!$A$1:$I$89,3,0)*0.475*44/12</f>
        <v>4.9389491680731394</v>
      </c>
      <c r="FS66" s="21">
        <f>EXP(-LN(2)/2)*FS65+(1-EXP(-LN(2)/2))/(LN(2)/2)*FM66*FP66*VLOOKUP('Données projet'!$B$16,Paramètres!$A$1:$I$89,3,0)*0.475*44/12</f>
        <v>5.8756805510920875E-5</v>
      </c>
      <c r="FT66" s="22">
        <f t="shared" si="24"/>
        <v>8.1706379636223669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11.375</v>
      </c>
      <c r="FZ66" s="12">
        <f>IF('Données projet'!$A$244&gt;35,FZ65+FY66-GH65,IF(A66&lt;'Données projet'!$A$244,$FW$205^A66,IF(A66='Données projet'!$A$244,'Données projet'!$B$244,FZ65+FY66-GH65)))</f>
        <v>380.87499999999994</v>
      </c>
      <c r="GA66" s="17">
        <f>FZ66*VLOOKUP('Données projet'!$B$17,Paramètres!$A$1:$I$89,3,0)*VLOOKUP('Données projet'!$B$17,Paramètres!$A$1:$I$89,5,0)</f>
        <v>217.86049999999997</v>
      </c>
      <c r="GB66" s="13">
        <f t="shared" si="49"/>
        <v>53.64961181582801</v>
      </c>
      <c r="GC66" s="20">
        <f t="shared" si="25"/>
        <v>472.88011141256703</v>
      </c>
      <c r="GD66" s="59">
        <f t="shared" si="26"/>
        <v>766.21344474590035</v>
      </c>
      <c r="GE66" s="59">
        <f ca="1">AVERAGE(OFFSET($GD$3,0,0,'Données projet'!$E$17+1,1))-AVERAGE(OFFSET($H$3,0,0,'Données projet'!$E$17+1,1))</f>
        <v>196.95560009657527</v>
      </c>
      <c r="GF66" s="59">
        <f t="shared" si="50"/>
        <v>168.90186968005662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0</v>
      </c>
      <c r="GM66" s="21">
        <f>EXP(-LN(2)/25)*GM65+(1-EXP(-LN(2)/25))/(LN(2)/25)*Calculateur!GH66*Calculateur!GJ66*VLOOKUP('Données projet'!$B$17,Paramètres!$A$1:$I$89,3,0)*0.475*44/12</f>
        <v>3.6973135800683616</v>
      </c>
      <c r="GN66" s="21">
        <f>EXP(-LN(2)/2)*GN65+(1-EXP(-LN(2)/2))/(LN(2)/2)*GH66*GK66*VLOOKUP('Données projet'!$B$17,Paramètres!$A$1:$I$89,3,0)*0.475*44/12</f>
        <v>1.3874961938564859E-4</v>
      </c>
      <c r="GO66" s="21">
        <f t="shared" si="27"/>
        <v>3.6974523296877475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15.5</v>
      </c>
      <c r="N67" s="13">
        <f>IF('Données projet'!$A$36&gt;35,N66+M67-V66,IF(A67&lt;'Données projet'!$A$36,$K$205^A67,IF(A67='Données projet'!$A$36,'Données projet'!$B$36,N66+M67-V66)))</f>
        <v>353.39999999999986</v>
      </c>
      <c r="O67" s="13">
        <f>N67*VLOOKUP('Données projet'!$B$9,Paramètres!$A$1:$I$89,3,0)*VLOOKUP('Données projet'!$B$9,Paramètres!$A$1:$I$89,5,0)</f>
        <v>165.39119999999994</v>
      </c>
      <c r="P67" s="13">
        <f t="shared" si="33"/>
        <v>42.056160358234834</v>
      </c>
      <c r="Q67" s="20">
        <f t="shared" ref="Q67:Q98" si="54">(O67+P67)*0.475*44/12</f>
        <v>361.30415262392557</v>
      </c>
      <c r="R67" s="59">
        <f t="shared" ref="R67:R130" si="55">Q67+(I67+J67)*44/12</f>
        <v>654.63748595725883</v>
      </c>
      <c r="S67" s="59">
        <f ca="1">AVERAGE(OFFSET($R$3,0,0,'Données projet'!$E$9+1,1))-AVERAGE(OFFSET($H$3,0,0,'Données projet'!$E$9+1,1))</f>
        <v>215.23235148064941</v>
      </c>
      <c r="T67" s="59">
        <f t="shared" si="34"/>
        <v>184.07239726900434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1.5986391393595765</v>
      </c>
      <c r="AA67" s="21">
        <f>EXP(-LN(2)/25)*AA66+(1-EXP(-LN(2)/25))/(LN(2)/25)*Calculateur!V67*Calculateur!X67*VLOOKUP('Données projet'!$B$9,Paramètres!$A$1:$I$89,3,0)*0.475*44/12</f>
        <v>3.0603497907085866</v>
      </c>
      <c r="AB67" s="21">
        <f>EXP(-LN(2)/2)*AB66+(1-EXP(-LN(2)/2))/(LN(2)/2)*V67*Y67*VLOOKUP('Données projet'!$B$9,Paramètres!$A$1:$I$89,3,0)*0.475*44/12</f>
        <v>7.5013553469055114E-5</v>
      </c>
      <c r="AC67" s="22">
        <f t="shared" si="3"/>
        <v>4.6590639436216321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4.0999999999999996</v>
      </c>
      <c r="AI67" s="13">
        <f>IF('Données projet'!$A$62&gt;35,AI66+AH67-AQ66,IF(A67&lt;'Données projet'!$A$62,$AF$205^A67,IF(A67='Données projet'!$A$62,'Données projet'!$B$62,AI66+AH67-AQ66)))</f>
        <v>249.39999999999972</v>
      </c>
      <c r="AJ67" s="13">
        <f>AI67*VLOOKUP('Données projet'!$B$10,Paramètres!$A$1:$I$89,3,0)*VLOOKUP('Données projet'!$B$10,Paramètres!$A$1:$I$89,5,0)</f>
        <v>182.86007999999978</v>
      </c>
      <c r="AK67" s="13">
        <f t="shared" si="35"/>
        <v>45.957916284909437</v>
      </c>
      <c r="AL67" s="20">
        <f t="shared" si="4"/>
        <v>398.5246768628835</v>
      </c>
      <c r="AM67" s="59">
        <f t="shared" si="5"/>
        <v>691.85801019621681</v>
      </c>
      <c r="AN67" s="59">
        <f ca="1">AVERAGE(OFFSET($AM$3,0,0,'Données projet'!$E$10+1,1))-AVERAGE(OFFSET($H$3,0,0,'Données projet'!$E$10+1,1))</f>
        <v>178.12968684094687</v>
      </c>
      <c r="AO67" s="59">
        <f t="shared" si="36"/>
        <v>219.36004077210373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2.9952861318356558</v>
      </c>
      <c r="AW67" s="21">
        <f>EXP(-LN(2)/2)*AW66+(1-EXP(-LN(2)/2))/(LN(2)/2)*AQ67*AT67*VLOOKUP('Données projet'!$B$10,Paramètres!$A$1:$I$89,3,0)*0.475*44/12</f>
        <v>7.5664631635082453E-5</v>
      </c>
      <c r="AX67" s="21">
        <f t="shared" si="6"/>
        <v>2.9953617964672907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3.1</v>
      </c>
      <c r="BD67" s="12">
        <f>IF('Données projet'!$A$88&gt;35,BD66+BC67-BL66,IF(A67&lt;'Données projet'!$A$88,$BA$205^A67,IF(A67='Données projet'!$A$88,'Données projet'!$B$88,BD66+BC67-BL66)))</f>
        <v>139.39999999999986</v>
      </c>
      <c r="BE67" s="13">
        <f>BD67*VLOOKUP('Données projet'!$B$11,Paramètres!$A$1:$I$89,3,0)*VLOOKUP('Données projet'!$B$11,Paramètres!$A$1:$I$89,5,0)</f>
        <v>121.77983999999991</v>
      </c>
      <c r="BF67" s="13">
        <f t="shared" si="37"/>
        <v>32.089761368755127</v>
      </c>
      <c r="BG67" s="20">
        <f t="shared" si="7"/>
        <v>267.98955571724832</v>
      </c>
      <c r="BH67" s="59">
        <f t="shared" si="8"/>
        <v>561.32288905058158</v>
      </c>
      <c r="BI67" s="59">
        <f ca="1">AVERAGE(OFFSET($BH$3,0,0,'Données projet'!$E$11+1,1))-AVERAGE(OFFSET($H$3,0,0,'Données projet'!$E$11+1,1))</f>
        <v>114.02623091248347</v>
      </c>
      <c r="BJ67" s="59">
        <f t="shared" si="38"/>
        <v>185.51554083721635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0.99539833650315457</v>
      </c>
      <c r="BQ67" s="21">
        <f>EXP(-LN(2)/25)*BQ66+(1-EXP(-LN(2)/25))/(LN(2)/25)*Calculateur!BL67*Calculateur!BN67*VLOOKUP('Données projet'!$B$11,Paramètres!$A$1:$I$89,3,0)*0.475*44/12</f>
        <v>4.3851891053701388</v>
      </c>
      <c r="BR67" s="21">
        <f>EXP(-LN(2)/2)*BR66+(1-EXP(-LN(2)/2))/(LN(2)/2)*BL67*BO67*VLOOKUP('Données projet'!$B$11,Paramètres!$A$1:$I$89,3,0)*0.475*44/12</f>
        <v>1.3457697608661135E-4</v>
      </c>
      <c r="BS67" s="22">
        <f t="shared" si="9"/>
        <v>5.3807220188493803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7</v>
      </c>
      <c r="BY67" s="12">
        <f>IF('Données projet'!$A$114&gt;35,BY66+BX67-CG66,IF(A67&lt;'Données projet'!$A$114,$BV$205^A67,IF(A67='Données projet'!$A$114,'Données projet'!$B$114,BY66+BX67-CG66)))</f>
        <v>221.00000000000017</v>
      </c>
      <c r="BZ67" s="13">
        <f>BY67*VLOOKUP('Données projet'!$B$12,Paramètres!$A$1:$I$89,3,0)*VLOOKUP('Données projet'!$B$12,Paramètres!$A$1:$I$89,5,0)</f>
        <v>199.96080000000015</v>
      </c>
      <c r="CA67" s="13">
        <f t="shared" si="39"/>
        <v>49.735552653569265</v>
      </c>
      <c r="CB67" s="20">
        <f t="shared" si="10"/>
        <v>434.88781420496679</v>
      </c>
      <c r="CC67" s="59">
        <f t="shared" si="11"/>
        <v>728.2211475383001</v>
      </c>
      <c r="CD67" s="59">
        <f ca="1">AVERAGE(OFFSET($CC$3,0,0,'Données projet'!$E$12+1,1))-AVERAGE(OFFSET($H$3,0,0,'Données projet'!$E$12+1,1))</f>
        <v>237.22177246688199</v>
      </c>
      <c r="CE67" s="59">
        <f t="shared" si="40"/>
        <v>149.27472147904302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1.2100185053098009</v>
      </c>
      <c r="CM67" s="21">
        <f>EXP(-LN(2)/2)*CM66+(1-EXP(-LN(2)/2))/(LN(2)/2)*CG67*CJ67*VLOOKUP('Données projet'!$B$12,Paramètres!$A$1:$I$89,3,0)*0.475*44/12</f>
        <v>4.7220976672580164E-5</v>
      </c>
      <c r="CN67" s="22">
        <f t="shared" si="12"/>
        <v>1.2100657262864736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13.4</v>
      </c>
      <c r="CT67" s="12">
        <f>IF('Données projet'!$A$140&gt;35,CT66+CS67-DB66,IF(A67&lt;'Données projet'!$A$140,$CQ$205^A67,IF(A67='Données projet'!$A$140,'Données projet'!$B$140,CT66+CS67-DB66)))</f>
        <v>533.5999999999998</v>
      </c>
      <c r="CU67" s="17">
        <f>CT67*VLOOKUP('Données projet'!$B$13,Paramètres!$A$1:$I$89,3,0)*VLOOKUP('Données projet'!$B$13,Paramètres!$A$1:$I$89,5,0)</f>
        <v>298.28239999999988</v>
      </c>
      <c r="CV67" s="13">
        <f t="shared" si="41"/>
        <v>70.816268303381889</v>
      </c>
      <c r="CW67" s="20">
        <f t="shared" si="13"/>
        <v>642.84684729505659</v>
      </c>
      <c r="CX67" s="59">
        <f t="shared" si="14"/>
        <v>936.18018062838996</v>
      </c>
      <c r="CY67" s="59">
        <f ca="1">AVERAGE(OFFSET($CX$3,0,0,'Données projet'!$E$13+1,1))-AVERAGE(OFFSET($H$3,0,0,'Données projet'!$E$13+1,1))</f>
        <v>326.31232746914907</v>
      </c>
      <c r="CZ67" s="59">
        <f t="shared" si="42"/>
        <v>330.17137761430297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2.3296556811775981</v>
      </c>
      <c r="DG67" s="21">
        <f>EXP(-LN(2)/25)*DG66+(1-EXP(-LN(2)/25))/(LN(2)/25)*Calculateur!DB67*Calculateur!DD67*VLOOKUP('Données projet'!$B$13,Paramètres!$A$1:$I$89,3,0)*0.475*44/12</f>
        <v>11.754846277385818</v>
      </c>
      <c r="DH67" s="21">
        <f>EXP(-LN(2)/2)*DH66+(1-EXP(-LN(2)/2))/(LN(2)/2)*DB67*DE67*VLOOKUP('Données projet'!$B$13,Paramètres!$A$1:$I$89,3,0)*0.475*44/12</f>
        <v>2.4812384315822786E-4</v>
      </c>
      <c r="DI67" s="22">
        <f t="shared" si="15"/>
        <v>14.084750082406575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6.8</v>
      </c>
      <c r="DO67" s="12">
        <f>IF('Données projet'!$A$166&gt;35,DO66+DN67-DW66,IF(A67&lt;'Données projet'!$A$166,$DL$205^A67,IF(A67='Données projet'!$A$166,'Données projet'!$B$166,DO66+DN67-DW66)))</f>
        <v>331.20000000000033</v>
      </c>
      <c r="DP67" s="17">
        <f>DO67*VLOOKUP('Données projet'!$B$14,Paramètres!$A$1:$I$89,3,0)*VLOOKUP('Données projet'!$B$14,Paramètres!$A$1:$I$89,5,0)</f>
        <v>206.6688000000002</v>
      </c>
      <c r="DQ67" s="13">
        <f t="shared" si="43"/>
        <v>51.206958627992798</v>
      </c>
      <c r="DR67" s="20">
        <f t="shared" si="16"/>
        <v>449.13361294375437</v>
      </c>
      <c r="DS67" s="59">
        <f t="shared" si="17"/>
        <v>742.46694627708769</v>
      </c>
      <c r="DT67" s="59">
        <f ca="1">AVERAGE(OFFSET($DS$3,0,0,'Données projet'!$E$14+1,1))-AVERAGE(OFFSET($H$3,0,0,'Données projet'!$E$14+1,1))</f>
        <v>209.93608079129638</v>
      </c>
      <c r="DU67" s="59">
        <f t="shared" si="44"/>
        <v>240.15652428700969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3.5461989227227666</v>
      </c>
      <c r="EB67" s="21">
        <f>EXP(-LN(2)/25)*EB66+(1-EXP(-LN(2)/25))/(LN(2)/25)*Calculateur!DW67*Calculateur!DY67*VLOOKUP('Données projet'!$B$14,Paramètres!$A$1:$I$89,3,0)*0.475*44/12</f>
        <v>8.0986009777872727</v>
      </c>
      <c r="EC67" s="21">
        <f>EXP(-LN(2)/2)*EC66+(1-EXP(-LN(2)/2))/(LN(2)/2)*DW67*DZ67*VLOOKUP('Données projet'!$B$14,Paramètres!$A$1:$I$89,3,0)*0.475*44/12</f>
        <v>1.5404369738552173E-4</v>
      </c>
      <c r="ED67" s="22">
        <f t="shared" si="18"/>
        <v>11.644953944207424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9.1999999999999993</v>
      </c>
      <c r="EJ67" s="12">
        <f>IF('Données projet'!$A$192&gt;35,EJ66+EI67-ER66,IF(A67&lt;'Données projet'!$A$192,$EG$205^A67,IF(A67='Données projet'!$A$192,'Données projet'!$B$192,EJ66+EI67-ER66)))</f>
        <v>366.79999999999973</v>
      </c>
      <c r="EK67" s="17">
        <f>EJ67*VLOOKUP('Données projet'!$B$15,Paramètres!$A$1:$I$89,3,0)*VLOOKUP('Données projet'!$B$15,Paramètres!$A$1:$I$89,5,0)</f>
        <v>219.34639999999987</v>
      </c>
      <c r="EL67" s="13">
        <f t="shared" si="45"/>
        <v>53.972804400117923</v>
      </c>
      <c r="EM67" s="20">
        <f t="shared" si="19"/>
        <v>476.03094766353843</v>
      </c>
      <c r="EN67" s="59">
        <f t="shared" si="20"/>
        <v>769.36428099687168</v>
      </c>
      <c r="EO67" s="59">
        <f ca="1">AVERAGE(OFFSET($EN$3,0,0,'Données projet'!$E$15+1,1))-AVERAGE(OFFSET($H$3,0,0,'Données projet'!$E$15+1,1))</f>
        <v>216.94426559495264</v>
      </c>
      <c r="EP67" s="59">
        <f t="shared" si="46"/>
        <v>225.33715877618704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0</v>
      </c>
      <c r="EW67" s="21">
        <f>EXP(-LN(2)/25)*EW66+(1-EXP(-LN(2)/25))/(LN(2)/25)*Calculateur!ER67*Calculateur!ET67*VLOOKUP('Données projet'!$B$15,Paramètres!$A$1:$I$89,3,0)*0.475*44/12</f>
        <v>5.0058455171621912</v>
      </c>
      <c r="EX67" s="21">
        <f>EXP(-LN(2)/2)*EX66+(1-EXP(-LN(2)/2))/(LN(2)/2)*ER67*EU67*VLOOKUP('Données projet'!$B$15,Paramètres!$A$1:$I$89,3,0)*0.475*44/12</f>
        <v>1.8104064845137765E-4</v>
      </c>
      <c r="EY67" s="22">
        <f t="shared" si="21"/>
        <v>5.0060265578106424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>
        <f>FE67*VLOOKUP('Données projet'!$B$16,Paramètres!$A$1:$I$89,3,0)*VLOOKUP('Données projet'!$B$16,Paramètres!$A$1:$I$89,5,0)</f>
        <v>0</v>
      </c>
      <c r="FG67" s="13" t="e">
        <f t="shared" si="47"/>
        <v>#NUM!</v>
      </c>
      <c r="FH67" s="20" t="e">
        <f t="shared" si="22"/>
        <v>#NUM!</v>
      </c>
      <c r="FI67" s="59" t="e">
        <f t="shared" si="23"/>
        <v>#NUM!</v>
      </c>
      <c r="FJ67" s="59">
        <f ca="1">AVERAGE(OFFSET($FI$3,0,0,'Données projet'!$E$16+1,1))-AVERAGE(OFFSET($H$3,0,0,'Données projet'!$E$16+1,1))</f>
        <v>168.08890945052406</v>
      </c>
      <c r="FK67" s="59">
        <f t="shared" si="48"/>
        <v>182.52462557642343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3.1682597447836458</v>
      </c>
      <c r="FR67" s="21">
        <f>EXP(-LN(2)/25)*FR66+(1-EXP(-LN(2)/25))/(LN(2)/25)*Calculateur!FM67*Calculateur!FO67*VLOOKUP('Données projet'!$B$16,Paramètres!$A$1:$I$89,3,0)*0.475*44/12</f>
        <v>4.8038933433441304</v>
      </c>
      <c r="FS67" s="21">
        <f>EXP(-LN(2)/2)*FS66+(1-EXP(-LN(2)/2))/(LN(2)/2)*FM67*FP67*VLOOKUP('Données projet'!$B$16,Paramètres!$A$1:$I$89,3,0)*0.475*44/12</f>
        <v>4.1547335617631262E-5</v>
      </c>
      <c r="FT67" s="22">
        <f t="shared" si="24"/>
        <v>7.972194635463393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11.375</v>
      </c>
      <c r="FZ67" s="12">
        <f>IF('Données projet'!$A$244&gt;35,FZ66+FY67-GH66,IF(A67&lt;'Données projet'!$A$244,$FW$205^A67,IF(A67='Données projet'!$A$244,'Données projet'!$B$244,FZ66+FY67-GH66)))</f>
        <v>392.24999999999994</v>
      </c>
      <c r="GA67" s="17">
        <f>FZ67*VLOOKUP('Données projet'!$B$17,Paramètres!$A$1:$I$89,3,0)*VLOOKUP('Données projet'!$B$17,Paramètres!$A$1:$I$89,5,0)</f>
        <v>224.36699999999996</v>
      </c>
      <c r="GB67" s="13">
        <f t="shared" si="49"/>
        <v>55.062943090135803</v>
      </c>
      <c r="GC67" s="20">
        <f t="shared" si="25"/>
        <v>486.67381754865318</v>
      </c>
      <c r="GD67" s="59">
        <f t="shared" si="26"/>
        <v>780.00715088198649</v>
      </c>
      <c r="GE67" s="59">
        <f ca="1">AVERAGE(OFFSET($GD$3,0,0,'Données projet'!$E$17+1,1))-AVERAGE(OFFSET($H$3,0,0,'Données projet'!$E$17+1,1))</f>
        <v>196.95560009657527</v>
      </c>
      <c r="GF67" s="59">
        <f t="shared" si="50"/>
        <v>168.90186968005662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0</v>
      </c>
      <c r="GM67" s="21">
        <f>EXP(-LN(2)/25)*GM66+(1-EXP(-LN(2)/25))/(LN(2)/25)*Calculateur!GH67*Calculateur!GJ67*VLOOKUP('Données projet'!$B$17,Paramètres!$A$1:$I$89,3,0)*0.475*44/12</f>
        <v>3.5962103457881214</v>
      </c>
      <c r="GN67" s="21">
        <f>EXP(-LN(2)/2)*GN66+(1-EXP(-LN(2)/2))/(LN(2)/2)*GH67*GK67*VLOOKUP('Données projet'!$B$17,Paramètres!$A$1:$I$89,3,0)*0.475*44/12</f>
        <v>9.8110796754644568E-5</v>
      </c>
      <c r="GO67" s="21">
        <f t="shared" si="27"/>
        <v>3.5963084565848762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15.5</v>
      </c>
      <c r="N68" s="13">
        <f>IF('Données projet'!$A$36&gt;35,N67+M68-V67,IF(A68&lt;'Données projet'!$A$36,$K$205^A68,IF(A68='Données projet'!$A$36,'Données projet'!$B$36,N67+M68-V67)))</f>
        <v>368.89999999999986</v>
      </c>
      <c r="O68" s="13">
        <f>N68*VLOOKUP('Données projet'!$B$9,Paramètres!$A$1:$I$89,3,0)*VLOOKUP('Données projet'!$B$9,Paramètres!$A$1:$I$89,5,0)</f>
        <v>172.64519999999993</v>
      </c>
      <c r="P68" s="13">
        <f t="shared" si="33"/>
        <v>43.681926966241704</v>
      </c>
      <c r="Q68" s="20">
        <f t="shared" si="54"/>
        <v>376.76974613287081</v>
      </c>
      <c r="R68" s="59">
        <f t="shared" si="55"/>
        <v>670.10307946620412</v>
      </c>
      <c r="S68" s="59">
        <f ca="1">AVERAGE(OFFSET($R$3,0,0,'Données projet'!$E$9+1,1))-AVERAGE(OFFSET($H$3,0,0,'Données projet'!$E$9+1,1))</f>
        <v>215.23235148064941</v>
      </c>
      <c r="T68" s="59">
        <f t="shared" si="34"/>
        <v>184.07239726900434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1.5672908009103297</v>
      </c>
      <c r="AA68" s="21">
        <f>EXP(-LN(2)/25)*AA67+(1-EXP(-LN(2)/25))/(LN(2)/25)*Calculateur!V68*Calculateur!X68*VLOOKUP('Données projet'!$B$9,Paramètres!$A$1:$I$89,3,0)*0.475*44/12</f>
        <v>2.9766643647448592</v>
      </c>
      <c r="AB68" s="21">
        <f>EXP(-LN(2)/2)*AB67+(1-EXP(-LN(2)/2))/(LN(2)/2)*V68*Y68*VLOOKUP('Données projet'!$B$9,Paramètres!$A$1:$I$89,3,0)*0.475*44/12</f>
        <v>5.3042592338868538E-5</v>
      </c>
      <c r="AC68" s="22">
        <f t="shared" ref="AC68:AC131" si="57">SUM(Z68:AB68)</f>
        <v>4.5440082082475275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4.0999999999999996</v>
      </c>
      <c r="AI68" s="13">
        <f>IF('Données projet'!$A$62&gt;35,AI67+AH68-AQ67,IF(A68&lt;'Données projet'!$A$62,$AF$205^A68,IF(A68='Données projet'!$A$62,'Données projet'!$B$62,AI67+AH68-AQ67)))</f>
        <v>253.49999999999972</v>
      </c>
      <c r="AJ68" s="13">
        <f>AI68*VLOOKUP('Données projet'!$B$10,Paramètres!$A$1:$I$89,3,0)*VLOOKUP('Données projet'!$B$10,Paramètres!$A$1:$I$89,5,0)</f>
        <v>185.86619999999976</v>
      </c>
      <c r="AK68" s="13">
        <f t="shared" si="35"/>
        <v>46.624861629559298</v>
      </c>
      <c r="AL68" s="20">
        <f t="shared" ref="AL68:AL131" si="58">(AJ68+AK68)*0.475*44/12</f>
        <v>404.92193233814868</v>
      </c>
      <c r="AM68" s="59">
        <f t="shared" ref="AM68:AM131" si="59">AL68+(AD68+AE68)*44/12</f>
        <v>698.25526567148199</v>
      </c>
      <c r="AN68" s="59">
        <f ca="1">AVERAGE(OFFSET($AM$3,0,0,'Données projet'!$E$10+1,1))-AVERAGE(OFFSET($H$3,0,0,'Données projet'!$E$10+1,1))</f>
        <v>178.12968684094687</v>
      </c>
      <c r="AO68" s="59">
        <f t="shared" si="36"/>
        <v>219.36004077210373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2.9133798750453579</v>
      </c>
      <c r="AW68" s="21">
        <f>EXP(-LN(2)/2)*AW67+(1-EXP(-LN(2)/2))/(LN(2)/2)*AQ68*AT68*VLOOKUP('Données projet'!$B$10,Paramètres!$A$1:$I$89,3,0)*0.475*44/12</f>
        <v>5.350297412514897E-5</v>
      </c>
      <c r="AX68" s="21">
        <f t="shared" ref="AX68:AX131" si="60">SUM(AU68:AW68)</f>
        <v>2.9134333780194832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3.1</v>
      </c>
      <c r="BD68" s="12">
        <f>IF('Données projet'!$A$88&gt;35,BD67+BC68-BL67,IF(A68&lt;'Données projet'!$A$88,$BA$205^A68,IF(A68='Données projet'!$A$88,'Données projet'!$B$88,BD67+BC68-BL67)))</f>
        <v>142.49999999999986</v>
      </c>
      <c r="BE68" s="13">
        <f>BD68*VLOOKUP('Données projet'!$B$11,Paramètres!$A$1:$I$89,3,0)*VLOOKUP('Données projet'!$B$11,Paramètres!$A$1:$I$89,5,0)</f>
        <v>124.48799999999989</v>
      </c>
      <c r="BF68" s="13">
        <f t="shared" si="37"/>
        <v>32.719504245667238</v>
      </c>
      <c r="BG68" s="20">
        <f t="shared" ref="BG68:BG131" si="61">(BE68+BF68)*0.475*44/12</f>
        <v>273.80306989453686</v>
      </c>
      <c r="BH68" s="59">
        <f t="shared" ref="BH68:BH131" si="62">BG68+(AY68+AZ68)*44/12</f>
        <v>567.13640322787023</v>
      </c>
      <c r="BI68" s="59">
        <f ca="1">AVERAGE(OFFSET($BH$3,0,0,'Données projet'!$E$11+1,1))-AVERAGE(OFFSET($H$3,0,0,'Données projet'!$E$11+1,1))</f>
        <v>114.02623091248347</v>
      </c>
      <c r="BJ68" s="59">
        <f t="shared" si="38"/>
        <v>185.51554083721635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0.97587918225736359</v>
      </c>
      <c r="BQ68" s="21">
        <f>EXP(-LN(2)/25)*BQ67+(1-EXP(-LN(2)/25))/(LN(2)/25)*Calculateur!BL68*Calculateur!BN68*VLOOKUP('Données projet'!$B$11,Paramètres!$A$1:$I$89,3,0)*0.475*44/12</f>
        <v>4.2652758786767198</v>
      </c>
      <c r="BR68" s="21">
        <f>EXP(-LN(2)/2)*BR67+(1-EXP(-LN(2)/2))/(LN(2)/2)*BL68*BO68*VLOOKUP('Données projet'!$B$11,Paramètres!$A$1:$I$89,3,0)*0.475*44/12</f>
        <v>9.5160292382422734E-5</v>
      </c>
      <c r="BS68" s="22">
        <f t="shared" ref="BS68:BS131" si="63">SUM(BP68:BR68)</f>
        <v>5.2412502212264656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7</v>
      </c>
      <c r="BY68" s="12">
        <f>IF('Données projet'!$A$114&gt;35,BY67+BX68-CG67,IF(A68&lt;'Données projet'!$A$114,$BV$205^A68,IF(A68='Données projet'!$A$114,'Données projet'!$B$114,BY67+BX68-CG67)))</f>
        <v>228.00000000000017</v>
      </c>
      <c r="BZ68" s="13">
        <f>BY68*VLOOKUP('Données projet'!$B$12,Paramètres!$A$1:$I$89,3,0)*VLOOKUP('Données projet'!$B$12,Paramètres!$A$1:$I$89,5,0)</f>
        <v>206.29440000000017</v>
      </c>
      <c r="CA68" s="13">
        <f t="shared" si="39"/>
        <v>51.124981739560774</v>
      </c>
      <c r="CB68" s="20">
        <f t="shared" ref="CB68:CB131" si="64">(BZ68+CA68)*0.475*44/12</f>
        <v>448.33875652973529</v>
      </c>
      <c r="CC68" s="59">
        <f t="shared" ref="CC68:CC131" si="65">CB68+(BT68+BU68)*44/12</f>
        <v>741.67208986306855</v>
      </c>
      <c r="CD68" s="59">
        <f ca="1">AVERAGE(OFFSET($CC$3,0,0,'Données projet'!$E$12+1,1))-AVERAGE(OFFSET($H$3,0,0,'Données projet'!$E$12+1,1))</f>
        <v>237.22177246688199</v>
      </c>
      <c r="CE68" s="59">
        <f t="shared" si="40"/>
        <v>149.27472147904302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1.1769304856499967</v>
      </c>
      <c r="CM68" s="21">
        <f>EXP(-LN(2)/2)*CM67+(1-EXP(-LN(2)/2))/(LN(2)/2)*CG68*CJ68*VLOOKUP('Données projet'!$B$12,Paramètres!$A$1:$I$89,3,0)*0.475*44/12</f>
        <v>3.3390272819433207E-5</v>
      </c>
      <c r="CN68" s="22">
        <f t="shared" ref="CN68:CN131" si="66">SUM(CK68:CM68)</f>
        <v>1.176963875922816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13.4</v>
      </c>
      <c r="CT68" s="12">
        <f>IF('Données projet'!$A$140&gt;35,CT67+CS68-DB67,IF(A68&lt;'Données projet'!$A$140,$CQ$205^A68,IF(A68='Données projet'!$A$140,'Données projet'!$B$140,CT67+CS68-DB67)))</f>
        <v>546.99999999999977</v>
      </c>
      <c r="CU68" s="17">
        <f>CT68*VLOOKUP('Données projet'!$B$13,Paramètres!$A$1:$I$89,3,0)*VLOOKUP('Données projet'!$B$13,Paramètres!$A$1:$I$89,5,0)</f>
        <v>305.77299999999985</v>
      </c>
      <c r="CV68" s="13">
        <f t="shared" si="41"/>
        <v>72.385360202068057</v>
      </c>
      <c r="CW68" s="20">
        <f t="shared" ref="CW68:CW131" si="67">(CU68+CV68)*0.475*44/12</f>
        <v>658.62581068526822</v>
      </c>
      <c r="CX68" s="59">
        <f t="shared" ref="CX68:CX131" si="68">CW68+(CO68+CP68)*44/12</f>
        <v>951.95914401860159</v>
      </c>
      <c r="CY68" s="59">
        <f ca="1">AVERAGE(OFFSET($CX$3,0,0,'Données projet'!$E$13+1,1))-AVERAGE(OFFSET($H$3,0,0,'Données projet'!$E$13+1,1))</f>
        <v>326.31232746914907</v>
      </c>
      <c r="CZ68" s="59">
        <f t="shared" si="42"/>
        <v>330.17137761430297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2.2839725542193636</v>
      </c>
      <c r="DG68" s="21">
        <f>EXP(-LN(2)/25)*DG67+(1-EXP(-LN(2)/25))/(LN(2)/25)*Calculateur!DB68*Calculateur!DD68*VLOOKUP('Données projet'!$B$13,Paramètres!$A$1:$I$89,3,0)*0.475*44/12</f>
        <v>11.433409387770203</v>
      </c>
      <c r="DH68" s="21">
        <f>EXP(-LN(2)/2)*DH67+(1-EXP(-LN(2)/2))/(LN(2)/2)*DB68*DE68*VLOOKUP('Données projet'!$B$13,Paramètres!$A$1:$I$89,3,0)*0.475*44/12</f>
        <v>1.7545005207125026E-4</v>
      </c>
      <c r="DI68" s="22">
        <f t="shared" ref="DI68:DI131" si="69">SUM(DF68:DH68)</f>
        <v>13.717557392041638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6.8</v>
      </c>
      <c r="DO68" s="12">
        <f>IF('Données projet'!$A$166&gt;35,DO67+DN68-DW67,IF(A68&lt;'Données projet'!$A$166,$DL$205^A68,IF(A68='Données projet'!$A$166,'Données projet'!$B$166,DO67+DN68-DW67)))</f>
        <v>338.00000000000034</v>
      </c>
      <c r="DP68" s="17">
        <f>DO68*VLOOKUP('Données projet'!$B$14,Paramètres!$A$1:$I$89,3,0)*VLOOKUP('Données projet'!$B$14,Paramètres!$A$1:$I$89,5,0)</f>
        <v>210.91200000000021</v>
      </c>
      <c r="DQ68" s="13">
        <f t="shared" si="43"/>
        <v>52.134830352456831</v>
      </c>
      <c r="DR68" s="20">
        <f t="shared" ref="DR68:DR131" si="70">(DP68+DQ68)*0.475*44/12</f>
        <v>458.13989619719604</v>
      </c>
      <c r="DS68" s="59">
        <f t="shared" ref="DS68:DS131" si="71">DR68+(DJ68+DK68)*44/12</f>
        <v>751.47322953052935</v>
      </c>
      <c r="DT68" s="59">
        <f ca="1">AVERAGE(OFFSET($DS$3,0,0,'Données projet'!$E$14+1,1))-AVERAGE(OFFSET($H$3,0,0,'Données projet'!$E$14+1,1))</f>
        <v>209.93608079129638</v>
      </c>
      <c r="DU68" s="59">
        <f t="shared" si="44"/>
        <v>240.15652428700969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3.4766601248159406</v>
      </c>
      <c r="EB68" s="21">
        <f>EXP(-LN(2)/25)*EB67+(1-EXP(-LN(2)/25))/(LN(2)/25)*Calculateur!DW68*Calculateur!DY68*VLOOKUP('Données projet'!$B$14,Paramètres!$A$1:$I$89,3,0)*0.475*44/12</f>
        <v>7.8771443081627641</v>
      </c>
      <c r="EC68" s="21">
        <f>EXP(-LN(2)/2)*EC67+(1-EXP(-LN(2)/2))/(LN(2)/2)*DW68*DZ68*VLOOKUP('Données projet'!$B$14,Paramètres!$A$1:$I$89,3,0)*0.475*44/12</f>
        <v>1.0892534302035086E-4</v>
      </c>
      <c r="ED68" s="22">
        <f t="shared" ref="ED68:ED131" si="72">SUM(EA68:EC68)</f>
        <v>11.353913358321726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9.1999999999999993</v>
      </c>
      <c r="EJ68" s="12">
        <f>IF('Données projet'!$A$192&gt;35,EJ67+EI68-ER67,IF(A68&lt;'Données projet'!$A$192,$EG$205^A68,IF(A68='Données projet'!$A$192,'Données projet'!$B$192,EJ67+EI68-ER67)))</f>
        <v>375.99999999999972</v>
      </c>
      <c r="EK68" s="17">
        <f>EJ68*VLOOKUP('Données projet'!$B$15,Paramètres!$A$1:$I$89,3,0)*VLOOKUP('Données projet'!$B$15,Paramètres!$A$1:$I$89,5,0)</f>
        <v>224.84799999999984</v>
      </c>
      <c r="EL68" s="13">
        <f t="shared" si="45"/>
        <v>55.167234148809698</v>
      </c>
      <c r="EM68" s="20">
        <f t="shared" ref="EM68:EM131" si="73">(EK68+EL68)*0.475*44/12</f>
        <v>487.69319947584319</v>
      </c>
      <c r="EN68" s="59">
        <f t="shared" ref="EN68:EN131" si="74">EM68+(EE68+EF68)*44/12</f>
        <v>781.0265328091765</v>
      </c>
      <c r="EO68" s="59">
        <f ca="1">AVERAGE(OFFSET($EN$3,0,0,'Données projet'!$E$15+1,1))-AVERAGE(OFFSET($H$3,0,0,'Données projet'!$E$15+1,1))</f>
        <v>216.94426559495264</v>
      </c>
      <c r="EP68" s="59">
        <f t="shared" si="46"/>
        <v>225.33715877618704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0</v>
      </c>
      <c r="EW68" s="21">
        <f>EXP(-LN(2)/25)*EW67+(1-EXP(-LN(2)/25))/(LN(2)/25)*Calculateur!ER68*Calculateur!ET68*VLOOKUP('Données projet'!$B$15,Paramètres!$A$1:$I$89,3,0)*0.475*44/12</f>
        <v>4.868960408249416</v>
      </c>
      <c r="EX68" s="21">
        <f>EXP(-LN(2)/2)*EX67+(1-EXP(-LN(2)/2))/(LN(2)/2)*ER68*EU68*VLOOKUP('Données projet'!$B$15,Paramètres!$A$1:$I$89,3,0)*0.475*44/12</f>
        <v>1.2801507019037897E-4</v>
      </c>
      <c r="EY68" s="22">
        <f t="shared" ref="EY68:EY131" si="75">SUM(EV68:EX68)</f>
        <v>4.8690884233196066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>
        <f>FE68*VLOOKUP('Données projet'!$B$16,Paramètres!$A$1:$I$89,3,0)*VLOOKUP('Données projet'!$B$16,Paramètres!$A$1:$I$89,5,0)</f>
        <v>0</v>
      </c>
      <c r="FG68" s="13" t="e">
        <f t="shared" si="47"/>
        <v>#NUM!</v>
      </c>
      <c r="FH68" s="20" t="e">
        <f t="shared" ref="FH68:FH131" si="76">(FF68+FG68)*0.475*44/12</f>
        <v>#NUM!</v>
      </c>
      <c r="FI68" s="59" t="e">
        <f t="shared" ref="FI68:FI131" si="77">FH68+(EZ68+FA68)*44/12</f>
        <v>#NUM!</v>
      </c>
      <c r="FJ68" s="59">
        <f ca="1">AVERAGE(OFFSET($FI$3,0,0,'Données projet'!$E$16+1,1))-AVERAGE(OFFSET($H$3,0,0,'Données projet'!$E$16+1,1))</f>
        <v>168.08890945052406</v>
      </c>
      <c r="FK68" s="59">
        <f t="shared" si="48"/>
        <v>182.52462557642343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3.1061321036360696</v>
      </c>
      <c r="FR68" s="21">
        <f>EXP(-LN(2)/25)*FR67+(1-EXP(-LN(2)/25))/(LN(2)/25)*Calculateur!FM68*Calculateur!FO68*VLOOKUP('Données projet'!$B$16,Paramètres!$A$1:$I$89,3,0)*0.475*44/12</f>
        <v>4.6725306272446137</v>
      </c>
      <c r="FS68" s="21">
        <f>EXP(-LN(2)/2)*FS67+(1-EXP(-LN(2)/2))/(LN(2)/2)*FM68*FP68*VLOOKUP('Données projet'!$B$16,Paramètres!$A$1:$I$89,3,0)*0.475*44/12</f>
        <v>2.9378402755460444E-5</v>
      </c>
      <c r="FT68" s="22">
        <f t="shared" ref="FT68:FT131" si="78">SUM(FQ68:FS68)</f>
        <v>7.7786921092834387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11.375</v>
      </c>
      <c r="FZ68" s="12">
        <f>IF('Données projet'!$A$244&gt;35,FZ67+FY68-GH67,IF(A68&lt;'Données projet'!$A$244,$FW$205^A68,IF(A68='Données projet'!$A$244,'Données projet'!$B$244,FZ67+FY68-GH67)))</f>
        <v>403.62499999999994</v>
      </c>
      <c r="GA68" s="17">
        <f>FZ68*VLOOKUP('Données projet'!$B$17,Paramètres!$A$1:$I$89,3,0)*VLOOKUP('Données projet'!$B$17,Paramètres!$A$1:$I$89,5,0)</f>
        <v>230.87349999999998</v>
      </c>
      <c r="GB68" s="13">
        <f t="shared" si="49"/>
        <v>56.471510965615813</v>
      </c>
      <c r="GC68" s="20">
        <f t="shared" ref="GC68:GC131" si="79">(GA68+GB68)*0.475*44/12</f>
        <v>500.45922743178085</v>
      </c>
      <c r="GD68" s="59">
        <f t="shared" ref="GD68:GD131" si="80">GC68+(FU68+FV68)*44/12</f>
        <v>793.7925607651141</v>
      </c>
      <c r="GE68" s="59">
        <f ca="1">AVERAGE(OFFSET($GD$3,0,0,'Données projet'!$E$17+1,1))-AVERAGE(OFFSET($H$3,0,0,'Données projet'!$E$17+1,1))</f>
        <v>196.95560009657527</v>
      </c>
      <c r="GF68" s="59">
        <f t="shared" si="50"/>
        <v>168.90186968005662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0</v>
      </c>
      <c r="GM68" s="21">
        <f>EXP(-LN(2)/25)*GM67+(1-EXP(-LN(2)/25))/(LN(2)/25)*Calculateur!GH68*Calculateur!GJ68*VLOOKUP('Données projet'!$B$17,Paramètres!$A$1:$I$89,3,0)*0.475*44/12</f>
        <v>3.4978717847660623</v>
      </c>
      <c r="GN68" s="21">
        <f>EXP(-LN(2)/2)*GN67+(1-EXP(-LN(2)/2))/(LN(2)/2)*GH68*GK68*VLOOKUP('Données projet'!$B$17,Paramètres!$A$1:$I$89,3,0)*0.475*44/12</f>
        <v>6.9374809692824294E-5</v>
      </c>
      <c r="GO68" s="21">
        <f t="shared" ref="GO68:GO131" si="81">SUM(GL68:GN68)</f>
        <v>3.4979411595757552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15.5</v>
      </c>
      <c r="N69" s="13">
        <f>IF('Données projet'!$A$36&gt;35,N68+M69-V68,IF(A69&lt;'Données projet'!$A$36,$K$205^A69,IF(A69='Données projet'!$A$36,'Données projet'!$B$36,N68+M69-V68)))</f>
        <v>384.39999999999986</v>
      </c>
      <c r="O69" s="13">
        <f>N69*VLOOKUP('Données projet'!$B$9,Paramètres!$A$1:$I$89,3,0)*VLOOKUP('Données projet'!$B$9,Paramètres!$A$1:$I$89,5,0)</f>
        <v>179.89919999999995</v>
      </c>
      <c r="P69" s="13">
        <f t="shared" ref="P69:P132" si="87">EXP(-1.0587+0.8836*LN(O69)+0.284)</f>
        <v>45.299759292628586</v>
      </c>
      <c r="Q69" s="20">
        <f t="shared" si="54"/>
        <v>392.22152076799466</v>
      </c>
      <c r="R69" s="59">
        <f t="shared" si="55"/>
        <v>685.55485410132792</v>
      </c>
      <c r="S69" s="59">
        <f ca="1">AVERAGE(OFFSET($R$3,0,0,'Données projet'!$E$9+1,1))-AVERAGE(OFFSET($H$3,0,0,'Données projet'!$E$9+1,1))</f>
        <v>215.23235148064941</v>
      </c>
      <c r="T69" s="59">
        <f t="shared" ref="T69:T132" si="88">$T$3</f>
        <v>184.07239726900434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1.5365571842574741</v>
      </c>
      <c r="AA69" s="21">
        <f>EXP(-LN(2)/25)*AA68+(1-EXP(-LN(2)/25))/(LN(2)/25)*Calculateur!V69*Calculateur!X69*VLOOKUP('Données projet'!$B$9,Paramètres!$A$1:$I$89,3,0)*0.475*44/12</f>
        <v>2.8952673211549351</v>
      </c>
      <c r="AB69" s="21">
        <f>EXP(-LN(2)/2)*AB68+(1-EXP(-LN(2)/2))/(LN(2)/2)*V69*Y69*VLOOKUP('Données projet'!$B$9,Paramètres!$A$1:$I$89,3,0)*0.475*44/12</f>
        <v>3.7506776734527557E-5</v>
      </c>
      <c r="AC69" s="22">
        <f t="shared" si="57"/>
        <v>4.4318620121891437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4.0999999999999996</v>
      </c>
      <c r="AI69" s="13">
        <f>IF('Données projet'!$A$62&gt;35,AI68+AH69-AQ68,IF(A69&lt;'Données projet'!$A$62,$AF$205^A69,IF(A69='Données projet'!$A$62,'Données projet'!$B$62,AI68+AH69-AQ68)))</f>
        <v>257.59999999999974</v>
      </c>
      <c r="AJ69" s="13">
        <f>AI69*VLOOKUP('Données projet'!$B$10,Paramètres!$A$1:$I$89,3,0)*VLOOKUP('Données projet'!$B$10,Paramètres!$A$1:$I$89,5,0)</f>
        <v>188.8723199999998</v>
      </c>
      <c r="AK69" s="13">
        <f t="shared" ref="AK69:AK132" si="89">EXP(-1.0587+0.8836*LN(AJ69)+0.284)</f>
        <v>47.290552503862848</v>
      </c>
      <c r="AL69" s="20">
        <f t="shared" si="58"/>
        <v>411.3170029442274</v>
      </c>
      <c r="AM69" s="59">
        <f t="shared" si="59"/>
        <v>704.65033627756065</v>
      </c>
      <c r="AN69" s="59">
        <f ca="1">AVERAGE(OFFSET($AM$3,0,0,'Données projet'!$E$10+1,1))-AVERAGE(OFFSET($H$3,0,0,'Données projet'!$E$10+1,1))</f>
        <v>178.12968684094687</v>
      </c>
      <c r="AO69" s="59">
        <f t="shared" ref="AO69:AO132" si="90">$AO$3</f>
        <v>219.36004077210373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2.8337133491542534</v>
      </c>
      <c r="AW69" s="21">
        <f>EXP(-LN(2)/2)*AW68+(1-EXP(-LN(2)/2))/(LN(2)/2)*AQ69*AT69*VLOOKUP('Données projet'!$B$10,Paramètres!$A$1:$I$89,3,0)*0.475*44/12</f>
        <v>3.7832315817541226E-5</v>
      </c>
      <c r="AX69" s="21">
        <f t="shared" si="60"/>
        <v>2.8337511814700709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3.1</v>
      </c>
      <c r="BD69" s="12">
        <f>IF('Données projet'!$A$88&gt;35,BD68+BC69-BL68,IF(A69&lt;'Données projet'!$A$88,$BA$205^A69,IF(A69='Données projet'!$A$88,'Données projet'!$B$88,BD68+BC69-BL68)))</f>
        <v>145.59999999999985</v>
      </c>
      <c r="BE69" s="13">
        <f>BD69*VLOOKUP('Données projet'!$B$11,Paramètres!$A$1:$I$89,3,0)*VLOOKUP('Données projet'!$B$11,Paramètres!$A$1:$I$89,5,0)</f>
        <v>127.19615999999989</v>
      </c>
      <c r="BF69" s="13">
        <f t="shared" ref="BF69:BF132" si="91">EXP(-1.0587+0.8836*LN(BE69)+0.284)</f>
        <v>33.347654365530325</v>
      </c>
      <c r="BG69" s="20">
        <f t="shared" si="61"/>
        <v>279.61381001996511</v>
      </c>
      <c r="BH69" s="59">
        <f t="shared" si="62"/>
        <v>572.94714335329843</v>
      </c>
      <c r="BI69" s="59">
        <f ca="1">AVERAGE(OFFSET($BH$3,0,0,'Données projet'!$E$11+1,1))-AVERAGE(OFFSET($H$3,0,0,'Données projet'!$E$11+1,1))</f>
        <v>114.02623091248347</v>
      </c>
      <c r="BJ69" s="59">
        <f t="shared" ref="BJ69:BJ132" si="92">$BJ$3</f>
        <v>185.51554083721635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0.95674278672082402</v>
      </c>
      <c r="BQ69" s="21">
        <f>EXP(-LN(2)/25)*BQ68+(1-EXP(-LN(2)/25))/(LN(2)/25)*Calculateur!BL69*Calculateur!BN69*VLOOKUP('Données projet'!$B$11,Paramètres!$A$1:$I$89,3,0)*0.475*44/12</f>
        <v>4.1486416854731951</v>
      </c>
      <c r="BR69" s="21">
        <f>EXP(-LN(2)/2)*BR68+(1-EXP(-LN(2)/2))/(LN(2)/2)*BL69*BO69*VLOOKUP('Données projet'!$B$11,Paramètres!$A$1:$I$89,3,0)*0.475*44/12</f>
        <v>6.7288488043305676E-5</v>
      </c>
      <c r="BS69" s="22">
        <f t="shared" si="63"/>
        <v>5.1054517606820626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7</v>
      </c>
      <c r="BY69" s="12">
        <f>IF('Données projet'!$A$114&gt;35,BY68+BX69-CG68,IF(A69&lt;'Données projet'!$A$114,$BV$205^A69,IF(A69='Données projet'!$A$114,'Données projet'!$B$114,BY68+BX69-CG68)))</f>
        <v>235.00000000000017</v>
      </c>
      <c r="BZ69" s="13">
        <f>BY69*VLOOKUP('Données projet'!$B$12,Paramètres!$A$1:$I$89,3,0)*VLOOKUP('Données projet'!$B$12,Paramètres!$A$1:$I$89,5,0)</f>
        <v>212.62800000000016</v>
      </c>
      <c r="CA69" s="13">
        <f t="shared" ref="CA69:CA132" si="93">EXP(-1.0587+0.8836*LN(BZ69)+0.284)</f>
        <v>52.509453483719085</v>
      </c>
      <c r="CB69" s="20">
        <f t="shared" si="64"/>
        <v>461.78106481747767</v>
      </c>
      <c r="CC69" s="59">
        <f t="shared" si="65"/>
        <v>755.11439815081098</v>
      </c>
      <c r="CD69" s="59">
        <f ca="1">AVERAGE(OFFSET($CC$3,0,0,'Données projet'!$E$12+1,1))-AVERAGE(OFFSET($H$3,0,0,'Données projet'!$E$12+1,1))</f>
        <v>237.22177246688199</v>
      </c>
      <c r="CE69" s="59">
        <f t="shared" ref="CE69:CE132" si="94">$CE$3</f>
        <v>149.27472147904302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1.1447472596278132</v>
      </c>
      <c r="CM69" s="21">
        <f>EXP(-LN(2)/2)*CM68+(1-EXP(-LN(2)/2))/(LN(2)/2)*CG69*CJ69*VLOOKUP('Données projet'!$B$12,Paramètres!$A$1:$I$89,3,0)*0.475*44/12</f>
        <v>2.3610488336290082E-5</v>
      </c>
      <c r="CN69" s="22">
        <f t="shared" si="66"/>
        <v>1.1447708701161494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13.4</v>
      </c>
      <c r="CT69" s="12">
        <f>IF('Données projet'!$A$140&gt;35,CT68+CS69-DB68,IF(A69&lt;'Données projet'!$A$140,$CQ$205^A69,IF(A69='Données projet'!$A$140,'Données projet'!$B$140,CT68+CS69-DB68)))</f>
        <v>560.39999999999975</v>
      </c>
      <c r="CU69" s="17">
        <f>CT69*VLOOKUP('Données projet'!$B$13,Paramètres!$A$1:$I$89,3,0)*VLOOKUP('Données projet'!$B$13,Paramètres!$A$1:$I$89,5,0)</f>
        <v>313.26359999999988</v>
      </c>
      <c r="CV69" s="13">
        <f t="shared" ref="CV69:CV132" si="95">EXP(-1.0587+0.8836*LN(CU69)+0.284)</f>
        <v>73.949983766039026</v>
      </c>
      <c r="CW69" s="20">
        <f t="shared" si="67"/>
        <v>674.39699172585108</v>
      </c>
      <c r="CX69" s="59">
        <f t="shared" si="68"/>
        <v>967.73032505918445</v>
      </c>
      <c r="CY69" s="59">
        <f ca="1">AVERAGE(OFFSET($CX$3,0,0,'Données projet'!$E$13+1,1))-AVERAGE(OFFSET($H$3,0,0,'Données projet'!$E$13+1,1))</f>
        <v>326.31232746914907</v>
      </c>
      <c r="CZ69" s="59">
        <f t="shared" ref="CZ69:CZ132" si="96">$CZ$3</f>
        <v>330.17137761430297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2.2391852455168242</v>
      </c>
      <c r="DG69" s="21">
        <f>EXP(-LN(2)/25)*DG68+(1-EXP(-LN(2)/25))/(LN(2)/25)*Calculateur!DB69*Calculateur!DD69*VLOOKUP('Données projet'!$B$13,Paramètres!$A$1:$I$89,3,0)*0.475*44/12</f>
        <v>11.120762206804759</v>
      </c>
      <c r="DH69" s="21">
        <f>EXP(-LN(2)/2)*DH68+(1-EXP(-LN(2)/2))/(LN(2)/2)*DB69*DE69*VLOOKUP('Données projet'!$B$13,Paramètres!$A$1:$I$89,3,0)*0.475*44/12</f>
        <v>1.2406192157911393E-4</v>
      </c>
      <c r="DI69" s="22">
        <f t="shared" si="69"/>
        <v>13.360071514243161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6.8</v>
      </c>
      <c r="DO69" s="12">
        <f>IF('Données projet'!$A$166&gt;35,DO68+DN69-DW68,IF(A69&lt;'Données projet'!$A$166,$DL$205^A69,IF(A69='Données projet'!$A$166,'Données projet'!$B$166,DO68+DN69-DW68)))</f>
        <v>344.80000000000035</v>
      </c>
      <c r="DP69" s="17">
        <f>DO69*VLOOKUP('Données projet'!$B$14,Paramètres!$A$1:$I$89,3,0)*VLOOKUP('Données projet'!$B$14,Paramètres!$A$1:$I$89,5,0)</f>
        <v>215.15520000000021</v>
      </c>
      <c r="DQ69" s="13">
        <f t="shared" ref="DQ69:DQ132" si="97">EXP(-1.0587+0.8836*LN(DP69)+0.284)</f>
        <v>53.060531597402857</v>
      </c>
      <c r="DR69" s="20">
        <f t="shared" si="70"/>
        <v>467.14239919881032</v>
      </c>
      <c r="DS69" s="59">
        <f t="shared" si="71"/>
        <v>760.47573253214364</v>
      </c>
      <c r="DT69" s="59">
        <f ca="1">AVERAGE(OFFSET($DS$3,0,0,'Données projet'!$E$14+1,1))-AVERAGE(OFFSET($H$3,0,0,'Données projet'!$E$14+1,1))</f>
        <v>209.93608079129638</v>
      </c>
      <c r="DU69" s="59">
        <f t="shared" ref="DU69:DU132" si="98">$DU$3</f>
        <v>240.15652428700969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3.4084849403215887</v>
      </c>
      <c r="EB69" s="21">
        <f>EXP(-LN(2)/25)*EB68+(1-EXP(-LN(2)/25))/(LN(2)/25)*Calculateur!DW69*Calculateur!DY69*VLOOKUP('Données projet'!$B$14,Paramètres!$A$1:$I$89,3,0)*0.475*44/12</f>
        <v>7.6617433828150379</v>
      </c>
      <c r="EC69" s="21">
        <f>EXP(-LN(2)/2)*EC68+(1-EXP(-LN(2)/2))/(LN(2)/2)*DW69*DZ69*VLOOKUP('Données projet'!$B$14,Paramètres!$A$1:$I$89,3,0)*0.475*44/12</f>
        <v>7.7021848692760864E-5</v>
      </c>
      <c r="ED69" s="22">
        <f t="shared" si="72"/>
        <v>11.07030534498532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9.1999999999999993</v>
      </c>
      <c r="EJ69" s="12">
        <f>IF('Données projet'!$A$192&gt;35,EJ68+EI69-ER68,IF(A69&lt;'Données projet'!$A$192,$EG$205^A69,IF(A69='Données projet'!$A$192,'Données projet'!$B$192,EJ68+EI69-ER68)))</f>
        <v>385.1999999999997</v>
      </c>
      <c r="EK69" s="17">
        <f>EJ69*VLOOKUP('Données projet'!$B$15,Paramètres!$A$1:$I$89,3,0)*VLOOKUP('Données projet'!$B$15,Paramètres!$A$1:$I$89,5,0)</f>
        <v>230.34959999999984</v>
      </c>
      <c r="EL69" s="13">
        <f t="shared" ref="EL69:EL132" si="99">EXP(-1.0587+0.8836*LN(EK69)+0.284)</f>
        <v>56.358266541426261</v>
      </c>
      <c r="EM69" s="20">
        <f t="shared" si="73"/>
        <v>499.34953422631708</v>
      </c>
      <c r="EN69" s="59">
        <f t="shared" si="74"/>
        <v>792.68286755965039</v>
      </c>
      <c r="EO69" s="59">
        <f ca="1">AVERAGE(OFFSET($EN$3,0,0,'Données projet'!$E$15+1,1))-AVERAGE(OFFSET($H$3,0,0,'Données projet'!$E$15+1,1))</f>
        <v>216.94426559495264</v>
      </c>
      <c r="EP69" s="59">
        <f t="shared" ref="EP69:EP132" si="100">$EP$3</f>
        <v>225.33715877618704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0</v>
      </c>
      <c r="EW69" s="21">
        <f>EXP(-LN(2)/25)*EW68+(1-EXP(-LN(2)/25))/(LN(2)/25)*Calculateur!ER69*Calculateur!ET69*VLOOKUP('Données projet'!$B$15,Paramètres!$A$1:$I$89,3,0)*0.475*44/12</f>
        <v>4.7358184298383357</v>
      </c>
      <c r="EX69" s="21">
        <f>EXP(-LN(2)/2)*EX68+(1-EXP(-LN(2)/2))/(LN(2)/2)*ER69*EU69*VLOOKUP('Données projet'!$B$15,Paramètres!$A$1:$I$89,3,0)*0.475*44/12</f>
        <v>9.0520324225688826E-5</v>
      </c>
      <c r="EY69" s="22">
        <f t="shared" si="75"/>
        <v>4.7359089501625613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>
        <f>FE69*VLOOKUP('Données projet'!$B$16,Paramètres!$A$1:$I$89,3,0)*VLOOKUP('Données projet'!$B$16,Paramètres!$A$1:$I$89,5,0)</f>
        <v>0</v>
      </c>
      <c r="FG69" s="13" t="e">
        <f t="shared" ref="FG69:FG132" si="101">EXP(-1.0587+0.8836*LN(FF69)+0.284)</f>
        <v>#NUM!</v>
      </c>
      <c r="FH69" s="20" t="e">
        <f t="shared" si="76"/>
        <v>#NUM!</v>
      </c>
      <c r="FI69" s="59" t="e">
        <f t="shared" si="77"/>
        <v>#NUM!</v>
      </c>
      <c r="FJ69" s="59">
        <f ca="1">AVERAGE(OFFSET($FI$3,0,0,'Données projet'!$E$16+1,1))-AVERAGE(OFFSET($H$3,0,0,'Données projet'!$E$16+1,1))</f>
        <v>168.08890945052406</v>
      </c>
      <c r="FK69" s="59">
        <f t="shared" ref="FK69:FK132" si="102">$FK$3</f>
        <v>182.52462557642343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3.0452227476372777</v>
      </c>
      <c r="FR69" s="21">
        <f>EXP(-LN(2)/25)*FR68+(1-EXP(-LN(2)/25))/(LN(2)/25)*Calculateur!FM69*Calculateur!FO69*VLOOKUP('Données projet'!$B$16,Paramètres!$A$1:$I$89,3,0)*0.475*44/12</f>
        <v>4.5447600315249028</v>
      </c>
      <c r="FS69" s="21">
        <f>EXP(-LN(2)/2)*FS68+(1-EXP(-LN(2)/2))/(LN(2)/2)*FM69*FP69*VLOOKUP('Données projet'!$B$16,Paramètres!$A$1:$I$89,3,0)*0.475*44/12</f>
        <v>2.0773667808815634E-5</v>
      </c>
      <c r="FT69" s="22">
        <f t="shared" si="78"/>
        <v>7.5900035528299901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>
        <f>VLOOKUP(A69,'Données projet'!$A$243:$I$263,2,0)</f>
        <v>415</v>
      </c>
      <c r="FX69" s="12">
        <f>VLOOKUP(A69,'Données projet'!$A$243:$I$263,9,0)</f>
        <v>11.375</v>
      </c>
      <c r="FY69" s="12">
        <f t="array" ref="FY69">INDEX(FX:FX,MIN(IF(ISNUMBER(FX69:FX265),ROW(FX69:FX265),"")))</f>
        <v>11.375</v>
      </c>
      <c r="FZ69" s="12">
        <f>IF('Données projet'!$A$244&gt;35,FZ68+FY69-GH68,IF(A69&lt;'Données projet'!$A$244,$FW$205^A69,IF(A69='Données projet'!$A$244,'Données projet'!$B$244,FZ68+FY69-GH68)))</f>
        <v>414.99999999999994</v>
      </c>
      <c r="GA69" s="17">
        <f>FZ69*VLOOKUP('Données projet'!$B$17,Paramètres!$A$1:$I$89,3,0)*VLOOKUP('Données projet'!$B$17,Paramètres!$A$1:$I$89,5,0)</f>
        <v>237.37999999999997</v>
      </c>
      <c r="GB69" s="13">
        <f t="shared" ref="GB69:GB132" si="103">EXP(-1.0587+0.8836*LN(GA69)+0.284)</f>
        <v>57.875465105279041</v>
      </c>
      <c r="GC69" s="20">
        <f t="shared" si="79"/>
        <v>514.23660172502764</v>
      </c>
      <c r="GD69" s="59">
        <f t="shared" si="80"/>
        <v>807.5699350583609</v>
      </c>
      <c r="GE69" s="59">
        <f ca="1">AVERAGE(OFFSET($GD$3,0,0,'Données projet'!$E$17+1,1))-AVERAGE(OFFSET($H$3,0,0,'Données projet'!$E$17+1,1))</f>
        <v>196.95560009657527</v>
      </c>
      <c r="GF69" s="59">
        <f t="shared" ref="GF69:GF132" si="104">$GF$3</f>
        <v>168.90186968005662</v>
      </c>
      <c r="GG69" s="15">
        <f>IF(ISNA(VLOOKUP(A69,'Données projet'!$A$243:$I$263,3,0)),0,VLOOKUP(A69,'Données projet'!$A$243:$I$263,3,0))</f>
        <v>9</v>
      </c>
      <c r="GH69" s="15">
        <f>IF(ISNA(VLOOKUP(A69,'Données projet'!$A$243:$I$263,4,0)),0,VLOOKUP(A69,'Données projet'!$A$243:$I$263,4,0))</f>
        <v>50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0</v>
      </c>
      <c r="GM69" s="21">
        <f>EXP(-LN(2)/25)*GM68+(1-EXP(-LN(2)/25))/(LN(2)/25)*Calculateur!GH69*Calculateur!GJ69*VLOOKUP('Données projet'!$B$17,Paramètres!$A$1:$I$89,3,0)*0.475*44/12</f>
        <v>3.4022222968665519</v>
      </c>
      <c r="GN69" s="21">
        <f>EXP(-LN(2)/2)*GN68+(1-EXP(-LN(2)/2))/(LN(2)/2)*GH69*GK69*VLOOKUP('Données projet'!$B$17,Paramètres!$A$1:$I$89,3,0)*0.475*44/12</f>
        <v>4.9055398377322284E-5</v>
      </c>
      <c r="GO69" s="21">
        <f t="shared" si="81"/>
        <v>3.402271352264929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15.5</v>
      </c>
      <c r="N70" s="13">
        <f>IF('Données projet'!$A$36&gt;35,N69+M70-V69,IF(A70&lt;'Données projet'!$A$36,$K$205^A70,IF(A70='Données projet'!$A$36,'Données projet'!$B$36,N69+M70-V69)))</f>
        <v>399.89999999999986</v>
      </c>
      <c r="O70" s="13">
        <f>N70*VLOOKUP('Données projet'!$B$9,Paramètres!$A$1:$I$89,3,0)*VLOOKUP('Données projet'!$B$9,Paramètres!$A$1:$I$89,5,0)</f>
        <v>187.15319999999994</v>
      </c>
      <c r="P70" s="13">
        <f t="shared" si="87"/>
        <v>46.9100138680691</v>
      </c>
      <c r="Q70" s="20">
        <f t="shared" si="54"/>
        <v>407.66009748688685</v>
      </c>
      <c r="R70" s="59">
        <f t="shared" si="55"/>
        <v>700.99343082022017</v>
      </c>
      <c r="S70" s="59">
        <f ca="1">AVERAGE(OFFSET($R$3,0,0,'Données projet'!$E$9+1,1))-AVERAGE(OFFSET($H$3,0,0,'Données projet'!$E$9+1,1))</f>
        <v>215.23235148064941</v>
      </c>
      <c r="T70" s="59">
        <f t="shared" si="88"/>
        <v>184.07239726900434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1.5064262350815258</v>
      </c>
      <c r="AA70" s="21">
        <f>EXP(-LN(2)/25)*AA69+(1-EXP(-LN(2)/25))/(LN(2)/25)*Calculateur!V70*Calculateur!X70*VLOOKUP('Données projet'!$B$9,Paramètres!$A$1:$I$89,3,0)*0.475*44/12</f>
        <v>2.8160960840024623</v>
      </c>
      <c r="AB70" s="21">
        <f>EXP(-LN(2)/2)*AB69+(1-EXP(-LN(2)/2))/(LN(2)/2)*V70*Y70*VLOOKUP('Données projet'!$B$9,Paramètres!$A$1:$I$89,3,0)*0.475*44/12</f>
        <v>2.6521296169434269E-5</v>
      </c>
      <c r="AC70" s="22">
        <f t="shared" si="57"/>
        <v>4.3225488403801577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4.0999999999999996</v>
      </c>
      <c r="AI70" s="13">
        <f>IF('Données projet'!$A$62&gt;35,AI69+AH70-AQ69,IF(A70&lt;'Données projet'!$A$62,$AF$205^A70,IF(A70='Données projet'!$A$62,'Données projet'!$B$62,AI69+AH70-AQ69)))</f>
        <v>261.69999999999976</v>
      </c>
      <c r="AJ70" s="13">
        <f>AI70*VLOOKUP('Données projet'!$B$10,Paramètres!$A$1:$I$89,3,0)*VLOOKUP('Données projet'!$B$10,Paramètres!$A$1:$I$89,5,0)</f>
        <v>191.87843999999981</v>
      </c>
      <c r="AK70" s="13">
        <f t="shared" si="89"/>
        <v>47.955011179497546</v>
      </c>
      <c r="AL70" s="20">
        <f t="shared" si="58"/>
        <v>417.70992747095789</v>
      </c>
      <c r="AM70" s="59">
        <f t="shared" si="59"/>
        <v>711.04326080429121</v>
      </c>
      <c r="AN70" s="59">
        <f ca="1">AVERAGE(OFFSET($AM$3,0,0,'Données projet'!$E$10+1,1))-AVERAGE(OFFSET($H$3,0,0,'Données projet'!$E$10+1,1))</f>
        <v>178.12968684094687</v>
      </c>
      <c r="AO70" s="59">
        <f t="shared" si="90"/>
        <v>219.36004077210373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2.7562253086031219</v>
      </c>
      <c r="AW70" s="21">
        <f>EXP(-LN(2)/2)*AW69+(1-EXP(-LN(2)/2))/(LN(2)/2)*AQ70*AT70*VLOOKUP('Données projet'!$B$10,Paramètres!$A$1:$I$89,3,0)*0.475*44/12</f>
        <v>2.6751487062574485E-5</v>
      </c>
      <c r="AX70" s="21">
        <f t="shared" si="60"/>
        <v>2.7562520600901843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3.1</v>
      </c>
      <c r="BD70" s="12">
        <f>IF('Données projet'!$A$88&gt;35,BD69+BC70-BL69,IF(A70&lt;'Données projet'!$A$88,$BA$205^A70,IF(A70='Données projet'!$A$88,'Données projet'!$B$88,BD69+BC70-BL69)))</f>
        <v>148.69999999999985</v>
      </c>
      <c r="BE70" s="13">
        <f>BD70*VLOOKUP('Données projet'!$B$11,Paramètres!$A$1:$I$89,3,0)*VLOOKUP('Données projet'!$B$11,Paramètres!$A$1:$I$89,5,0)</f>
        <v>129.90431999999987</v>
      </c>
      <c r="BF70" s="13">
        <f t="shared" si="91"/>
        <v>33.974249546287652</v>
      </c>
      <c r="BG70" s="20">
        <f t="shared" si="61"/>
        <v>285.42184195978405</v>
      </c>
      <c r="BH70" s="59">
        <f t="shared" si="62"/>
        <v>578.75517529311742</v>
      </c>
      <c r="BI70" s="59">
        <f ca="1">AVERAGE(OFFSET($BH$3,0,0,'Données projet'!$E$11+1,1))-AVERAGE(OFFSET($H$3,0,0,'Données projet'!$E$11+1,1))</f>
        <v>114.02623091248347</v>
      </c>
      <c r="BJ70" s="59">
        <f t="shared" si="92"/>
        <v>185.51554083721635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0.93798164422870722</v>
      </c>
      <c r="BQ70" s="21">
        <f>EXP(-LN(2)/25)*BQ69+(1-EXP(-LN(2)/25))/(LN(2)/25)*Calculateur!BL70*Calculateur!BN70*VLOOKUP('Données projet'!$B$11,Paramètres!$A$1:$I$89,3,0)*0.475*44/12</f>
        <v>4.0351968604163462</v>
      </c>
      <c r="BR70" s="21">
        <f>EXP(-LN(2)/2)*BR69+(1-EXP(-LN(2)/2))/(LN(2)/2)*BL70*BO70*VLOOKUP('Données projet'!$B$11,Paramètres!$A$1:$I$89,3,0)*0.475*44/12</f>
        <v>4.7580146191211367E-5</v>
      </c>
      <c r="BS70" s="22">
        <f t="shared" si="63"/>
        <v>4.9732260847912446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7</v>
      </c>
      <c r="BY70" s="12">
        <f>IF('Données projet'!$A$114&gt;35,BY69+BX70-CG69,IF(A70&lt;'Données projet'!$A$114,$BV$205^A70,IF(A70='Données projet'!$A$114,'Données projet'!$B$114,BY69+BX70-CG69)))</f>
        <v>242.00000000000017</v>
      </c>
      <c r="BZ70" s="13">
        <f>BY70*VLOOKUP('Données projet'!$B$12,Paramètres!$A$1:$I$89,3,0)*VLOOKUP('Données projet'!$B$12,Paramètres!$A$1:$I$89,5,0)</f>
        <v>218.96160000000017</v>
      </c>
      <c r="CA70" s="13">
        <f t="shared" si="93"/>
        <v>53.889132503707479</v>
      </c>
      <c r="CB70" s="20">
        <f t="shared" si="64"/>
        <v>475.2150257772908</v>
      </c>
      <c r="CC70" s="59">
        <f t="shared" si="65"/>
        <v>768.54835911062412</v>
      </c>
      <c r="CD70" s="59">
        <f ca="1">AVERAGE(OFFSET($CC$3,0,0,'Données projet'!$E$12+1,1))-AVERAGE(OFFSET($H$3,0,0,'Données projet'!$E$12+1,1))</f>
        <v>237.22177246688199</v>
      </c>
      <c r="CE70" s="59">
        <f t="shared" si="94"/>
        <v>149.27472147904302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1.1134440856136487</v>
      </c>
      <c r="CM70" s="21">
        <f>EXP(-LN(2)/2)*CM69+(1-EXP(-LN(2)/2))/(LN(2)/2)*CG70*CJ70*VLOOKUP('Données projet'!$B$12,Paramètres!$A$1:$I$89,3,0)*0.475*44/12</f>
        <v>1.6695136409716603E-5</v>
      </c>
      <c r="CN70" s="22">
        <f t="shared" si="66"/>
        <v>1.1134607807500585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13.4</v>
      </c>
      <c r="CT70" s="12">
        <f>IF('Données projet'!$A$140&gt;35,CT69+CS70-DB69,IF(A70&lt;'Données projet'!$A$140,$CQ$205^A70,IF(A70='Données projet'!$A$140,'Données projet'!$B$140,CT69+CS70-DB69)))</f>
        <v>573.79999999999973</v>
      </c>
      <c r="CU70" s="17">
        <f>CT70*VLOOKUP('Données projet'!$B$13,Paramètres!$A$1:$I$89,3,0)*VLOOKUP('Données projet'!$B$13,Paramètres!$A$1:$I$89,5,0)</f>
        <v>320.75419999999986</v>
      </c>
      <c r="CV70" s="13">
        <f t="shared" si="95"/>
        <v>75.510258133660997</v>
      </c>
      <c r="CW70" s="20">
        <f t="shared" si="67"/>
        <v>690.16059791612599</v>
      </c>
      <c r="CX70" s="59">
        <f t="shared" si="68"/>
        <v>983.49393124945937</v>
      </c>
      <c r="CY70" s="59">
        <f ca="1">AVERAGE(OFFSET($CX$3,0,0,'Données projet'!$E$13+1,1))-AVERAGE(OFFSET($H$3,0,0,'Données projet'!$E$13+1,1))</f>
        <v>326.31232746914907</v>
      </c>
      <c r="CZ70" s="59">
        <f t="shared" si="96"/>
        <v>330.17137761430297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2.1952761886203804</v>
      </c>
      <c r="DG70" s="21">
        <f>EXP(-LN(2)/25)*DG69+(1-EXP(-LN(2)/25))/(LN(2)/25)*Calculateur!DB70*Calculateur!DD70*VLOOKUP('Données projet'!$B$13,Paramètres!$A$1:$I$89,3,0)*0.475*44/12</f>
        <v>10.816664379444216</v>
      </c>
      <c r="DH70" s="21">
        <f>EXP(-LN(2)/2)*DH69+(1-EXP(-LN(2)/2))/(LN(2)/2)*DB70*DE70*VLOOKUP('Données projet'!$B$13,Paramètres!$A$1:$I$89,3,0)*0.475*44/12</f>
        <v>8.7725026035625131E-5</v>
      </c>
      <c r="DI70" s="22">
        <f t="shared" si="69"/>
        <v>13.012028293090632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6.8</v>
      </c>
      <c r="DO70" s="12">
        <f>IF('Données projet'!$A$166&gt;35,DO69+DN70-DW69,IF(A70&lt;'Données projet'!$A$166,$DL$205^A70,IF(A70='Données projet'!$A$166,'Données projet'!$B$166,DO69+DN70-DW69)))</f>
        <v>351.60000000000036</v>
      </c>
      <c r="DP70" s="17">
        <f>DO70*VLOOKUP('Données projet'!$B$14,Paramètres!$A$1:$I$89,3,0)*VLOOKUP('Données projet'!$B$14,Paramètres!$A$1:$I$89,5,0)</f>
        <v>219.39840000000024</v>
      </c>
      <c r="DQ70" s="13">
        <f t="shared" si="97"/>
        <v>53.984110102082091</v>
      </c>
      <c r="DR70" s="20">
        <f t="shared" si="70"/>
        <v>476.14120509446002</v>
      </c>
      <c r="DS70" s="59">
        <f t="shared" si="71"/>
        <v>769.47453842779328</v>
      </c>
      <c r="DT70" s="59">
        <f ca="1">AVERAGE(OFFSET($DS$3,0,0,'Données projet'!$E$14+1,1))-AVERAGE(OFFSET($H$3,0,0,'Données projet'!$E$14+1,1))</f>
        <v>209.93608079129638</v>
      </c>
      <c r="DU70" s="59">
        <f t="shared" si="98"/>
        <v>240.15652428700969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3.3416466296124145</v>
      </c>
      <c r="EB70" s="21">
        <f>EXP(-LN(2)/25)*EB69+(1-EXP(-LN(2)/25))/(LN(2)/25)*Calculateur!DW70*Calculateur!DY70*VLOOKUP('Données projet'!$B$14,Paramètres!$A$1:$I$89,3,0)*0.475*44/12</f>
        <v>7.4522326070983871</v>
      </c>
      <c r="EC70" s="21">
        <f>EXP(-LN(2)/2)*EC69+(1-EXP(-LN(2)/2))/(LN(2)/2)*DW70*DZ70*VLOOKUP('Données projet'!$B$14,Paramètres!$A$1:$I$89,3,0)*0.475*44/12</f>
        <v>5.4462671510175429E-5</v>
      </c>
      <c r="ED70" s="22">
        <f t="shared" si="72"/>
        <v>10.793933699382311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9.1999999999999993</v>
      </c>
      <c r="EJ70" s="12">
        <f>IF('Données projet'!$A$192&gt;35,EJ69+EI70-ER69,IF(A70&lt;'Données projet'!$A$192,$EG$205^A70,IF(A70='Données projet'!$A$192,'Données projet'!$B$192,EJ69+EI70-ER69)))</f>
        <v>394.39999999999969</v>
      </c>
      <c r="EK70" s="17">
        <f>EJ70*VLOOKUP('Données projet'!$B$15,Paramètres!$A$1:$I$89,3,0)*VLOOKUP('Données projet'!$B$15,Paramètres!$A$1:$I$89,5,0)</f>
        <v>235.85119999999984</v>
      </c>
      <c r="EL70" s="13">
        <f t="shared" si="99"/>
        <v>57.545992055843016</v>
      </c>
      <c r="EM70" s="20">
        <f t="shared" si="73"/>
        <v>511.0001094972597</v>
      </c>
      <c r="EN70" s="59">
        <f t="shared" si="74"/>
        <v>804.33344283059296</v>
      </c>
      <c r="EO70" s="59">
        <f ca="1">AVERAGE(OFFSET($EN$3,0,0,'Données projet'!$E$15+1,1))-AVERAGE(OFFSET($H$3,0,0,'Données projet'!$E$15+1,1))</f>
        <v>216.94426559495264</v>
      </c>
      <c r="EP70" s="59">
        <f t="shared" si="100"/>
        <v>225.33715877618704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0</v>
      </c>
      <c r="EW70" s="21">
        <f>EXP(-LN(2)/25)*EW69+(1-EXP(-LN(2)/25))/(LN(2)/25)*Calculateur!ER70*Calculateur!ET70*VLOOKUP('Données projet'!$B$15,Paramètres!$A$1:$I$89,3,0)*0.475*44/12</f>
        <v>4.6063172258285388</v>
      </c>
      <c r="EX70" s="21">
        <f>EXP(-LN(2)/2)*EX69+(1-EXP(-LN(2)/2))/(LN(2)/2)*ER70*EU70*VLOOKUP('Données projet'!$B$15,Paramètres!$A$1:$I$89,3,0)*0.475*44/12</f>
        <v>6.4007535095189484E-5</v>
      </c>
      <c r="EY70" s="22">
        <f t="shared" si="75"/>
        <v>4.606381233363634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>
        <f>FE70*VLOOKUP('Données projet'!$B$16,Paramètres!$A$1:$I$89,3,0)*VLOOKUP('Données projet'!$B$16,Paramètres!$A$1:$I$89,5,0)</f>
        <v>0</v>
      </c>
      <c r="FG70" s="13" t="e">
        <f t="shared" si="101"/>
        <v>#NUM!</v>
      </c>
      <c r="FH70" s="20" t="e">
        <f t="shared" si="76"/>
        <v>#NUM!</v>
      </c>
      <c r="FI70" s="59" t="e">
        <f t="shared" si="77"/>
        <v>#NUM!</v>
      </c>
      <c r="FJ70" s="59">
        <f ca="1">AVERAGE(OFFSET($FI$3,0,0,'Données projet'!$E$16+1,1))-AVERAGE(OFFSET($H$3,0,0,'Données projet'!$E$16+1,1))</f>
        <v>168.08890945052406</v>
      </c>
      <c r="FK70" s="59">
        <f t="shared" si="102"/>
        <v>182.52462557642343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2.9855077869585833</v>
      </c>
      <c r="FR70" s="21">
        <f>EXP(-LN(2)/25)*FR69+(1-EXP(-LN(2)/25))/(LN(2)/25)*Calculateur!FM70*Calculateur!FO70*VLOOKUP('Données projet'!$B$16,Paramètres!$A$1:$I$89,3,0)*0.475*44/12</f>
        <v>4.4204833294643118</v>
      </c>
      <c r="FS70" s="21">
        <f>EXP(-LN(2)/2)*FS69+(1-EXP(-LN(2)/2))/(LN(2)/2)*FM70*FP70*VLOOKUP('Données projet'!$B$16,Paramètres!$A$1:$I$89,3,0)*0.475*44/12</f>
        <v>1.4689201377730224E-5</v>
      </c>
      <c r="FT70" s="22">
        <f t="shared" si="78"/>
        <v>7.4060058056242726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6.75</v>
      </c>
      <c r="FZ70" s="12">
        <f>IF('Données projet'!$A$244&gt;35,FZ69+FY70-GH69,IF(A70&lt;'Données projet'!$A$244,$FW$205^A70,IF(A70='Données projet'!$A$244,'Données projet'!$B$244,FZ69+FY70-GH69)))</f>
        <v>371.74999999999994</v>
      </c>
      <c r="GA70" s="17">
        <f>FZ70*VLOOKUP('Données projet'!$B$17,Paramètres!$A$1:$I$89,3,0)*VLOOKUP('Données projet'!$B$17,Paramètres!$A$1:$I$89,5,0)</f>
        <v>212.64099999999996</v>
      </c>
      <c r="GB70" s="13">
        <f t="shared" si="103"/>
        <v>52.512290191227322</v>
      </c>
      <c r="GC70" s="20">
        <f t="shared" si="79"/>
        <v>461.80864708305415</v>
      </c>
      <c r="GD70" s="59">
        <f t="shared" si="80"/>
        <v>755.14198041638747</v>
      </c>
      <c r="GE70" s="59">
        <f ca="1">AVERAGE(OFFSET($GD$3,0,0,'Données projet'!$E$17+1,1))-AVERAGE(OFFSET($H$3,0,0,'Données projet'!$E$17+1,1))</f>
        <v>196.95560009657527</v>
      </c>
      <c r="GF70" s="59">
        <f t="shared" si="104"/>
        <v>168.90186968005662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0</v>
      </c>
      <c r="GM70" s="21">
        <f>EXP(-LN(2)/25)*GM69+(1-EXP(-LN(2)/25))/(LN(2)/25)*Calculateur!GH70*Calculateur!GJ70*VLOOKUP('Données projet'!$B$17,Paramètres!$A$1:$I$89,3,0)*0.475*44/12</f>
        <v>3.3091883492436414</v>
      </c>
      <c r="GN70" s="21">
        <f>EXP(-LN(2)/2)*GN69+(1-EXP(-LN(2)/2))/(LN(2)/2)*GH70*GK70*VLOOKUP('Données projet'!$B$17,Paramètres!$A$1:$I$89,3,0)*0.475*44/12</f>
        <v>3.4687404846412147E-5</v>
      </c>
      <c r="GO70" s="21">
        <f t="shared" si="81"/>
        <v>3.3092230366484876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15.5</v>
      </c>
      <c r="N71" s="13">
        <f>IF('Données projet'!$A$36&gt;35,N70+M71-V70,IF(A71&lt;'Données projet'!$A$36,$K$205^A71,IF(A71='Données projet'!$A$36,'Données projet'!$B$36,N70+M71-V70)))</f>
        <v>415.39999999999986</v>
      </c>
      <c r="O71" s="13">
        <f>N71*VLOOKUP('Données projet'!$B$9,Paramètres!$A$1:$I$89,3,0)*VLOOKUP('Données projet'!$B$9,Paramètres!$A$1:$I$89,5,0)</f>
        <v>194.40719999999996</v>
      </c>
      <c r="P71" s="13">
        <f t="shared" si="87"/>
        <v>48.513018020179601</v>
      </c>
      <c r="Q71" s="20">
        <f t="shared" si="54"/>
        <v>423.08604638514606</v>
      </c>
      <c r="R71" s="59">
        <f t="shared" si="55"/>
        <v>716.41937971847938</v>
      </c>
      <c r="S71" s="59">
        <f ca="1">AVERAGE(OFFSET($R$3,0,0,'Données projet'!$E$9+1,1))-AVERAGE(OFFSET($H$3,0,0,'Données projet'!$E$9+1,1))</f>
        <v>215.23235148064941</v>
      </c>
      <c r="T71" s="59">
        <f t="shared" si="88"/>
        <v>184.07239726900434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1.4768861354408536</v>
      </c>
      <c r="AA71" s="21">
        <f>EXP(-LN(2)/25)*AA70+(1-EXP(-LN(2)/25))/(LN(2)/25)*Calculateur!V71*Calculateur!X71*VLOOKUP('Données projet'!$B$9,Paramètres!$A$1:$I$89,3,0)*0.475*44/12</f>
        <v>2.739089788493358</v>
      </c>
      <c r="AB71" s="21">
        <f>EXP(-LN(2)/2)*AB70+(1-EXP(-LN(2)/2))/(LN(2)/2)*V71*Y71*VLOOKUP('Données projet'!$B$9,Paramètres!$A$1:$I$89,3,0)*0.475*44/12</f>
        <v>1.8753388367263778E-5</v>
      </c>
      <c r="AC71" s="22">
        <f t="shared" si="57"/>
        <v>4.2159946773225787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4.0999999999999996</v>
      </c>
      <c r="AI71" s="13">
        <f>IF('Données projet'!$A$62&gt;35,AI70+AH71-AQ70,IF(A71&lt;'Données projet'!$A$62,$AF$205^A71,IF(A71='Données projet'!$A$62,'Données projet'!$B$62,AI70+AH71-AQ70)))</f>
        <v>265.79999999999978</v>
      </c>
      <c r="AJ71" s="13">
        <f>AI71*VLOOKUP('Données projet'!$B$10,Paramètres!$A$1:$I$89,3,0)*VLOOKUP('Données projet'!$B$10,Paramètres!$A$1:$I$89,5,0)</f>
        <v>194.88455999999982</v>
      </c>
      <c r="AK71" s="13">
        <f t="shared" si="89"/>
        <v>48.618259190257277</v>
      </c>
      <c r="AL71" s="20">
        <f t="shared" si="58"/>
        <v>424.10074342303113</v>
      </c>
      <c r="AM71" s="59">
        <f t="shared" si="59"/>
        <v>717.43407675636445</v>
      </c>
      <c r="AN71" s="59">
        <f ca="1">AVERAGE(OFFSET($AM$3,0,0,'Données projet'!$E$10+1,1))-AVERAGE(OFFSET($H$3,0,0,'Données projet'!$E$10+1,1))</f>
        <v>178.12968684094687</v>
      </c>
      <c r="AO71" s="59">
        <f t="shared" si="90"/>
        <v>219.36004077210373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2.6808561825957802</v>
      </c>
      <c r="AW71" s="21">
        <f>EXP(-LN(2)/2)*AW70+(1-EXP(-LN(2)/2))/(LN(2)/2)*AQ71*AT71*VLOOKUP('Données projet'!$B$10,Paramètres!$A$1:$I$89,3,0)*0.475*44/12</f>
        <v>1.8916157908770613E-5</v>
      </c>
      <c r="AX71" s="21">
        <f t="shared" si="60"/>
        <v>2.6808750987536891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3.1</v>
      </c>
      <c r="BD71" s="12">
        <f>IF('Données projet'!$A$88&gt;35,BD70+BC71-BL70,IF(A71&lt;'Données projet'!$A$88,$BA$205^A71,IF(A71='Données projet'!$A$88,'Données projet'!$B$88,BD70+BC71-BL70)))</f>
        <v>151.79999999999984</v>
      </c>
      <c r="BE71" s="13">
        <f>BD71*VLOOKUP('Données projet'!$B$11,Paramètres!$A$1:$I$89,3,0)*VLOOKUP('Données projet'!$B$11,Paramètres!$A$1:$I$89,5,0)</f>
        <v>132.61247999999989</v>
      </c>
      <c r="BF71" s="13">
        <f t="shared" si="91"/>
        <v>34.599325938965436</v>
      </c>
      <c r="BG71" s="20">
        <f t="shared" si="61"/>
        <v>291.22722867703129</v>
      </c>
      <c r="BH71" s="59">
        <f t="shared" si="62"/>
        <v>584.56056201036461</v>
      </c>
      <c r="BI71" s="59">
        <f ca="1">AVERAGE(OFFSET($BH$3,0,0,'Données projet'!$E$11+1,1))-AVERAGE(OFFSET($H$3,0,0,'Données projet'!$E$11+1,1))</f>
        <v>114.02623091248347</v>
      </c>
      <c r="BJ71" s="59">
        <f t="shared" si="92"/>
        <v>185.51554083721635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0.91958839629769384</v>
      </c>
      <c r="BQ71" s="21">
        <f>EXP(-LN(2)/25)*BQ70+(1-EXP(-LN(2)/25))/(LN(2)/25)*Calculateur!BL71*Calculateur!BN71*VLOOKUP('Données projet'!$B$11,Paramètres!$A$1:$I$89,3,0)*0.475*44/12</f>
        <v>3.9248541900664811</v>
      </c>
      <c r="BR71" s="21">
        <f>EXP(-LN(2)/2)*BR70+(1-EXP(-LN(2)/2))/(LN(2)/2)*BL71*BO71*VLOOKUP('Données projet'!$B$11,Paramètres!$A$1:$I$89,3,0)*0.475*44/12</f>
        <v>3.3644244021652838E-5</v>
      </c>
      <c r="BS71" s="22">
        <f t="shared" si="63"/>
        <v>4.8444762306081968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7</v>
      </c>
      <c r="BY71" s="12">
        <f>IF('Données projet'!$A$114&gt;35,BY70+BX71-CG70,IF(A71&lt;'Données projet'!$A$114,$BV$205^A71,IF(A71='Données projet'!$A$114,'Données projet'!$B$114,BY70+BX71-CG70)))</f>
        <v>249.00000000000017</v>
      </c>
      <c r="BZ71" s="13">
        <f>BY71*VLOOKUP('Données projet'!$B$12,Paramètres!$A$1:$I$89,3,0)*VLOOKUP('Données projet'!$B$12,Paramètres!$A$1:$I$89,5,0)</f>
        <v>225.29520000000016</v>
      </c>
      <c r="CA71" s="13">
        <f t="shared" si="93"/>
        <v>55.264173352293128</v>
      </c>
      <c r="CB71" s="20">
        <f t="shared" si="64"/>
        <v>488.64090858857736</v>
      </c>
      <c r="CC71" s="59">
        <f t="shared" si="65"/>
        <v>781.97424192191068</v>
      </c>
      <c r="CD71" s="59">
        <f ca="1">AVERAGE(OFFSET($CC$3,0,0,'Données projet'!$E$12+1,1))-AVERAGE(OFFSET($H$3,0,0,'Données projet'!$E$12+1,1))</f>
        <v>237.22177246688199</v>
      </c>
      <c r="CE71" s="59">
        <f t="shared" si="94"/>
        <v>149.27472147904302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1.0829968985390639</v>
      </c>
      <c r="CM71" s="21">
        <f>EXP(-LN(2)/2)*CM70+(1-EXP(-LN(2)/2))/(LN(2)/2)*CG71*CJ71*VLOOKUP('Données projet'!$B$12,Paramètres!$A$1:$I$89,3,0)*0.475*44/12</f>
        <v>1.1805244168145041E-5</v>
      </c>
      <c r="CN71" s="22">
        <f t="shared" si="66"/>
        <v>1.0830087037832321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13.4</v>
      </c>
      <c r="CT71" s="12">
        <f>IF('Données projet'!$A$140&gt;35,CT70+CS71-DB70,IF(A71&lt;'Données projet'!$A$140,$CQ$205^A71,IF(A71='Données projet'!$A$140,'Données projet'!$B$140,CT70+CS71-DB70)))</f>
        <v>587.1999999999997</v>
      </c>
      <c r="CU71" s="17">
        <f>CT71*VLOOKUP('Données projet'!$B$13,Paramètres!$A$1:$I$89,3,0)*VLOOKUP('Données projet'!$B$13,Paramètres!$A$1:$I$89,5,0)</f>
        <v>328.24479999999983</v>
      </c>
      <c r="CV71" s="13">
        <f t="shared" si="95"/>
        <v>77.066296561336628</v>
      </c>
      <c r="CW71" s="20">
        <f t="shared" si="67"/>
        <v>705.91682651099427</v>
      </c>
      <c r="CX71" s="59">
        <f t="shared" si="68"/>
        <v>999.25015984432753</v>
      </c>
      <c r="CY71" s="59">
        <f ca="1">AVERAGE(OFFSET($CX$3,0,0,'Données projet'!$E$13+1,1))-AVERAGE(OFFSET($H$3,0,0,'Données projet'!$E$13+1,1))</f>
        <v>326.31232746914907</v>
      </c>
      <c r="CZ71" s="59">
        <f t="shared" si="96"/>
        <v>330.17137761430297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2.1522281615477961</v>
      </c>
      <c r="DG71" s="21">
        <f>EXP(-LN(2)/25)*DG70+(1-EXP(-LN(2)/25))/(LN(2)/25)*Calculateur!DB71*Calculateur!DD71*VLOOKUP('Données projet'!$B$13,Paramètres!$A$1:$I$89,3,0)*0.475*44/12</f>
        <v>10.520882123164656</v>
      </c>
      <c r="DH71" s="21">
        <f>EXP(-LN(2)/2)*DH70+(1-EXP(-LN(2)/2))/(LN(2)/2)*DB71*DE71*VLOOKUP('Données projet'!$B$13,Paramètres!$A$1:$I$89,3,0)*0.475*44/12</f>
        <v>6.2030960789556964E-5</v>
      </c>
      <c r="DI71" s="22">
        <f t="shared" si="69"/>
        <v>12.673172315673241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6.8</v>
      </c>
      <c r="DO71" s="12">
        <f>IF('Données projet'!$A$166&gt;35,DO70+DN71-DW70,IF(A71&lt;'Données projet'!$A$166,$DL$205^A71,IF(A71='Données projet'!$A$166,'Données projet'!$B$166,DO70+DN71-DW70)))</f>
        <v>358.40000000000038</v>
      </c>
      <c r="DP71" s="17">
        <f>DO71*VLOOKUP('Données projet'!$B$14,Paramètres!$A$1:$I$89,3,0)*VLOOKUP('Données projet'!$B$14,Paramètres!$A$1:$I$89,5,0)</f>
        <v>223.64160000000024</v>
      </c>
      <c r="DQ71" s="13">
        <f t="shared" si="97"/>
        <v>54.905611653539268</v>
      </c>
      <c r="DR71" s="20">
        <f t="shared" si="70"/>
        <v>485.13639362991461</v>
      </c>
      <c r="DS71" s="59">
        <f t="shared" si="71"/>
        <v>778.46972696324792</v>
      </c>
      <c r="DT71" s="59">
        <f ca="1">AVERAGE(OFFSET($DS$3,0,0,'Données projet'!$E$14+1,1))-AVERAGE(OFFSET($H$3,0,0,'Données projet'!$E$14+1,1))</f>
        <v>209.93608079129638</v>
      </c>
      <c r="DU71" s="59">
        <f t="shared" si="98"/>
        <v>240.15652428700969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3.2761189774089035</v>
      </c>
      <c r="EB71" s="21">
        <f>EXP(-LN(2)/25)*EB70+(1-EXP(-LN(2)/25))/(LN(2)/25)*Calculateur!DW71*Calculateur!DY71*VLOOKUP('Données projet'!$B$14,Paramètres!$A$1:$I$89,3,0)*0.475*44/12</f>
        <v>7.2484509145614009</v>
      </c>
      <c r="EC71" s="21">
        <f>EXP(-LN(2)/2)*EC70+(1-EXP(-LN(2)/2))/(LN(2)/2)*DW71*DZ71*VLOOKUP('Données projet'!$B$14,Paramètres!$A$1:$I$89,3,0)*0.475*44/12</f>
        <v>3.8510924346380432E-5</v>
      </c>
      <c r="ED71" s="22">
        <f t="shared" si="72"/>
        <v>10.524608402894652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9.1999999999999993</v>
      </c>
      <c r="EJ71" s="12">
        <f>IF('Données projet'!$A$192&gt;35,EJ70+EI71-ER70,IF(A71&lt;'Données projet'!$A$192,$EG$205^A71,IF(A71='Données projet'!$A$192,'Données projet'!$B$192,EJ70+EI71-ER70)))</f>
        <v>403.59999999999968</v>
      </c>
      <c r="EK71" s="17">
        <f>EJ71*VLOOKUP('Données projet'!$B$15,Paramètres!$A$1:$I$89,3,0)*VLOOKUP('Données projet'!$B$15,Paramètres!$A$1:$I$89,5,0)</f>
        <v>241.35279999999983</v>
      </c>
      <c r="EL71" s="13">
        <f t="shared" si="99"/>
        <v>58.730496708031964</v>
      </c>
      <c r="EM71" s="20">
        <f t="shared" si="73"/>
        <v>522.64507509982207</v>
      </c>
      <c r="EN71" s="59">
        <f t="shared" si="74"/>
        <v>815.97840843315544</v>
      </c>
      <c r="EO71" s="59">
        <f ca="1">AVERAGE(OFFSET($EN$3,0,0,'Données projet'!$E$15+1,1))-AVERAGE(OFFSET($H$3,0,0,'Données projet'!$E$15+1,1))</f>
        <v>216.94426559495264</v>
      </c>
      <c r="EP71" s="59">
        <f t="shared" si="100"/>
        <v>225.33715877618704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0</v>
      </c>
      <c r="EW71" s="21">
        <f>EXP(-LN(2)/25)*EW70+(1-EXP(-LN(2)/25))/(LN(2)/25)*Calculateur!ER71*Calculateur!ET71*VLOOKUP('Données projet'!$B$15,Paramètres!$A$1:$I$89,3,0)*0.475*44/12</f>
        <v>4.4803572390525623</v>
      </c>
      <c r="EX71" s="21">
        <f>EXP(-LN(2)/2)*EX70+(1-EXP(-LN(2)/2))/(LN(2)/2)*ER71*EU71*VLOOKUP('Données projet'!$B$15,Paramètres!$A$1:$I$89,3,0)*0.475*44/12</f>
        <v>4.5260162112844413E-5</v>
      </c>
      <c r="EY71" s="22">
        <f t="shared" si="75"/>
        <v>4.4804024992146756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>
        <f>FE71*VLOOKUP('Données projet'!$B$16,Paramètres!$A$1:$I$89,3,0)*VLOOKUP('Données projet'!$B$16,Paramètres!$A$1:$I$89,5,0)</f>
        <v>0</v>
      </c>
      <c r="FG71" s="13" t="e">
        <f t="shared" si="101"/>
        <v>#NUM!</v>
      </c>
      <c r="FH71" s="20" t="e">
        <f t="shared" si="76"/>
        <v>#NUM!</v>
      </c>
      <c r="FI71" s="59" t="e">
        <f t="shared" si="77"/>
        <v>#NUM!</v>
      </c>
      <c r="FJ71" s="59">
        <f ca="1">AVERAGE(OFFSET($FI$3,0,0,'Données projet'!$E$16+1,1))-AVERAGE(OFFSET($H$3,0,0,'Données projet'!$E$16+1,1))</f>
        <v>168.08890945052406</v>
      </c>
      <c r="FK71" s="59">
        <f t="shared" si="102"/>
        <v>182.52462557642343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2.9269638002362686</v>
      </c>
      <c r="FR71" s="21">
        <f>EXP(-LN(2)/25)*FR70+(1-EXP(-LN(2)/25))/(LN(2)/25)*Calculateur!FM71*Calculateur!FO71*VLOOKUP('Données projet'!$B$16,Paramètres!$A$1:$I$89,3,0)*0.475*44/12</f>
        <v>4.2996049803569951</v>
      </c>
      <c r="FS71" s="21">
        <f>EXP(-LN(2)/2)*FS70+(1-EXP(-LN(2)/2))/(LN(2)/2)*FM71*FP71*VLOOKUP('Données projet'!$B$16,Paramètres!$A$1:$I$89,3,0)*0.475*44/12</f>
        <v>1.0386833904407819E-5</v>
      </c>
      <c r="FT71" s="22">
        <f t="shared" si="78"/>
        <v>7.2265791674271673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6.75</v>
      </c>
      <c r="FZ71" s="12">
        <f>IF('Données projet'!$A$244&gt;35,FZ70+FY71-GH70,IF(A71&lt;'Données projet'!$A$244,$FW$205^A71,IF(A71='Données projet'!$A$244,'Données projet'!$B$244,FZ70+FY71-GH70)))</f>
        <v>378.49999999999994</v>
      </c>
      <c r="GA71" s="17">
        <f>FZ71*VLOOKUP('Données projet'!$B$17,Paramètres!$A$1:$I$89,3,0)*VLOOKUP('Données projet'!$B$17,Paramètres!$A$1:$I$89,5,0)</f>
        <v>216.50199999999995</v>
      </c>
      <c r="GB71" s="13">
        <f t="shared" si="103"/>
        <v>53.353904963920556</v>
      </c>
      <c r="GC71" s="20">
        <f t="shared" si="79"/>
        <v>469.99903447882821</v>
      </c>
      <c r="GD71" s="59">
        <f t="shared" si="80"/>
        <v>763.33236781216146</v>
      </c>
      <c r="GE71" s="59">
        <f ca="1">AVERAGE(OFFSET($GD$3,0,0,'Données projet'!$E$17+1,1))-AVERAGE(OFFSET($H$3,0,0,'Données projet'!$E$17+1,1))</f>
        <v>196.95560009657527</v>
      </c>
      <c r="GF71" s="59">
        <f t="shared" si="104"/>
        <v>168.90186968005662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0</v>
      </c>
      <c r="GM71" s="21">
        <f>EXP(-LN(2)/25)*GM70+(1-EXP(-LN(2)/25))/(LN(2)/25)*Calculateur!GH71*Calculateur!GJ71*VLOOKUP('Données projet'!$B$17,Paramètres!$A$1:$I$89,3,0)*0.475*44/12</f>
        <v>3.2186984198109219</v>
      </c>
      <c r="GN71" s="21">
        <f>EXP(-LN(2)/2)*GN70+(1-EXP(-LN(2)/2))/(LN(2)/2)*GH71*GK71*VLOOKUP('Données projet'!$B$17,Paramètres!$A$1:$I$89,3,0)*0.475*44/12</f>
        <v>2.4527699188661142E-5</v>
      </c>
      <c r="GO71" s="21">
        <f t="shared" si="81"/>
        <v>3.2187229475101105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15.5</v>
      </c>
      <c r="N72" s="13">
        <f>IF('Données projet'!$A$36&gt;35,N71+M72-V71,IF(A72&lt;'Données projet'!$A$36,$K$205^A72,IF(A72='Données projet'!$A$36,'Données projet'!$B$36,N71+M72-V71)))</f>
        <v>430.89999999999986</v>
      </c>
      <c r="O72" s="13">
        <f>N72*VLOOKUP('Données projet'!$B$9,Paramètres!$A$1:$I$89,3,0)*VLOOKUP('Données projet'!$B$9,Paramètres!$A$1:$I$89,5,0)</f>
        <v>201.66119999999992</v>
      </c>
      <c r="P72" s="13">
        <f t="shared" si="87"/>
        <v>50.109073265229782</v>
      </c>
      <c r="Q72" s="20">
        <f t="shared" si="54"/>
        <v>438.49989260360843</v>
      </c>
      <c r="R72" s="59">
        <f t="shared" si="55"/>
        <v>731.83322593694174</v>
      </c>
      <c r="S72" s="59">
        <f ca="1">AVERAGE(OFFSET($R$3,0,0,'Données projet'!$E$9+1,1))-AVERAGE(OFFSET($H$3,0,0,'Données projet'!$E$9+1,1))</f>
        <v>215.23235148064941</v>
      </c>
      <c r="T72" s="59">
        <f t="shared" si="88"/>
        <v>184.07239726900434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1.4479252991364533</v>
      </c>
      <c r="AA72" s="21">
        <f>EXP(-LN(2)/25)*AA71+(1-EXP(-LN(2)/25))/(LN(2)/25)*Calculateur!V72*Calculateur!X72*VLOOKUP('Données projet'!$B$9,Paramètres!$A$1:$I$89,3,0)*0.475*44/12</f>
        <v>2.6641892341845357</v>
      </c>
      <c r="AB72" s="21">
        <f>EXP(-LN(2)/2)*AB71+(1-EXP(-LN(2)/2))/(LN(2)/2)*V72*Y72*VLOOKUP('Données projet'!$B$9,Paramètres!$A$1:$I$89,3,0)*0.475*44/12</f>
        <v>1.3260648084717135E-5</v>
      </c>
      <c r="AC72" s="22">
        <f t="shared" si="57"/>
        <v>4.1121277939690737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4.0999999999999996</v>
      </c>
      <c r="AI72" s="13">
        <f>IF('Données projet'!$A$62&gt;35,AI71+AH72-AQ71,IF(A72&lt;'Données projet'!$A$62,$AF$205^A72,IF(A72='Données projet'!$A$62,'Données projet'!$B$62,AI71+AH72-AQ71)))</f>
        <v>269.89999999999981</v>
      </c>
      <c r="AJ72" s="13">
        <f>AI72*VLOOKUP('Données projet'!$B$10,Paramètres!$A$1:$I$89,3,0)*VLOOKUP('Données projet'!$B$10,Paramètres!$A$1:$I$89,5,0)</f>
        <v>197.89067999999983</v>
      </c>
      <c r="AK72" s="13">
        <f t="shared" si="89"/>
        <v>49.280317367496515</v>
      </c>
      <c r="AL72" s="20">
        <f t="shared" si="58"/>
        <v>430.48948708172276</v>
      </c>
      <c r="AM72" s="59">
        <f t="shared" si="59"/>
        <v>723.82282041505607</v>
      </c>
      <c r="AN72" s="59">
        <f ca="1">AVERAGE(OFFSET($AM$3,0,0,'Données projet'!$E$10+1,1))-AVERAGE(OFFSET($H$3,0,0,'Données projet'!$E$10+1,1))</f>
        <v>178.12968684094687</v>
      </c>
      <c r="AO72" s="59">
        <f t="shared" si="90"/>
        <v>219.36004077210373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2.607548029302599</v>
      </c>
      <c r="AW72" s="21">
        <f>EXP(-LN(2)/2)*AW71+(1-EXP(-LN(2)/2))/(LN(2)/2)*AQ72*AT72*VLOOKUP('Données projet'!$B$10,Paramètres!$A$1:$I$89,3,0)*0.475*44/12</f>
        <v>1.3375743531287243E-5</v>
      </c>
      <c r="AX72" s="21">
        <f t="shared" si="60"/>
        <v>2.6075614050461304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3.1</v>
      </c>
      <c r="BD72" s="12">
        <f>IF('Données projet'!$A$88&gt;35,BD71+BC72-BL71,IF(A72&lt;'Données projet'!$A$88,$BA$205^A72,IF(A72='Données projet'!$A$88,'Données projet'!$B$88,BD71+BC72-BL71)))</f>
        <v>154.89999999999984</v>
      </c>
      <c r="BE72" s="13">
        <f>BD72*VLOOKUP('Données projet'!$B$11,Paramètres!$A$1:$I$89,3,0)*VLOOKUP('Données projet'!$B$11,Paramètres!$A$1:$I$89,5,0)</f>
        <v>135.32063999999988</v>
      </c>
      <c r="BF72" s="13">
        <f t="shared" si="91"/>
        <v>35.222918133662084</v>
      </c>
      <c r="BG72" s="20">
        <f t="shared" si="61"/>
        <v>297.03003041612789</v>
      </c>
      <c r="BH72" s="59">
        <f t="shared" si="62"/>
        <v>590.3633637494612</v>
      </c>
      <c r="BI72" s="59">
        <f ca="1">AVERAGE(OFFSET($BH$3,0,0,'Données projet'!$E$11+1,1))-AVERAGE(OFFSET($H$3,0,0,'Données projet'!$E$11+1,1))</f>
        <v>114.02623091248347</v>
      </c>
      <c r="BJ72" s="59">
        <f t="shared" si="92"/>
        <v>185.51554083721635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0.9015558287398342</v>
      </c>
      <c r="BQ72" s="21">
        <f>EXP(-LN(2)/25)*BQ71+(1-EXP(-LN(2)/25))/(LN(2)/25)*Calculateur!BL72*Calculateur!BN72*VLOOKUP('Données projet'!$B$11,Paramètres!$A$1:$I$89,3,0)*0.475*44/12</f>
        <v>3.8175288458400018</v>
      </c>
      <c r="BR72" s="21">
        <f>EXP(-LN(2)/2)*BR71+(1-EXP(-LN(2)/2))/(LN(2)/2)*BL72*BO72*VLOOKUP('Données projet'!$B$11,Paramètres!$A$1:$I$89,3,0)*0.475*44/12</f>
        <v>2.3790073095605683E-5</v>
      </c>
      <c r="BS72" s="22">
        <f t="shared" si="63"/>
        <v>4.7191084646529315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7</v>
      </c>
      <c r="BY72" s="12">
        <f>IF('Données projet'!$A$114&gt;35,BY71+BX72-CG71,IF(A72&lt;'Données projet'!$A$114,$BV$205^A72,IF(A72='Données projet'!$A$114,'Données projet'!$B$114,BY71+BX72-CG71)))</f>
        <v>256.00000000000017</v>
      </c>
      <c r="BZ72" s="13">
        <f>BY72*VLOOKUP('Données projet'!$B$12,Paramètres!$A$1:$I$89,3,0)*VLOOKUP('Données projet'!$B$12,Paramètres!$A$1:$I$89,5,0)</f>
        <v>231.62880000000013</v>
      </c>
      <c r="CA72" s="13">
        <f t="shared" si="93"/>
        <v>56.63472139815827</v>
      </c>
      <c r="CB72" s="20">
        <f t="shared" si="64"/>
        <v>502.0589664351258</v>
      </c>
      <c r="CC72" s="59">
        <f t="shared" si="65"/>
        <v>795.39229976845911</v>
      </c>
      <c r="CD72" s="59">
        <f ca="1">AVERAGE(OFFSET($CC$3,0,0,'Données projet'!$E$12+1,1))-AVERAGE(OFFSET($H$3,0,0,'Données projet'!$E$12+1,1))</f>
        <v>237.22177246688199</v>
      </c>
      <c r="CE72" s="59">
        <f t="shared" si="94"/>
        <v>149.27472147904302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1.0533822913961814</v>
      </c>
      <c r="CM72" s="21">
        <f>EXP(-LN(2)/2)*CM71+(1-EXP(-LN(2)/2))/(LN(2)/2)*CG72*CJ72*VLOOKUP('Données projet'!$B$12,Paramètres!$A$1:$I$89,3,0)*0.475*44/12</f>
        <v>8.3475682048583016E-6</v>
      </c>
      <c r="CN72" s="22">
        <f t="shared" si="66"/>
        <v>1.0533906389643863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13.4</v>
      </c>
      <c r="CT72" s="12">
        <f>IF('Données projet'!$A$140&gt;35,CT71+CS72-DB71,IF(A72&lt;'Données projet'!$A$140,$CQ$205^A72,IF(A72='Données projet'!$A$140,'Données projet'!$B$140,CT71+CS72-DB71)))</f>
        <v>600.59999999999968</v>
      </c>
      <c r="CU72" s="17">
        <f>CT72*VLOOKUP('Données projet'!$B$13,Paramètres!$A$1:$I$89,3,0)*VLOOKUP('Données projet'!$B$13,Paramètres!$A$1:$I$89,5,0)</f>
        <v>335.73539999999986</v>
      </c>
      <c r="CV72" s="13">
        <f t="shared" si="95"/>
        <v>78.618206841401843</v>
      </c>
      <c r="CW72" s="20">
        <f t="shared" si="67"/>
        <v>721.66586524877459</v>
      </c>
      <c r="CX72" s="59">
        <f t="shared" si="68"/>
        <v>1014.999198582108</v>
      </c>
      <c r="CY72" s="59">
        <f ca="1">AVERAGE(OFFSET($CX$3,0,0,'Données projet'!$E$13+1,1))-AVERAGE(OFFSET($H$3,0,0,'Données projet'!$E$13+1,1))</f>
        <v>326.31232746914907</v>
      </c>
      <c r="CZ72" s="59">
        <f t="shared" si="96"/>
        <v>330.17137761430297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2.1100242800294011</v>
      </c>
      <c r="DG72" s="21">
        <f>EXP(-LN(2)/25)*DG71+(1-EXP(-LN(2)/25))/(LN(2)/25)*Calculateur!DB72*Calculateur!DD72*VLOOKUP('Données projet'!$B$13,Paramètres!$A$1:$I$89,3,0)*0.475*44/12</f>
        <v>10.233188048237572</v>
      </c>
      <c r="DH72" s="21">
        <f>EXP(-LN(2)/2)*DH71+(1-EXP(-LN(2)/2))/(LN(2)/2)*DB72*DE72*VLOOKUP('Données projet'!$B$13,Paramètres!$A$1:$I$89,3,0)*0.475*44/12</f>
        <v>4.3862513017812565E-5</v>
      </c>
      <c r="DI72" s="22">
        <f t="shared" si="69"/>
        <v>12.343256190779991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6.8</v>
      </c>
      <c r="DO72" s="12">
        <f>IF('Données projet'!$A$166&gt;35,DO71+DN72-DW71,IF(A72&lt;'Données projet'!$A$166,$DL$205^A72,IF(A72='Données projet'!$A$166,'Données projet'!$B$166,DO71+DN72-DW71)))</f>
        <v>365.20000000000039</v>
      </c>
      <c r="DP72" s="17">
        <f>DO72*VLOOKUP('Données projet'!$B$14,Paramètres!$A$1:$I$89,3,0)*VLOOKUP('Données projet'!$B$14,Paramètres!$A$1:$I$89,5,0)</f>
        <v>227.88480000000027</v>
      </c>
      <c r="DQ72" s="13">
        <f t="shared" si="97"/>
        <v>55.825080201942662</v>
      </c>
      <c r="DR72" s="20">
        <f t="shared" si="70"/>
        <v>494.12804135171729</v>
      </c>
      <c r="DS72" s="59">
        <f t="shared" si="71"/>
        <v>787.4613746850506</v>
      </c>
      <c r="DT72" s="59">
        <f ca="1">AVERAGE(OFFSET($DS$3,0,0,'Données projet'!$E$14+1,1))-AVERAGE(OFFSET($H$3,0,0,'Données projet'!$E$14+1,1))</f>
        <v>209.93608079129638</v>
      </c>
      <c r="DU72" s="59">
        <f t="shared" si="98"/>
        <v>240.15652428700969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3.2118762824971818</v>
      </c>
      <c r="EB72" s="21">
        <f>EXP(-LN(2)/25)*EB71+(1-EXP(-LN(2)/25))/(LN(2)/25)*Calculateur!DW72*Calculateur!DY72*VLOOKUP('Données projet'!$B$14,Paramètres!$A$1:$I$89,3,0)*0.475*44/12</f>
        <v>7.0502416431232522</v>
      </c>
      <c r="EC72" s="21">
        <f>EXP(-LN(2)/2)*EC71+(1-EXP(-LN(2)/2))/(LN(2)/2)*DW72*DZ72*VLOOKUP('Données projet'!$B$14,Paramètres!$A$1:$I$89,3,0)*0.475*44/12</f>
        <v>2.7231335755087714E-5</v>
      </c>
      <c r="ED72" s="22">
        <f t="shared" si="72"/>
        <v>10.262145156956189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9.1999999999999993</v>
      </c>
      <c r="EJ72" s="12">
        <f>IF('Données projet'!$A$192&gt;35,EJ71+EI72-ER71,IF(A72&lt;'Données projet'!$A$192,$EG$205^A72,IF(A72='Données projet'!$A$192,'Données projet'!$B$192,EJ71+EI72-ER71)))</f>
        <v>412.79999999999967</v>
      </c>
      <c r="EK72" s="17">
        <f>EJ72*VLOOKUP('Données projet'!$B$15,Paramètres!$A$1:$I$89,3,0)*VLOOKUP('Données projet'!$B$15,Paramètres!$A$1:$I$89,5,0)</f>
        <v>246.85439999999983</v>
      </c>
      <c r="EL72" s="13">
        <f t="shared" si="99"/>
        <v>59.911862368716115</v>
      </c>
      <c r="EM72" s="20">
        <f t="shared" si="73"/>
        <v>534.28457362551364</v>
      </c>
      <c r="EN72" s="59">
        <f t="shared" si="74"/>
        <v>827.61790695884702</v>
      </c>
      <c r="EO72" s="59">
        <f ca="1">AVERAGE(OFFSET($EN$3,0,0,'Données projet'!$E$15+1,1))-AVERAGE(OFFSET($H$3,0,0,'Données projet'!$E$15+1,1))</f>
        <v>216.94426559495264</v>
      </c>
      <c r="EP72" s="59">
        <f t="shared" si="100"/>
        <v>225.33715877618704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0</v>
      </c>
      <c r="EW72" s="21">
        <f>EXP(-LN(2)/25)*EW71+(1-EXP(-LN(2)/25))/(LN(2)/25)*Calculateur!ER72*Calculateur!ET72*VLOOKUP('Données projet'!$B$15,Paramètres!$A$1:$I$89,3,0)*0.475*44/12</f>
        <v>4.3578416347389224</v>
      </c>
      <c r="EX72" s="21">
        <f>EXP(-LN(2)/2)*EX71+(1-EXP(-LN(2)/2))/(LN(2)/2)*ER72*EU72*VLOOKUP('Données projet'!$B$15,Paramètres!$A$1:$I$89,3,0)*0.475*44/12</f>
        <v>3.2003767547594742E-5</v>
      </c>
      <c r="EY72" s="22">
        <f t="shared" si="75"/>
        <v>4.3578736385064696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>
        <f>FE72*VLOOKUP('Données projet'!$B$16,Paramètres!$A$1:$I$89,3,0)*VLOOKUP('Données projet'!$B$16,Paramètres!$A$1:$I$89,5,0)</f>
        <v>0</v>
      </c>
      <c r="FG72" s="13" t="e">
        <f t="shared" si="101"/>
        <v>#NUM!</v>
      </c>
      <c r="FH72" s="20" t="e">
        <f t="shared" si="76"/>
        <v>#NUM!</v>
      </c>
      <c r="FI72" s="59" t="e">
        <f t="shared" si="77"/>
        <v>#NUM!</v>
      </c>
      <c r="FJ72" s="59">
        <f ca="1">AVERAGE(OFFSET($FI$3,0,0,'Données projet'!$E$16+1,1))-AVERAGE(OFFSET($H$3,0,0,'Données projet'!$E$16+1,1))</f>
        <v>168.08890945052406</v>
      </c>
      <c r="FK72" s="59">
        <f t="shared" si="102"/>
        <v>182.52462557642343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2.8695678253852726</v>
      </c>
      <c r="FR72" s="21">
        <f>EXP(-LN(2)/25)*FR71+(1-EXP(-LN(2)/25))/(LN(2)/25)*Calculateur!FM72*Calculateur!FO72*VLOOKUP('Données projet'!$B$16,Paramètres!$A$1:$I$89,3,0)*0.475*44/12</f>
        <v>4.1820320560627344</v>
      </c>
      <c r="FS72" s="21">
        <f>EXP(-LN(2)/2)*FS71+(1-EXP(-LN(2)/2))/(LN(2)/2)*FM72*FP72*VLOOKUP('Données projet'!$B$16,Paramètres!$A$1:$I$89,3,0)*0.475*44/12</f>
        <v>7.3446006888651128E-6</v>
      </c>
      <c r="FT72" s="22">
        <f t="shared" si="78"/>
        <v>7.0516072260486959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6.75</v>
      </c>
      <c r="FZ72" s="12">
        <f>IF('Données projet'!$A$244&gt;35,FZ71+FY72-GH71,IF(A72&lt;'Données projet'!$A$244,$FW$205^A72,IF(A72='Données projet'!$A$244,'Données projet'!$B$244,FZ71+FY72-GH71)))</f>
        <v>385.24999999999994</v>
      </c>
      <c r="GA72" s="17">
        <f>FZ72*VLOOKUP('Données projet'!$B$17,Paramètres!$A$1:$I$89,3,0)*VLOOKUP('Données projet'!$B$17,Paramètres!$A$1:$I$89,5,0)</f>
        <v>220.36299999999997</v>
      </c>
      <c r="GB72" s="13">
        <f t="shared" si="103"/>
        <v>54.193774405323978</v>
      </c>
      <c r="GC72" s="20">
        <f t="shared" si="79"/>
        <v>478.18638208927251</v>
      </c>
      <c r="GD72" s="59">
        <f t="shared" si="80"/>
        <v>771.51971542260583</v>
      </c>
      <c r="GE72" s="59">
        <f ca="1">AVERAGE(OFFSET($GD$3,0,0,'Données projet'!$E$17+1,1))-AVERAGE(OFFSET($H$3,0,0,'Données projet'!$E$17+1,1))</f>
        <v>196.95560009657527</v>
      </c>
      <c r="GF72" s="59">
        <f t="shared" si="104"/>
        <v>168.90186968005662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0</v>
      </c>
      <c r="GM72" s="21">
        <f>EXP(-LN(2)/25)*GM71+(1-EXP(-LN(2)/25))/(LN(2)/25)*Calculateur!GH72*Calculateur!GJ72*VLOOKUP('Données projet'!$B$17,Paramètres!$A$1:$I$89,3,0)*0.475*44/12</f>
        <v>3.1306829422571987</v>
      </c>
      <c r="GN72" s="21">
        <f>EXP(-LN(2)/2)*GN71+(1-EXP(-LN(2)/2))/(LN(2)/2)*GH72*GK72*VLOOKUP('Données projet'!$B$17,Paramètres!$A$1:$I$89,3,0)*0.475*44/12</f>
        <v>1.7343702423206073E-5</v>
      </c>
      <c r="GO72" s="21">
        <f t="shared" si="81"/>
        <v>3.1307002859596218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446.4</v>
      </c>
      <c r="L73" s="12">
        <f>VLOOKUP(A73,'Données projet'!$A$35:$I$55,9,0)</f>
        <v>15.5</v>
      </c>
      <c r="M73" s="12">
        <f t="array" ref="M73">INDEX(L:L,MIN(IF(ISNUMBER(L73:L269),ROW(L73:L269),"")))</f>
        <v>15.5</v>
      </c>
      <c r="N73" s="13">
        <f>IF('Données projet'!$A$36&gt;35,N72+M73-V72,IF(A73&lt;'Données projet'!$A$36,$K$205^A73,IF(A73='Données projet'!$A$36,'Données projet'!$B$36,N72+M73-V72)))</f>
        <v>446.39999999999986</v>
      </c>
      <c r="O73" s="13">
        <f>N73*VLOOKUP('Données projet'!$B$9,Paramètres!$A$1:$I$89,3,0)*VLOOKUP('Données projet'!$B$9,Paramètres!$A$1:$I$89,5,0)</f>
        <v>208.91519999999994</v>
      </c>
      <c r="P73" s="13">
        <f t="shared" si="87"/>
        <v>51.698458198123326</v>
      </c>
      <c r="Q73" s="20">
        <f t="shared" si="54"/>
        <v>453.90212136173136</v>
      </c>
      <c r="R73" s="59">
        <f t="shared" si="55"/>
        <v>747.23545469506462</v>
      </c>
      <c r="S73" s="59">
        <f ca="1">AVERAGE(OFFSET($R$3,0,0,'Données projet'!$E$9+1,1))-AVERAGE(OFFSET($H$3,0,0,'Données projet'!$E$9+1,1))</f>
        <v>215.23235148064941</v>
      </c>
      <c r="T73" s="59">
        <f t="shared" si="88"/>
        <v>184.07239726900434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83.4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1.4195323671676163</v>
      </c>
      <c r="AA73" s="21">
        <f>EXP(-LN(2)/25)*AA72+(1-EXP(-LN(2)/25))/(LN(2)/25)*Calculateur!V73*Calculateur!X73*VLOOKUP('Données projet'!$B$9,Paramètres!$A$1:$I$89,3,0)*0.475*44/12</f>
        <v>2.5913368394721368</v>
      </c>
      <c r="AB73" s="21">
        <f>EXP(-LN(2)/2)*AB72+(1-EXP(-LN(2)/2))/(LN(2)/2)*V73*Y73*VLOOKUP('Données projet'!$B$9,Paramètres!$A$1:$I$89,3,0)*0.475*44/12</f>
        <v>9.3766941836318892E-6</v>
      </c>
      <c r="AC73" s="22">
        <f t="shared" si="57"/>
        <v>4.0108785833339367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274</v>
      </c>
      <c r="AG73" s="12">
        <f>VLOOKUP(A73,'Données projet'!$A$61:$I$81,9,0)</f>
        <v>4.0999999999999996</v>
      </c>
      <c r="AH73" s="12">
        <f t="array" ref="AH73">INDEX(AG:AG,MIN(IF(ISNUMBER(AG73:AG269),ROW(AG73:AG269),"")))</f>
        <v>4.0999999999999996</v>
      </c>
      <c r="AI73" s="13">
        <f>IF('Données projet'!$A$62&gt;35,AI72+AH73-AQ72,IF(A73&lt;'Données projet'!$A$62,$AF$205^A73,IF(A73='Données projet'!$A$62,'Données projet'!$B$62,AI72+AH73-AQ72)))</f>
        <v>273.99999999999983</v>
      </c>
      <c r="AJ73" s="13">
        <f>AI73*VLOOKUP('Données projet'!$B$10,Paramètres!$A$1:$I$89,3,0)*VLOOKUP('Données projet'!$B$10,Paramètres!$A$1:$I$89,5,0)</f>
        <v>200.89679999999987</v>
      </c>
      <c r="AK73" s="13">
        <f t="shared" si="89"/>
        <v>49.941205873360175</v>
      </c>
      <c r="AL73" s="20">
        <f t="shared" si="58"/>
        <v>436.87619356276872</v>
      </c>
      <c r="AM73" s="59">
        <f t="shared" si="59"/>
        <v>730.20952689610203</v>
      </c>
      <c r="AN73" s="59">
        <f ca="1">AVERAGE(OFFSET($AM$3,0,0,'Données projet'!$E$10+1,1))-AVERAGE(OFFSET($H$3,0,0,'Données projet'!$E$10+1,1))</f>
        <v>178.12968684094687</v>
      </c>
      <c r="AO73" s="59">
        <f t="shared" si="90"/>
        <v>219.36004077210373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21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2.536244491316328</v>
      </c>
      <c r="AW73" s="21">
        <f>EXP(-LN(2)/2)*AW72+(1-EXP(-LN(2)/2))/(LN(2)/2)*AQ73*AT73*VLOOKUP('Données projet'!$B$10,Paramètres!$A$1:$I$89,3,0)*0.475*44/12</f>
        <v>9.4580789543853066E-6</v>
      </c>
      <c r="AX73" s="21">
        <f t="shared" si="60"/>
        <v>2.5362539493952823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158</v>
      </c>
      <c r="BB73" s="12">
        <f>VLOOKUP(A73,'Données projet'!$A$87:$I$107,9,0)</f>
        <v>3.1</v>
      </c>
      <c r="BC73" s="12">
        <f t="array" ref="BC73">INDEX(BB:BB,MIN(IF(ISNUMBER(BB73:BB269),ROW(BB73:BB269),"")))</f>
        <v>3.1</v>
      </c>
      <c r="BD73" s="12">
        <f>IF('Données projet'!$A$88&gt;35,BD72+BC73-BL72,IF(A73&lt;'Données projet'!$A$88,$BA$205^A73,IF(A73='Données projet'!$A$88,'Données projet'!$B$88,BD72+BC73-BL72)))</f>
        <v>157.99999999999983</v>
      </c>
      <c r="BE73" s="13">
        <f>BD73*VLOOKUP('Données projet'!$B$11,Paramètres!$A$1:$I$89,3,0)*VLOOKUP('Données projet'!$B$11,Paramètres!$A$1:$I$89,5,0)</f>
        <v>138.02879999999988</v>
      </c>
      <c r="BF73" s="13">
        <f t="shared" si="91"/>
        <v>35.845059256813045</v>
      </c>
      <c r="BG73" s="20">
        <f t="shared" si="61"/>
        <v>302.83030487228251</v>
      </c>
      <c r="BH73" s="59">
        <f t="shared" si="62"/>
        <v>596.16363820561583</v>
      </c>
      <c r="BI73" s="59">
        <f ca="1">AVERAGE(OFFSET($BH$3,0,0,'Données projet'!$E$11+1,1))-AVERAGE(OFFSET($H$3,0,0,'Données projet'!$E$11+1,1))</f>
        <v>114.02623091248347</v>
      </c>
      <c r="BJ73" s="59">
        <f t="shared" si="92"/>
        <v>185.51554083721635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24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0.88387686883300398</v>
      </c>
      <c r="BQ73" s="21">
        <f>EXP(-LN(2)/25)*BQ72+(1-EXP(-LN(2)/25))/(LN(2)/25)*Calculateur!BL73*Calculateur!BN73*VLOOKUP('Données projet'!$B$11,Paramètres!$A$1:$I$89,3,0)*0.475*44/12</f>
        <v>3.7131383187953899</v>
      </c>
      <c r="BR73" s="21">
        <f>EXP(-LN(2)/2)*BR72+(1-EXP(-LN(2)/2))/(LN(2)/2)*BL73*BO73*VLOOKUP('Données projet'!$B$11,Paramètres!$A$1:$I$89,3,0)*0.475*44/12</f>
        <v>1.6822122010826419E-5</v>
      </c>
      <c r="BS73" s="22">
        <f t="shared" si="63"/>
        <v>4.5970320097504045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263</v>
      </c>
      <c r="BW73" s="12">
        <f>VLOOKUP(A73,'Données projet'!$A$113:$I$133,9,0)</f>
        <v>7</v>
      </c>
      <c r="BX73" s="12">
        <f t="array" ref="BX73">INDEX(BW:BW,MIN(IF(ISNUMBER(BW73:BW269),ROW(BW73:BW269),"")))</f>
        <v>7</v>
      </c>
      <c r="BY73" s="12">
        <f>IF('Données projet'!$A$114&gt;35,BY72+BX73-CG72,IF(A73&lt;'Données projet'!$A$114,$BV$205^A73,IF(A73='Données projet'!$A$114,'Données projet'!$B$114,BY72+BX73-CG72)))</f>
        <v>263.00000000000017</v>
      </c>
      <c r="BZ73" s="13">
        <f>BY73*VLOOKUP('Données projet'!$B$12,Paramètres!$A$1:$I$89,3,0)*VLOOKUP('Données projet'!$B$12,Paramètres!$A$1:$I$89,5,0)</f>
        <v>237.96240000000012</v>
      </c>
      <c r="CA73" s="13">
        <f t="shared" si="93"/>
        <v>58.000913607663399</v>
      </c>
      <c r="CB73" s="20">
        <f t="shared" si="64"/>
        <v>515.46943786668055</v>
      </c>
      <c r="CC73" s="59">
        <f t="shared" si="65"/>
        <v>808.80277120001392</v>
      </c>
      <c r="CD73" s="59">
        <f ca="1">AVERAGE(OFFSET($CC$3,0,0,'Données projet'!$E$12+1,1))-AVERAGE(OFFSET($H$3,0,0,'Données projet'!$E$12+1,1))</f>
        <v>237.22177246688199</v>
      </c>
      <c r="CE73" s="59">
        <f t="shared" si="94"/>
        <v>149.27472147904302</v>
      </c>
      <c r="CF73" s="15">
        <f>IF(ISNA(VLOOKUP(A73,'Données projet'!$A$113:$I$133,3,0)),0,VLOOKUP(A73,'Données projet'!$A$113:$I$133,3,0))</f>
        <v>5</v>
      </c>
      <c r="CG73" s="15">
        <f>IF(ISNA(VLOOKUP(A73,'Données projet'!$A$113:$I$133,4,0)),0,VLOOKUP(A73,'Données projet'!$A$113:$I$133,4,0))</f>
        <v>42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1.0245774972429857</v>
      </c>
      <c r="CM73" s="21">
        <f>EXP(-LN(2)/2)*CM72+(1-EXP(-LN(2)/2))/(LN(2)/2)*CG73*CJ73*VLOOKUP('Données projet'!$B$12,Paramètres!$A$1:$I$89,3,0)*0.475*44/12</f>
        <v>5.9026220840725205E-6</v>
      </c>
      <c r="CN73" s="22">
        <f t="shared" si="66"/>
        <v>1.0245833998650697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614</v>
      </c>
      <c r="CR73" s="12">
        <f>VLOOKUP(A73,'Données projet'!$A$139:$I$159,9,0)</f>
        <v>13.4</v>
      </c>
      <c r="CS73" s="12">
        <f t="array" ref="CS73">INDEX(CR:CR,MIN(IF(ISNUMBER(CR73:CR269),ROW(CR73:CR269),"")))</f>
        <v>13.4</v>
      </c>
      <c r="CT73" s="12">
        <f>IF('Données projet'!$A$140&gt;35,CT72+CS73-DB72,IF(A73&lt;'Données projet'!$A$140,$CQ$205^A73,IF(A73='Données projet'!$A$140,'Données projet'!$B$140,CT72+CS73-DB72)))</f>
        <v>613.99999999999966</v>
      </c>
      <c r="CU73" s="17">
        <f>CT73*VLOOKUP('Données projet'!$B$13,Paramètres!$A$1:$I$89,3,0)*VLOOKUP('Données projet'!$B$13,Paramètres!$A$1:$I$89,5,0)</f>
        <v>343.22599999999983</v>
      </c>
      <c r="CV73" s="13">
        <f t="shared" si="95"/>
        <v>80.166091681676377</v>
      </c>
      <c r="CW73" s="20">
        <f t="shared" si="67"/>
        <v>737.40789301225266</v>
      </c>
      <c r="CX73" s="59">
        <f t="shared" si="68"/>
        <v>1030.741226345586</v>
      </c>
      <c r="CY73" s="59">
        <f ca="1">AVERAGE(OFFSET($CX$3,0,0,'Données projet'!$E$13+1,1))-AVERAGE(OFFSET($H$3,0,0,'Données projet'!$E$13+1,1))</f>
        <v>326.31232746914907</v>
      </c>
      <c r="CZ73" s="59">
        <f t="shared" si="96"/>
        <v>330.17137761430297</v>
      </c>
      <c r="DA73" s="15">
        <f>IF(ISNA(VLOOKUP(A73,'Données projet'!$A$139:$I$159,3,0)),0,VLOOKUP(A73,'Données projet'!$A$139:$I$159,3,0))</f>
        <v>6</v>
      </c>
      <c r="DB73" s="15">
        <f>IF(ISNA(VLOOKUP(A73,'Données projet'!$A$139:$I$159,4,0)),0,VLOOKUP(A73,'Données projet'!$A$139:$I$159,4,0))</f>
        <v>67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2.068647990885756</v>
      </c>
      <c r="DG73" s="21">
        <f>EXP(-LN(2)/25)*DG72+(1-EXP(-LN(2)/25))/(LN(2)/25)*Calculateur!DB73*Calculateur!DD73*VLOOKUP('Données projet'!$B$13,Paramètres!$A$1:$I$89,3,0)*0.475*44/12</f>
        <v>9.9533609829185448</v>
      </c>
      <c r="DH73" s="21">
        <f>EXP(-LN(2)/2)*DH72+(1-EXP(-LN(2)/2))/(LN(2)/2)*DB73*DE73*VLOOKUP('Données projet'!$B$13,Paramètres!$A$1:$I$89,3,0)*0.475*44/12</f>
        <v>3.1015480394778482E-5</v>
      </c>
      <c r="DI73" s="22">
        <f t="shared" si="69"/>
        <v>12.022039989284696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372</v>
      </c>
      <c r="DM73" s="12">
        <f>VLOOKUP(A73,'Données projet'!$A$165:$I$185,9,0)</f>
        <v>6.8</v>
      </c>
      <c r="DN73" s="12">
        <f t="array" ref="DN73">INDEX(DM:DM,MIN(IF(ISNUMBER(DM73:DM269),ROW(DM73:DM269),"")))</f>
        <v>6.8</v>
      </c>
      <c r="DO73" s="12">
        <f>IF('Données projet'!$A$166&gt;35,DO72+DN73-DW72,IF(A73&lt;'Données projet'!$A$166,$DL$205^A73,IF(A73='Données projet'!$A$166,'Données projet'!$B$166,DO72+DN73-DW72)))</f>
        <v>372.0000000000004</v>
      </c>
      <c r="DP73" s="17">
        <f>DO73*VLOOKUP('Données projet'!$B$14,Paramètres!$A$1:$I$89,3,0)*VLOOKUP('Données projet'!$B$14,Paramètres!$A$1:$I$89,5,0)</f>
        <v>232.12800000000024</v>
      </c>
      <c r="DQ73" s="13">
        <f t="shared" si="97"/>
        <v>56.742557967082448</v>
      </c>
      <c r="DR73" s="20">
        <f t="shared" si="70"/>
        <v>503.11622179266897</v>
      </c>
      <c r="DS73" s="59">
        <f t="shared" si="71"/>
        <v>796.44955512600222</v>
      </c>
      <c r="DT73" s="59">
        <f ca="1">AVERAGE(OFFSET($DS$3,0,0,'Données projet'!$E$14+1,1))-AVERAGE(OFFSET($H$3,0,0,'Données projet'!$E$14+1,1))</f>
        <v>209.93608079129638</v>
      </c>
      <c r="DU73" s="59">
        <f t="shared" si="98"/>
        <v>240.15652428700969</v>
      </c>
      <c r="DV73" s="15">
        <f>IF(ISNA(VLOOKUP(A73,'Données projet'!$A$165:$I$185,3,0)),0,VLOOKUP(A73,'Données projet'!$A$165:$I$185,3,0))</f>
        <v>6</v>
      </c>
      <c r="DW73" s="15">
        <f>IF(ISNA(VLOOKUP(A73,'Données projet'!$A$165:$I$185,4,0)),0,VLOOKUP(A73,'Données projet'!$A$165:$I$185,4,0))</f>
        <v>36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3.1488933476485044</v>
      </c>
      <c r="EB73" s="21">
        <f>EXP(-LN(2)/25)*EB72+(1-EXP(-LN(2)/25))/(LN(2)/25)*Calculateur!DW73*Calculateur!DY73*VLOOKUP('Données projet'!$B$14,Paramètres!$A$1:$I$89,3,0)*0.475*44/12</f>
        <v>6.8574524146359526</v>
      </c>
      <c r="EC73" s="21">
        <f>EXP(-LN(2)/2)*EC72+(1-EXP(-LN(2)/2))/(LN(2)/2)*DW73*DZ73*VLOOKUP('Données projet'!$B$14,Paramètres!$A$1:$I$89,3,0)*0.475*44/12</f>
        <v>1.9255462173190216E-5</v>
      </c>
      <c r="ED73" s="22">
        <f t="shared" si="72"/>
        <v>10.006365017746631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422</v>
      </c>
      <c r="EH73" s="12">
        <f>VLOOKUP(A73,'Données projet'!$A$191:$I$211,9,0)</f>
        <v>9.1999999999999993</v>
      </c>
      <c r="EI73" s="12">
        <f t="array" ref="EI73">INDEX(EH:EH,MIN(IF(ISNUMBER(EH73:EH269),ROW(EH73:EH269),"")))</f>
        <v>9.1999999999999993</v>
      </c>
      <c r="EJ73" s="12">
        <f>IF('Données projet'!$A$192&gt;35,EJ72+EI73-ER72,IF(A73&lt;'Données projet'!$A$192,$EG$205^A73,IF(A73='Données projet'!$A$192,'Données projet'!$B$192,EJ72+EI73-ER72)))</f>
        <v>421.99999999999966</v>
      </c>
      <c r="EK73" s="17">
        <f>EJ73*VLOOKUP('Données projet'!$B$15,Paramètres!$A$1:$I$89,3,0)*VLOOKUP('Données projet'!$B$15,Paramètres!$A$1:$I$89,5,0)</f>
        <v>252.35599999999982</v>
      </c>
      <c r="EL73" s="13">
        <f t="shared" si="99"/>
        <v>61.090167050998701</v>
      </c>
      <c r="EM73" s="20">
        <f t="shared" si="73"/>
        <v>545.9187409471557</v>
      </c>
      <c r="EN73" s="59">
        <f t="shared" si="74"/>
        <v>839.25207428048907</v>
      </c>
      <c r="EO73" s="59">
        <f ca="1">AVERAGE(OFFSET($EN$3,0,0,'Données projet'!$E$15+1,1))-AVERAGE(OFFSET($H$3,0,0,'Données projet'!$E$15+1,1))</f>
        <v>216.94426559495264</v>
      </c>
      <c r="EP73" s="59">
        <f t="shared" si="100"/>
        <v>225.33715877618704</v>
      </c>
      <c r="EQ73" s="15">
        <f>IF(ISNA(VLOOKUP(A73,'Données projet'!$A$191:$I$211,3,0)),0,VLOOKUP(A73,'Données projet'!$A$191:$I$211,3,0))</f>
        <v>6</v>
      </c>
      <c r="ER73" s="15">
        <f>IF(ISNA(VLOOKUP(A73,'Données projet'!$A$191:$I$211,4,0)),0,VLOOKUP(A73,'Données projet'!$A$191:$I$211,4,0))</f>
        <v>44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0</v>
      </c>
      <c r="EW73" s="21">
        <f>EXP(-LN(2)/25)*EW72+(1-EXP(-LN(2)/25))/(LN(2)/25)*Calculateur!ER73*Calculateur!ET73*VLOOKUP('Données projet'!$B$15,Paramètres!$A$1:$I$89,3,0)*0.475*44/12</f>
        <v>4.2386762260680548</v>
      </c>
      <c r="EX73" s="21">
        <f>EXP(-LN(2)/2)*EX72+(1-EXP(-LN(2)/2))/(LN(2)/2)*ER73*EU73*VLOOKUP('Données projet'!$B$15,Paramètres!$A$1:$I$89,3,0)*0.475*44/12</f>
        <v>2.2630081056422206E-5</v>
      </c>
      <c r="EY73" s="22">
        <f t="shared" si="75"/>
        <v>4.238698856149111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>
        <f>FE73*VLOOKUP('Données projet'!$B$16,Paramètres!$A$1:$I$89,3,0)*VLOOKUP('Données projet'!$B$16,Paramètres!$A$1:$I$89,5,0)</f>
        <v>0</v>
      </c>
      <c r="FG73" s="13" t="e">
        <f t="shared" si="101"/>
        <v>#NUM!</v>
      </c>
      <c r="FH73" s="20" t="e">
        <f t="shared" si="76"/>
        <v>#NUM!</v>
      </c>
      <c r="FI73" s="59" t="e">
        <f t="shared" si="77"/>
        <v>#NUM!</v>
      </c>
      <c r="FJ73" s="59">
        <f ca="1">AVERAGE(OFFSET($FI$3,0,0,'Données projet'!$E$16+1,1))-AVERAGE(OFFSET($H$3,0,0,'Données projet'!$E$16+1,1))</f>
        <v>168.08890945052406</v>
      </c>
      <c r="FK73" s="59">
        <f t="shared" si="102"/>
        <v>182.52462557642343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2.8132973505930168</v>
      </c>
      <c r="FR73" s="21">
        <f>EXP(-LN(2)/25)*FR72+(1-EXP(-LN(2)/25))/(LN(2)/25)*Calculateur!FM73*Calculateur!FO73*VLOOKUP('Données projet'!$B$16,Paramètres!$A$1:$I$89,3,0)*0.475*44/12</f>
        <v>4.0676741695661915</v>
      </c>
      <c r="FS73" s="21">
        <f>EXP(-LN(2)/2)*FS72+(1-EXP(-LN(2)/2))/(LN(2)/2)*FM73*FP73*VLOOKUP('Données projet'!$B$16,Paramètres!$A$1:$I$89,3,0)*0.475*44/12</f>
        <v>5.1934169522039103E-6</v>
      </c>
      <c r="FT73" s="22">
        <f t="shared" si="78"/>
        <v>6.8809767135761613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6.75</v>
      </c>
      <c r="FZ73" s="12">
        <f>IF('Données projet'!$A$244&gt;35,FZ72+FY73-GH72,IF(A73&lt;'Données projet'!$A$244,$FW$205^A73,IF(A73='Données projet'!$A$244,'Données projet'!$B$244,FZ72+FY73-GH72)))</f>
        <v>391.99999999999994</v>
      </c>
      <c r="GA73" s="17">
        <f>FZ73*VLOOKUP('Données projet'!$B$17,Paramètres!$A$1:$I$89,3,0)*VLOOKUP('Données projet'!$B$17,Paramètres!$A$1:$I$89,5,0)</f>
        <v>224.22399999999999</v>
      </c>
      <c r="GB73" s="13">
        <f t="shared" si="103"/>
        <v>55.031932623797523</v>
      </c>
      <c r="GC73" s="20">
        <f t="shared" si="79"/>
        <v>486.3707493197806</v>
      </c>
      <c r="GD73" s="59">
        <f t="shared" si="80"/>
        <v>779.70408265311391</v>
      </c>
      <c r="GE73" s="59">
        <f ca="1">AVERAGE(OFFSET($GD$3,0,0,'Données projet'!$E$17+1,1))-AVERAGE(OFFSET($H$3,0,0,'Données projet'!$E$17+1,1))</f>
        <v>196.95560009657527</v>
      </c>
      <c r="GF73" s="59">
        <f t="shared" si="104"/>
        <v>168.90186968005662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0</v>
      </c>
      <c r="GM73" s="21">
        <f>EXP(-LN(2)/25)*GM72+(1-EXP(-LN(2)/25))/(LN(2)/25)*Calculateur!GH73*Calculateur!GJ73*VLOOKUP('Données projet'!$B$17,Paramètres!$A$1:$I$89,3,0)*0.475*44/12</f>
        <v>3.0450742525657151</v>
      </c>
      <c r="GN73" s="21">
        <f>EXP(-LN(2)/2)*GN72+(1-EXP(-LN(2)/2))/(LN(2)/2)*GH73*GK73*VLOOKUP('Données projet'!$B$17,Paramètres!$A$1:$I$89,3,0)*0.475*44/12</f>
        <v>1.2263849594330571E-5</v>
      </c>
      <c r="GO73" s="21">
        <f t="shared" si="81"/>
        <v>3.0450865164153096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17</v>
      </c>
      <c r="N74" s="13">
        <f>IF('Données projet'!$A$36&gt;35,N73+M74-V73,IF(A74&lt;'Données projet'!$A$36,$K$205^A74,IF(A74='Données projet'!$A$36,'Données projet'!$B$36,N73+M74-V73)))</f>
        <v>379.99999999999989</v>
      </c>
      <c r="O74" s="13">
        <f>N74*VLOOKUP('Données projet'!$B$9,Paramètres!$A$1:$I$89,3,0)*VLOOKUP('Données projet'!$B$9,Paramètres!$A$1:$I$89,5,0)</f>
        <v>177.83999999999995</v>
      </c>
      <c r="P74" s="13">
        <f t="shared" si="87"/>
        <v>44.841288830609102</v>
      </c>
      <c r="Q74" s="20">
        <f t="shared" si="54"/>
        <v>387.83657804664409</v>
      </c>
      <c r="R74" s="59">
        <f t="shared" si="55"/>
        <v>681.16991137997741</v>
      </c>
      <c r="S74" s="59">
        <f ca="1">AVERAGE(OFFSET($R$3,0,0,'Données projet'!$E$9+1,1))-AVERAGE(OFFSET($H$3,0,0,'Données projet'!$E$9+1,1))</f>
        <v>215.23235148064941</v>
      </c>
      <c r="T74" s="59">
        <f t="shared" si="88"/>
        <v>184.07239726900434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1.3916962032767097</v>
      </c>
      <c r="AA74" s="21">
        <f>EXP(-LN(2)/25)*AA73+(1-EXP(-LN(2)/25))/(LN(2)/25)*Calculateur!V74*Calculateur!X74*VLOOKUP('Données projet'!$B$9,Paramètres!$A$1:$I$89,3,0)*0.475*44/12</f>
        <v>2.5204765973242895</v>
      </c>
      <c r="AB74" s="21">
        <f>EXP(-LN(2)/2)*AB73+(1-EXP(-LN(2)/2))/(LN(2)/2)*V74*Y74*VLOOKUP('Données projet'!$B$9,Paramètres!$A$1:$I$89,3,0)*0.475*44/12</f>
        <v>6.6303240423585673E-6</v>
      </c>
      <c r="AC74" s="22">
        <f t="shared" si="57"/>
        <v>3.9121794309250415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3.1</v>
      </c>
      <c r="AI74" s="13">
        <f>IF('Données projet'!$A$62&gt;35,AI73+AH74-AQ73,IF(A74&lt;'Données projet'!$A$62,$AF$205^A74,IF(A74='Données projet'!$A$62,'Données projet'!$B$62,AI73+AH74-AQ73)))</f>
        <v>256.09999999999985</v>
      </c>
      <c r="AJ74" s="13">
        <f>AI74*VLOOKUP('Données projet'!$B$10,Paramètres!$A$1:$I$89,3,0)*VLOOKUP('Données projet'!$B$10,Paramètres!$A$1:$I$89,5,0)</f>
        <v>187.77251999999987</v>
      </c>
      <c r="AK74" s="13">
        <f t="shared" si="89"/>
        <v>47.047151159984395</v>
      </c>
      <c r="AL74" s="20">
        <f t="shared" si="58"/>
        <v>408.9775939369726</v>
      </c>
      <c r="AM74" s="59">
        <f t="shared" si="59"/>
        <v>702.31092727030591</v>
      </c>
      <c r="AN74" s="59">
        <f ca="1">AVERAGE(OFFSET($AM$3,0,0,'Données projet'!$E$10+1,1))-AVERAGE(OFFSET($H$3,0,0,'Données projet'!$E$10+1,1))</f>
        <v>178.12968684094687</v>
      </c>
      <c r="AO74" s="59">
        <f t="shared" si="90"/>
        <v>219.36004077210373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2.4668907523259818</v>
      </c>
      <c r="AW74" s="21">
        <f>EXP(-LN(2)/2)*AW73+(1-EXP(-LN(2)/2))/(LN(2)/2)*AQ74*AT74*VLOOKUP('Données projet'!$B$10,Paramètres!$A$1:$I$89,3,0)*0.475*44/12</f>
        <v>6.6878717656436213E-6</v>
      </c>
      <c r="AX74" s="21">
        <f t="shared" si="60"/>
        <v>2.4668974401977475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2.4</v>
      </c>
      <c r="BD74" s="12">
        <f>IF('Données projet'!$A$88&gt;35,BD73+BC74-BL73,IF(A74&lt;'Données projet'!$A$88,$BA$205^A74,IF(A74='Données projet'!$A$88,'Données projet'!$B$88,BD73+BC74-BL73)))</f>
        <v>136.39999999999984</v>
      </c>
      <c r="BE74" s="13">
        <f>BD74*VLOOKUP('Données projet'!$B$11,Paramètres!$A$1:$I$89,3,0)*VLOOKUP('Données projet'!$B$11,Paramètres!$A$1:$I$89,5,0)</f>
        <v>119.15903999999988</v>
      </c>
      <c r="BF74" s="13">
        <f t="shared" si="91"/>
        <v>31.47877897604371</v>
      </c>
      <c r="BG74" s="20">
        <f t="shared" si="61"/>
        <v>262.36086804994255</v>
      </c>
      <c r="BH74" s="59">
        <f t="shared" si="62"/>
        <v>555.69420138327587</v>
      </c>
      <c r="BI74" s="59">
        <f ca="1">AVERAGE(OFFSET($BH$3,0,0,'Données projet'!$E$11+1,1))-AVERAGE(OFFSET($H$3,0,0,'Données projet'!$E$11+1,1))</f>
        <v>114.02623091248347</v>
      </c>
      <c r="BJ74" s="59">
        <f t="shared" si="92"/>
        <v>185.51554083721635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0.86654458254684585</v>
      </c>
      <c r="BQ74" s="21">
        <f>EXP(-LN(2)/25)*BQ73+(1-EXP(-LN(2)/25))/(LN(2)/25)*Calculateur!BL74*Calculateur!BN74*VLOOKUP('Données projet'!$B$11,Paramètres!$A$1:$I$89,3,0)*0.475*44/12</f>
        <v>3.6116023562024724</v>
      </c>
      <c r="BR74" s="21">
        <f>EXP(-LN(2)/2)*BR73+(1-EXP(-LN(2)/2))/(LN(2)/2)*BL74*BO74*VLOOKUP('Données projet'!$B$11,Paramètres!$A$1:$I$89,3,0)*0.475*44/12</f>
        <v>1.1895036547802842E-5</v>
      </c>
      <c r="BS74" s="22">
        <f t="shared" si="63"/>
        <v>4.4781588337858658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6.1</v>
      </c>
      <c r="BY74" s="12">
        <f>IF('Données projet'!$A$114&gt;35,BY73+BX74-CG73,IF(A74&lt;'Données projet'!$A$114,$BV$205^A74,IF(A74='Données projet'!$A$114,'Données projet'!$B$114,BY73+BX74-CG73)))</f>
        <v>227.10000000000019</v>
      </c>
      <c r="BZ74" s="13">
        <f>BY74*VLOOKUP('Données projet'!$B$12,Paramètres!$A$1:$I$89,3,0)*VLOOKUP('Données projet'!$B$12,Paramètres!$A$1:$I$89,5,0)</f>
        <v>205.48008000000016</v>
      </c>
      <c r="CA74" s="13">
        <f t="shared" si="93"/>
        <v>50.94662215818515</v>
      </c>
      <c r="CB74" s="20">
        <f t="shared" si="64"/>
        <v>446.6098395921727</v>
      </c>
      <c r="CC74" s="59">
        <f t="shared" si="65"/>
        <v>739.94317292550602</v>
      </c>
      <c r="CD74" s="59">
        <f ca="1">AVERAGE(OFFSET($CC$3,0,0,'Données projet'!$E$12+1,1))-AVERAGE(OFFSET($H$3,0,0,'Données projet'!$E$12+1,1))</f>
        <v>237.22177246688199</v>
      </c>
      <c r="CE74" s="59">
        <f t="shared" si="94"/>
        <v>149.27472147904302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0.99656037170068745</v>
      </c>
      <c r="CM74" s="21">
        <f>EXP(-LN(2)/2)*CM73+(1-EXP(-LN(2)/2))/(LN(2)/2)*CG74*CJ74*VLOOKUP('Données projet'!$B$12,Paramètres!$A$1:$I$89,3,0)*0.475*44/12</f>
        <v>4.1737841024291508E-6</v>
      </c>
      <c r="CN74" s="22">
        <f t="shared" si="66"/>
        <v>0.9965645454847899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10.4</v>
      </c>
      <c r="CT74" s="12">
        <f>IF('Données projet'!$A$140&gt;35,CT73+CS74-DB73,IF(A74&lt;'Données projet'!$A$140,$CQ$205^A74,IF(A74='Données projet'!$A$140,'Données projet'!$B$140,CT73+CS74-DB73)))</f>
        <v>557.39999999999964</v>
      </c>
      <c r="CU74" s="17">
        <f>CT74*VLOOKUP('Données projet'!$B$13,Paramètres!$A$1:$I$89,3,0)*VLOOKUP('Données projet'!$B$13,Paramètres!$A$1:$I$89,5,0)</f>
        <v>311.58659999999981</v>
      </c>
      <c r="CV74" s="13">
        <f t="shared" si="95"/>
        <v>73.60007688942116</v>
      </c>
      <c r="CW74" s="20">
        <f t="shared" si="67"/>
        <v>670.86679558240803</v>
      </c>
      <c r="CX74" s="59">
        <f t="shared" si="68"/>
        <v>964.20012891574129</v>
      </c>
      <c r="CY74" s="59">
        <f ca="1">AVERAGE(OFFSET($CX$3,0,0,'Données projet'!$E$13+1,1))-AVERAGE(OFFSET($H$3,0,0,'Données projet'!$E$13+1,1))</f>
        <v>326.31232746914907</v>
      </c>
      <c r="CZ74" s="59">
        <f t="shared" si="96"/>
        <v>330.17137761430297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2.0280830655351734</v>
      </c>
      <c r="DG74" s="21">
        <f>EXP(-LN(2)/25)*DG73+(1-EXP(-LN(2)/25))/(LN(2)/25)*Calculateur!DB74*Calculateur!DD74*VLOOKUP('Données projet'!$B$13,Paramètres!$A$1:$I$89,3,0)*0.475*44/12</f>
        <v>9.6811858034161311</v>
      </c>
      <c r="DH74" s="21">
        <f>EXP(-LN(2)/2)*DH73+(1-EXP(-LN(2)/2))/(LN(2)/2)*DB74*DE74*VLOOKUP('Données projet'!$B$13,Paramètres!$A$1:$I$89,3,0)*0.475*44/12</f>
        <v>2.1931256508906283E-5</v>
      </c>
      <c r="DI74" s="22">
        <f t="shared" si="69"/>
        <v>11.709290800207814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5.0999999999999996</v>
      </c>
      <c r="DO74" s="12">
        <f>IF('Données projet'!$A$166&gt;35,DO73+DN74-DW73,IF(A74&lt;'Données projet'!$A$166,$DL$205^A74,IF(A74='Données projet'!$A$166,'Données projet'!$B$166,DO73+DN74-DW73)))</f>
        <v>341.10000000000042</v>
      </c>
      <c r="DP74" s="17">
        <f>DO74*VLOOKUP('Données projet'!$B$14,Paramètres!$A$1:$I$89,3,0)*VLOOKUP('Données projet'!$B$14,Paramètres!$A$1:$I$89,5,0)</f>
        <v>212.84640000000027</v>
      </c>
      <c r="DQ74" s="13">
        <f t="shared" si="97"/>
        <v>52.557107491599041</v>
      </c>
      <c r="DR74" s="20">
        <f t="shared" si="70"/>
        <v>462.24444221453541</v>
      </c>
      <c r="DS74" s="59">
        <f t="shared" si="71"/>
        <v>755.57777554786867</v>
      </c>
      <c r="DT74" s="59">
        <f ca="1">AVERAGE(OFFSET($DS$3,0,0,'Données projet'!$E$14+1,1))-AVERAGE(OFFSET($H$3,0,0,'Données projet'!$E$14+1,1))</f>
        <v>209.93608079129638</v>
      </c>
      <c r="DU74" s="59">
        <f t="shared" si="98"/>
        <v>240.15652428700969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3.0871454697364125</v>
      </c>
      <c r="EB74" s="21">
        <f>EXP(-LN(2)/25)*EB73+(1-EXP(-LN(2)/25))/(LN(2)/25)*Calculateur!DW74*Calculateur!DY74*VLOOKUP('Données projet'!$B$14,Paramètres!$A$1:$I$89,3,0)*0.475*44/12</f>
        <v>6.6699350177399825</v>
      </c>
      <c r="EC74" s="21">
        <f>EXP(-LN(2)/2)*EC73+(1-EXP(-LN(2)/2))/(LN(2)/2)*DW74*DZ74*VLOOKUP('Données projet'!$B$14,Paramètres!$A$1:$I$89,3,0)*0.475*44/12</f>
        <v>1.3615667877543857E-5</v>
      </c>
      <c r="ED74" s="22">
        <f t="shared" si="72"/>
        <v>9.7570941031442722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7.2</v>
      </c>
      <c r="EJ74" s="12">
        <f>IF('Données projet'!$A$192&gt;35,EJ73+EI74-ER73,IF(A74&lt;'Données projet'!$A$192,$EG$205^A74,IF(A74='Données projet'!$A$192,'Données projet'!$B$192,EJ73+EI74-ER73)))</f>
        <v>385.19999999999965</v>
      </c>
      <c r="EK74" s="17">
        <f>EJ74*VLOOKUP('Données projet'!$B$15,Paramètres!$A$1:$I$89,3,0)*VLOOKUP('Données projet'!$B$15,Paramètres!$A$1:$I$89,5,0)</f>
        <v>230.34959999999978</v>
      </c>
      <c r="EL74" s="13">
        <f t="shared" si="99"/>
        <v>56.358266541426261</v>
      </c>
      <c r="EM74" s="20">
        <f t="shared" si="73"/>
        <v>499.34953422631702</v>
      </c>
      <c r="EN74" s="59">
        <f t="shared" si="74"/>
        <v>792.68286755965028</v>
      </c>
      <c r="EO74" s="59">
        <f ca="1">AVERAGE(OFFSET($EN$3,0,0,'Données projet'!$E$15+1,1))-AVERAGE(OFFSET($H$3,0,0,'Données projet'!$E$15+1,1))</f>
        <v>216.94426559495264</v>
      </c>
      <c r="EP74" s="59">
        <f t="shared" si="100"/>
        <v>225.33715877618704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</v>
      </c>
      <c r="EW74" s="21">
        <f>EXP(-LN(2)/25)*EW73+(1-EXP(-LN(2)/25))/(LN(2)/25)*Calculateur!ER74*Calculateur!ET74*VLOOKUP('Données projet'!$B$15,Paramètres!$A$1:$I$89,3,0)*0.475*44/12</f>
        <v>4.1227694017639287</v>
      </c>
      <c r="EX74" s="21">
        <f>EXP(-LN(2)/2)*EX73+(1-EXP(-LN(2)/2))/(LN(2)/2)*ER74*EU74*VLOOKUP('Données projet'!$B$15,Paramètres!$A$1:$I$89,3,0)*0.475*44/12</f>
        <v>1.6001883773797371E-5</v>
      </c>
      <c r="EY74" s="22">
        <f t="shared" si="75"/>
        <v>4.1227854036477023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>
        <f>FE74*VLOOKUP('Données projet'!$B$16,Paramètres!$A$1:$I$89,3,0)*VLOOKUP('Données projet'!$B$16,Paramètres!$A$1:$I$89,5,0)</f>
        <v>0</v>
      </c>
      <c r="FG74" s="13" t="e">
        <f t="shared" si="101"/>
        <v>#NUM!</v>
      </c>
      <c r="FH74" s="20" t="e">
        <f t="shared" si="76"/>
        <v>#NUM!</v>
      </c>
      <c r="FI74" s="59" t="e">
        <f t="shared" si="77"/>
        <v>#NUM!</v>
      </c>
      <c r="FJ74" s="59">
        <f ca="1">AVERAGE(OFFSET($FI$3,0,0,'Données projet'!$E$16+1,1))-AVERAGE(OFFSET($H$3,0,0,'Données projet'!$E$16+1,1))</f>
        <v>168.08890945052406</v>
      </c>
      <c r="FK74" s="59">
        <f t="shared" si="102"/>
        <v>182.52462557642343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2.7581303054898365</v>
      </c>
      <c r="FR74" s="21">
        <f>EXP(-LN(2)/25)*FR73+(1-EXP(-LN(2)/25))/(LN(2)/25)*Calculateur!FM74*Calculateur!FO74*VLOOKUP('Données projet'!$B$16,Paramètres!$A$1:$I$89,3,0)*0.475*44/12</f>
        <v>3.9564434054897162</v>
      </c>
      <c r="FS74" s="21">
        <f>EXP(-LN(2)/2)*FS73+(1-EXP(-LN(2)/2))/(LN(2)/2)*FM74*FP74*VLOOKUP('Données projet'!$B$16,Paramètres!$A$1:$I$89,3,0)*0.475*44/12</f>
        <v>3.6723003444325572E-6</v>
      </c>
      <c r="FT74" s="22">
        <f t="shared" si="78"/>
        <v>6.7145773832798969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6.75</v>
      </c>
      <c r="FZ74" s="12">
        <f>IF('Données projet'!$A$244&gt;35,FZ73+FY74-GH73,IF(A74&lt;'Données projet'!$A$244,$FW$205^A74,IF(A74='Données projet'!$A$244,'Données projet'!$B$244,FZ73+FY74-GH73)))</f>
        <v>398.74999999999994</v>
      </c>
      <c r="GA74" s="17">
        <f>FZ74*VLOOKUP('Données projet'!$B$17,Paramètres!$A$1:$I$89,3,0)*VLOOKUP('Données projet'!$B$17,Paramètres!$A$1:$I$89,5,0)</f>
        <v>228.08499999999998</v>
      </c>
      <c r="GB74" s="13">
        <f t="shared" si="103"/>
        <v>55.868412485747712</v>
      </c>
      <c r="GC74" s="20">
        <f t="shared" si="79"/>
        <v>494.55219341267713</v>
      </c>
      <c r="GD74" s="59">
        <f t="shared" si="80"/>
        <v>787.88552674601044</v>
      </c>
      <c r="GE74" s="59">
        <f ca="1">AVERAGE(OFFSET($GD$3,0,0,'Données projet'!$E$17+1,1))-AVERAGE(OFFSET($H$3,0,0,'Données projet'!$E$17+1,1))</f>
        <v>196.95560009657527</v>
      </c>
      <c r="GF74" s="59">
        <f t="shared" si="104"/>
        <v>168.90186968005662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0</v>
      </c>
      <c r="GM74" s="21">
        <f>EXP(-LN(2)/25)*GM73+(1-EXP(-LN(2)/25))/(LN(2)/25)*Calculateur!GH74*Calculateur!GJ74*VLOOKUP('Données projet'!$B$17,Paramètres!$A$1:$I$89,3,0)*0.475*44/12</f>
        <v>2.9618065369958102</v>
      </c>
      <c r="GN74" s="21">
        <f>EXP(-LN(2)/2)*GN73+(1-EXP(-LN(2)/2))/(LN(2)/2)*GH74*GK74*VLOOKUP('Données projet'!$B$17,Paramètres!$A$1:$I$89,3,0)*0.475*44/12</f>
        <v>8.6718512116030367E-6</v>
      </c>
      <c r="GO74" s="21">
        <f t="shared" si="81"/>
        <v>2.961815208847022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17</v>
      </c>
      <c r="N75" s="13">
        <f>IF('Données projet'!$A$36&gt;35,N74+M75-V74,IF(A75&lt;'Données projet'!$A$36,$K$205^A75,IF(A75='Données projet'!$A$36,'Données projet'!$B$36,N74+M75-V74)))</f>
        <v>396.99999999999989</v>
      </c>
      <c r="O75" s="13">
        <f>N75*VLOOKUP('Données projet'!$B$9,Paramètres!$A$1:$I$89,3,0)*VLOOKUP('Données projet'!$B$9,Paramètres!$A$1:$I$89,5,0)</f>
        <v>185.79599999999996</v>
      </c>
      <c r="P75" s="13">
        <f t="shared" si="87"/>
        <v>46.60930127448345</v>
      </c>
      <c r="Q75" s="20">
        <f t="shared" si="54"/>
        <v>404.77256638639187</v>
      </c>
      <c r="R75" s="59">
        <f t="shared" si="55"/>
        <v>698.10589971972513</v>
      </c>
      <c r="S75" s="59">
        <f ca="1">AVERAGE(OFFSET($R$3,0,0,'Données projet'!$E$9+1,1))-AVERAGE(OFFSET($H$3,0,0,'Données projet'!$E$9+1,1))</f>
        <v>215.23235148064941</v>
      </c>
      <c r="T75" s="59">
        <f t="shared" si="88"/>
        <v>184.07239726900434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1.3644058895813205</v>
      </c>
      <c r="AA75" s="21">
        <f>EXP(-LN(2)/25)*AA74+(1-EXP(-LN(2)/25))/(LN(2)/25)*Calculateur!V75*Calculateur!X75*VLOOKUP('Données projet'!$B$9,Paramètres!$A$1:$I$89,3,0)*0.475*44/12</f>
        <v>2.4515540322243532</v>
      </c>
      <c r="AB75" s="21">
        <f>EXP(-LN(2)/2)*AB74+(1-EXP(-LN(2)/2))/(LN(2)/2)*V75*Y75*VLOOKUP('Données projet'!$B$9,Paramètres!$A$1:$I$89,3,0)*0.475*44/12</f>
        <v>4.6883470918159446E-6</v>
      </c>
      <c r="AC75" s="22">
        <f t="shared" si="57"/>
        <v>3.8159646101527658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3.1</v>
      </c>
      <c r="AI75" s="13">
        <f>IF('Données projet'!$A$62&gt;35,AI74+AH75-AQ74,IF(A75&lt;'Données projet'!$A$62,$AF$205^A75,IF(A75='Données projet'!$A$62,'Données projet'!$B$62,AI74+AH75-AQ74)))</f>
        <v>259.19999999999987</v>
      </c>
      <c r="AJ75" s="13">
        <f>AI75*VLOOKUP('Données projet'!$B$10,Paramètres!$A$1:$I$89,3,0)*VLOOKUP('Données projet'!$B$10,Paramètres!$A$1:$I$89,5,0)</f>
        <v>190.04543999999993</v>
      </c>
      <c r="AK75" s="13">
        <f t="shared" si="89"/>
        <v>47.549998850241536</v>
      </c>
      <c r="AL75" s="20">
        <f t="shared" si="58"/>
        <v>413.81205599750388</v>
      </c>
      <c r="AM75" s="59">
        <f t="shared" si="59"/>
        <v>707.14538933083713</v>
      </c>
      <c r="AN75" s="59">
        <f ca="1">AVERAGE(OFFSET($AM$3,0,0,'Données projet'!$E$10+1,1))-AVERAGE(OFFSET($H$3,0,0,'Données projet'!$E$10+1,1))</f>
        <v>178.12968684094687</v>
      </c>
      <c r="AO75" s="59">
        <f t="shared" si="90"/>
        <v>219.36004077210373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2.3994334949754812</v>
      </c>
      <c r="AW75" s="21">
        <f>EXP(-LN(2)/2)*AW74+(1-EXP(-LN(2)/2))/(LN(2)/2)*AQ75*AT75*VLOOKUP('Données projet'!$B$10,Paramètres!$A$1:$I$89,3,0)*0.475*44/12</f>
        <v>4.7290394771926533E-6</v>
      </c>
      <c r="AX75" s="21">
        <f t="shared" si="60"/>
        <v>2.3994382240149585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2.4</v>
      </c>
      <c r="BD75" s="12">
        <f>IF('Données projet'!$A$88&gt;35,BD74+BC75-BL74,IF(A75&lt;'Données projet'!$A$88,$BA$205^A75,IF(A75='Données projet'!$A$88,'Données projet'!$B$88,BD74+BC75-BL74)))</f>
        <v>138.79999999999984</v>
      </c>
      <c r="BE75" s="13">
        <f>BD75*VLOOKUP('Données projet'!$B$11,Paramètres!$A$1:$I$89,3,0)*VLOOKUP('Données projet'!$B$11,Paramètres!$A$1:$I$89,5,0)</f>
        <v>121.25567999999988</v>
      </c>
      <c r="BF75" s="13">
        <f t="shared" si="91"/>
        <v>31.967688366969799</v>
      </c>
      <c r="BG75" s="20">
        <f t="shared" si="61"/>
        <v>266.86403323913885</v>
      </c>
      <c r="BH75" s="59">
        <f t="shared" si="62"/>
        <v>560.19736657247222</v>
      </c>
      <c r="BI75" s="59">
        <f ca="1">AVERAGE(OFFSET($BH$3,0,0,'Données projet'!$E$11+1,1))-AVERAGE(OFFSET($H$3,0,0,'Données projet'!$E$11+1,1))</f>
        <v>114.02623091248347</v>
      </c>
      <c r="BJ75" s="59">
        <f t="shared" si="92"/>
        <v>185.51554083721635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0.8495521718231086</v>
      </c>
      <c r="BQ75" s="21">
        <f>EXP(-LN(2)/25)*BQ74+(1-EXP(-LN(2)/25))/(LN(2)/25)*Calculateur!BL75*Calculateur!BN75*VLOOKUP('Données projet'!$B$11,Paramètres!$A$1:$I$89,3,0)*0.475*44/12</f>
        <v>3.5128428998462025</v>
      </c>
      <c r="BR75" s="21">
        <f>EXP(-LN(2)/2)*BR74+(1-EXP(-LN(2)/2))/(LN(2)/2)*BL75*BO75*VLOOKUP('Données projet'!$B$11,Paramètres!$A$1:$I$89,3,0)*0.475*44/12</f>
        <v>8.4110610054132095E-6</v>
      </c>
      <c r="BS75" s="22">
        <f t="shared" si="63"/>
        <v>4.3624034827303158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6.1</v>
      </c>
      <c r="BY75" s="12">
        <f>IF('Données projet'!$A$114&gt;35,BY74+BX75-CG74,IF(A75&lt;'Données projet'!$A$114,$BV$205^A75,IF(A75='Données projet'!$A$114,'Données projet'!$B$114,BY74+BX75-CG74)))</f>
        <v>233.20000000000019</v>
      </c>
      <c r="BZ75" s="13">
        <f>BY75*VLOOKUP('Données projet'!$B$12,Paramètres!$A$1:$I$89,3,0)*VLOOKUP('Données projet'!$B$12,Paramètres!$A$1:$I$89,5,0)</f>
        <v>210.99936000000014</v>
      </c>
      <c r="CA75" s="13">
        <f t="shared" si="93"/>
        <v>52.153910623486667</v>
      </c>
      <c r="CB75" s="20">
        <f t="shared" si="64"/>
        <v>458.32527966923953</v>
      </c>
      <c r="CC75" s="59">
        <f t="shared" si="65"/>
        <v>751.65861300257279</v>
      </c>
      <c r="CD75" s="59">
        <f ca="1">AVERAGE(OFFSET($CC$3,0,0,'Données projet'!$E$12+1,1))-AVERAGE(OFFSET($H$3,0,0,'Données projet'!$E$12+1,1))</f>
        <v>237.22177246688199</v>
      </c>
      <c r="CE75" s="59">
        <f t="shared" si="94"/>
        <v>149.27472147904302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0.9693093759296999</v>
      </c>
      <c r="CM75" s="21">
        <f>EXP(-LN(2)/2)*CM74+(1-EXP(-LN(2)/2))/(LN(2)/2)*CG75*CJ75*VLOOKUP('Données projet'!$B$12,Paramètres!$A$1:$I$89,3,0)*0.475*44/12</f>
        <v>2.9513110420362603E-6</v>
      </c>
      <c r="CN75" s="22">
        <f t="shared" si="66"/>
        <v>0.9693123272407419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10.4</v>
      </c>
      <c r="CT75" s="12">
        <f>IF('Données projet'!$A$140&gt;35,CT74+CS75-DB74,IF(A75&lt;'Données projet'!$A$140,$CQ$205^A75,IF(A75='Données projet'!$A$140,'Données projet'!$B$140,CT74+CS75-DB74)))</f>
        <v>567.79999999999961</v>
      </c>
      <c r="CU75" s="17">
        <f>CT75*VLOOKUP('Données projet'!$B$13,Paramètres!$A$1:$I$89,3,0)*VLOOKUP('Données projet'!$B$13,Paramètres!$A$1:$I$89,5,0)</f>
        <v>317.40019999999976</v>
      </c>
      <c r="CV75" s="13">
        <f t="shared" si="95"/>
        <v>74.812158158961168</v>
      </c>
      <c r="CW75" s="20">
        <f t="shared" si="67"/>
        <v>683.10319046019015</v>
      </c>
      <c r="CX75" s="59">
        <f t="shared" si="68"/>
        <v>976.43652379352352</v>
      </c>
      <c r="CY75" s="59">
        <f ca="1">AVERAGE(OFFSET($CX$3,0,0,'Données projet'!$E$13+1,1))-AVERAGE(OFFSET($H$3,0,0,'Données projet'!$E$13+1,1))</f>
        <v>326.31232746914907</v>
      </c>
      <c r="CZ75" s="59">
        <f t="shared" si="96"/>
        <v>330.17137761430297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1.9883135936285541</v>
      </c>
      <c r="DG75" s="21">
        <f>EXP(-LN(2)/25)*DG74+(1-EXP(-LN(2)/25))/(LN(2)/25)*Calculateur!DB75*Calculateur!DD75*VLOOKUP('Données projet'!$B$13,Paramètres!$A$1:$I$89,3,0)*0.475*44/12</f>
        <v>9.4164532685102831</v>
      </c>
      <c r="DH75" s="21">
        <f>EXP(-LN(2)/2)*DH74+(1-EXP(-LN(2)/2))/(LN(2)/2)*DB75*DE75*VLOOKUP('Données projet'!$B$13,Paramètres!$A$1:$I$89,3,0)*0.475*44/12</f>
        <v>1.5507740197389241E-5</v>
      </c>
      <c r="DI75" s="22">
        <f t="shared" si="69"/>
        <v>11.404782369879035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5.0999999999999996</v>
      </c>
      <c r="DO75" s="12">
        <f>IF('Données projet'!$A$166&gt;35,DO74+DN75-DW74,IF(A75&lt;'Données projet'!$A$166,$DL$205^A75,IF(A75='Données projet'!$A$166,'Données projet'!$B$166,DO74+DN75-DW74)))</f>
        <v>346.20000000000044</v>
      </c>
      <c r="DP75" s="17">
        <f>DO75*VLOOKUP('Données projet'!$B$14,Paramètres!$A$1:$I$89,3,0)*VLOOKUP('Données projet'!$B$14,Paramètres!$A$1:$I$89,5,0)</f>
        <v>216.02880000000027</v>
      </c>
      <c r="DQ75" s="13">
        <f t="shared" si="97"/>
        <v>53.25085210905786</v>
      </c>
      <c r="DR75" s="20">
        <f t="shared" si="70"/>
        <v>468.99539408994292</v>
      </c>
      <c r="DS75" s="59">
        <f t="shared" si="71"/>
        <v>762.32872742327618</v>
      </c>
      <c r="DT75" s="59">
        <f ca="1">AVERAGE(OFFSET($DS$3,0,0,'Données projet'!$E$14+1,1))-AVERAGE(OFFSET($H$3,0,0,'Données projet'!$E$14+1,1))</f>
        <v>209.93608079129638</v>
      </c>
      <c r="DU75" s="59">
        <f t="shared" si="98"/>
        <v>240.15652428700969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3.0266084300476899</v>
      </c>
      <c r="EB75" s="21">
        <f>EXP(-LN(2)/25)*EB74+(1-EXP(-LN(2)/25))/(LN(2)/25)*Calculateur!DW75*Calculateur!DY75*VLOOKUP('Données projet'!$B$14,Paramètres!$A$1:$I$89,3,0)*0.475*44/12</f>
        <v>6.4875452939232447</v>
      </c>
      <c r="EC75" s="21">
        <f>EXP(-LN(2)/2)*EC74+(1-EXP(-LN(2)/2))/(LN(2)/2)*DW75*DZ75*VLOOKUP('Données projet'!$B$14,Paramètres!$A$1:$I$89,3,0)*0.475*44/12</f>
        <v>9.627731086595108E-6</v>
      </c>
      <c r="ED75" s="22">
        <f t="shared" si="72"/>
        <v>9.5141633517020221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7.2</v>
      </c>
      <c r="EJ75" s="12">
        <f>IF('Données projet'!$A$192&gt;35,EJ74+EI75-ER74,IF(A75&lt;'Données projet'!$A$192,$EG$205^A75,IF(A75='Données projet'!$A$192,'Données projet'!$B$192,EJ74+EI75-ER74)))</f>
        <v>392.39999999999964</v>
      </c>
      <c r="EK75" s="17">
        <f>EJ75*VLOOKUP('Données projet'!$B$15,Paramètres!$A$1:$I$89,3,0)*VLOOKUP('Données projet'!$B$15,Paramètres!$A$1:$I$89,5,0)</f>
        <v>234.65519999999981</v>
      </c>
      <c r="EL75" s="13">
        <f t="shared" si="99"/>
        <v>57.288067746850942</v>
      </c>
      <c r="EM75" s="20">
        <f t="shared" si="73"/>
        <v>508.46785799243179</v>
      </c>
      <c r="EN75" s="59">
        <f t="shared" si="74"/>
        <v>801.8011913257651</v>
      </c>
      <c r="EO75" s="59">
        <f ca="1">AVERAGE(OFFSET($EN$3,0,0,'Données projet'!$E$15+1,1))-AVERAGE(OFFSET($H$3,0,0,'Données projet'!$E$15+1,1))</f>
        <v>216.94426559495264</v>
      </c>
      <c r="EP75" s="59">
        <f t="shared" si="100"/>
        <v>225.33715877618704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</v>
      </c>
      <c r="EW75" s="21">
        <f>EXP(-LN(2)/25)*EW74+(1-EXP(-LN(2)/25))/(LN(2)/25)*Calculateur!ER75*Calculateur!ET75*VLOOKUP('Données projet'!$B$15,Paramètres!$A$1:$I$89,3,0)*0.475*44/12</f>
        <v>4.0100320556656737</v>
      </c>
      <c r="EX75" s="21">
        <f>EXP(-LN(2)/2)*EX74+(1-EXP(-LN(2)/2))/(LN(2)/2)*ER75*EU75*VLOOKUP('Données projet'!$B$15,Paramètres!$A$1:$I$89,3,0)*0.475*44/12</f>
        <v>1.1315040528211103E-5</v>
      </c>
      <c r="EY75" s="22">
        <f t="shared" si="75"/>
        <v>4.0100433707062022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>
        <f>FE75*VLOOKUP('Données projet'!$B$16,Paramètres!$A$1:$I$89,3,0)*VLOOKUP('Données projet'!$B$16,Paramètres!$A$1:$I$89,5,0)</f>
        <v>0</v>
      </c>
      <c r="FG75" s="13" t="e">
        <f t="shared" si="101"/>
        <v>#NUM!</v>
      </c>
      <c r="FH75" s="20" t="e">
        <f t="shared" si="76"/>
        <v>#NUM!</v>
      </c>
      <c r="FI75" s="59" t="e">
        <f t="shared" si="77"/>
        <v>#NUM!</v>
      </c>
      <c r="FJ75" s="59">
        <f ca="1">AVERAGE(OFFSET($FI$3,0,0,'Données projet'!$E$16+1,1))-AVERAGE(OFFSET($H$3,0,0,'Données projet'!$E$16+1,1))</f>
        <v>168.08890945052406</v>
      </c>
      <c r="FK75" s="59">
        <f t="shared" si="102"/>
        <v>182.52462557642343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2.7040450524925546</v>
      </c>
      <c r="FR75" s="21">
        <f>EXP(-LN(2)/25)*FR74+(1-EXP(-LN(2)/25))/(LN(2)/25)*Calculateur!FM75*Calculateur!FO75*VLOOKUP('Données projet'!$B$16,Paramètres!$A$1:$I$89,3,0)*0.475*44/12</f>
        <v>3.8482542525062837</v>
      </c>
      <c r="FS75" s="21">
        <f>EXP(-LN(2)/2)*FS74+(1-EXP(-LN(2)/2))/(LN(2)/2)*FM75*FP75*VLOOKUP('Données projet'!$B$16,Paramètres!$A$1:$I$89,3,0)*0.475*44/12</f>
        <v>2.5967084761019555E-6</v>
      </c>
      <c r="FT75" s="22">
        <f t="shared" si="78"/>
        <v>6.5523019017073141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6.75</v>
      </c>
      <c r="FZ75" s="12">
        <f>IF('Données projet'!$A$244&gt;35,FZ74+FY75-GH74,IF(A75&lt;'Données projet'!$A$244,$FW$205^A75,IF(A75='Données projet'!$A$244,'Données projet'!$B$244,FZ74+FY75-GH74)))</f>
        <v>405.49999999999994</v>
      </c>
      <c r="GA75" s="17">
        <f>FZ75*VLOOKUP('Données projet'!$B$17,Paramètres!$A$1:$I$89,3,0)*VLOOKUP('Données projet'!$B$17,Paramètres!$A$1:$I$89,5,0)</f>
        <v>231.946</v>
      </c>
      <c r="GB75" s="13">
        <f t="shared" si="103"/>
        <v>56.703245681093705</v>
      </c>
      <c r="GC75" s="20">
        <f t="shared" si="79"/>
        <v>502.73076956123822</v>
      </c>
      <c r="GD75" s="59">
        <f t="shared" si="80"/>
        <v>796.06410289457153</v>
      </c>
      <c r="GE75" s="59">
        <f ca="1">AVERAGE(OFFSET($GD$3,0,0,'Données projet'!$E$17+1,1))-AVERAGE(OFFSET($H$3,0,0,'Données projet'!$E$17+1,1))</f>
        <v>196.95560009657527</v>
      </c>
      <c r="GF75" s="59">
        <f t="shared" si="104"/>
        <v>168.90186968005662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0</v>
      </c>
      <c r="GM75" s="21">
        <f>EXP(-LN(2)/25)*GM74+(1-EXP(-LN(2)/25))/(LN(2)/25)*Calculateur!GH75*Calculateur!GJ75*VLOOKUP('Données projet'!$B$17,Paramètres!$A$1:$I$89,3,0)*0.475*44/12</f>
        <v>2.8808157814870232</v>
      </c>
      <c r="GN75" s="21">
        <f>EXP(-LN(2)/2)*GN74+(1-EXP(-LN(2)/2))/(LN(2)/2)*GH75*GK75*VLOOKUP('Données projet'!$B$17,Paramètres!$A$1:$I$89,3,0)*0.475*44/12</f>
        <v>6.1319247971652855E-6</v>
      </c>
      <c r="GO75" s="21">
        <f t="shared" si="81"/>
        <v>2.8808219134118205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17</v>
      </c>
      <c r="N76" s="13">
        <f>IF('Données projet'!$A$36&gt;35,N75+M76-V75,IF(A76&lt;'Données projet'!$A$36,$K$205^A76,IF(A76='Données projet'!$A$36,'Données projet'!$B$36,N75+M76-V75)))</f>
        <v>413.99999999999989</v>
      </c>
      <c r="O76" s="13">
        <f>N76*VLOOKUP('Données projet'!$B$9,Paramètres!$A$1:$I$89,3,0)*VLOOKUP('Données projet'!$B$9,Paramètres!$A$1:$I$89,5,0)</f>
        <v>193.75199999999995</v>
      </c>
      <c r="P76" s="13">
        <f t="shared" si="87"/>
        <v>48.36852035537607</v>
      </c>
      <c r="Q76" s="20">
        <f t="shared" si="54"/>
        <v>421.69323961894656</v>
      </c>
      <c r="R76" s="59">
        <f t="shared" si="55"/>
        <v>715.02657295227982</v>
      </c>
      <c r="S76" s="59">
        <f ca="1">AVERAGE(OFFSET($R$3,0,0,'Données projet'!$E$9+1,1))-AVERAGE(OFFSET($H$3,0,0,'Données projet'!$E$9+1,1))</f>
        <v>215.23235148064941</v>
      </c>
      <c r="T76" s="59">
        <f t="shared" si="88"/>
        <v>184.07239726900434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1.33765072229205</v>
      </c>
      <c r="AA76" s="21">
        <f>EXP(-LN(2)/25)*AA75+(1-EXP(-LN(2)/25))/(LN(2)/25)*Calculateur!V76*Calculateur!X76*VLOOKUP('Données projet'!$B$9,Paramètres!$A$1:$I$89,3,0)*0.475*44/12</f>
        <v>2.3845161582915546</v>
      </c>
      <c r="AB76" s="21">
        <f>EXP(-LN(2)/2)*AB75+(1-EXP(-LN(2)/2))/(LN(2)/2)*V76*Y76*VLOOKUP('Données projet'!$B$9,Paramètres!$A$1:$I$89,3,0)*0.475*44/12</f>
        <v>3.3151620211792836E-6</v>
      </c>
      <c r="AC76" s="22">
        <f t="shared" si="57"/>
        <v>3.7221701957456261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3.1</v>
      </c>
      <c r="AI76" s="13">
        <f>IF('Données projet'!$A$62&gt;35,AI75+AH76-AQ75,IF(A76&lt;'Données projet'!$A$62,$AF$205^A76,IF(A76='Données projet'!$A$62,'Données projet'!$B$62,AI75+AH76-AQ75)))</f>
        <v>262.2999999999999</v>
      </c>
      <c r="AJ76" s="13">
        <f>AI76*VLOOKUP('Données projet'!$B$10,Paramètres!$A$1:$I$89,3,0)*VLOOKUP('Données projet'!$B$10,Paramètres!$A$1:$I$89,5,0)</f>
        <v>192.31835999999993</v>
      </c>
      <c r="AK76" s="13">
        <f t="shared" si="89"/>
        <v>48.052146980733127</v>
      </c>
      <c r="AL76" s="20">
        <f t="shared" si="58"/>
        <v>418.6452996581101</v>
      </c>
      <c r="AM76" s="59">
        <f t="shared" si="59"/>
        <v>711.97863299144342</v>
      </c>
      <c r="AN76" s="59">
        <f ca="1">AVERAGE(OFFSET($AM$3,0,0,'Données projet'!$E$10+1,1))-AVERAGE(OFFSET($H$3,0,0,'Données projet'!$E$10+1,1))</f>
        <v>178.12968684094687</v>
      </c>
      <c r="AO76" s="59">
        <f t="shared" si="90"/>
        <v>219.36004077210373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2.333820859874653</v>
      </c>
      <c r="AW76" s="21">
        <f>EXP(-LN(2)/2)*AW75+(1-EXP(-LN(2)/2))/(LN(2)/2)*AQ76*AT76*VLOOKUP('Données projet'!$B$10,Paramètres!$A$1:$I$89,3,0)*0.475*44/12</f>
        <v>3.3439358828218106E-6</v>
      </c>
      <c r="AX76" s="21">
        <f t="shared" si="60"/>
        <v>2.3338242038105359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2.4</v>
      </c>
      <c r="BD76" s="12">
        <f>IF('Données projet'!$A$88&gt;35,BD75+BC76-BL75,IF(A76&lt;'Données projet'!$A$88,$BA$205^A76,IF(A76='Données projet'!$A$88,'Données projet'!$B$88,BD75+BC76-BL75)))</f>
        <v>141.19999999999985</v>
      </c>
      <c r="BE76" s="13">
        <f>BD76*VLOOKUP('Données projet'!$B$11,Paramètres!$A$1:$I$89,3,0)*VLOOKUP('Données projet'!$B$11,Paramètres!$A$1:$I$89,5,0)</f>
        <v>123.35231999999988</v>
      </c>
      <c r="BF76" s="13">
        <f t="shared" si="91"/>
        <v>32.455614677489827</v>
      </c>
      <c r="BG76" s="20">
        <f t="shared" si="61"/>
        <v>271.36548622996116</v>
      </c>
      <c r="BH76" s="59">
        <f t="shared" si="62"/>
        <v>564.69881956329448</v>
      </c>
      <c r="BI76" s="59">
        <f ca="1">AVERAGE(OFFSET($BH$3,0,0,'Données projet'!$E$11+1,1))-AVERAGE(OFFSET($H$3,0,0,'Données projet'!$E$11+1,1))</f>
        <v>114.02623091248347</v>
      </c>
      <c r="BJ76" s="59">
        <f t="shared" si="92"/>
        <v>185.51554083721635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0.83289297190931666</v>
      </c>
      <c r="BQ76" s="21">
        <f>EXP(-LN(2)/25)*BQ75+(1-EXP(-LN(2)/25))/(LN(2)/25)*Calculateur!BL76*Calculateur!BN76*VLOOKUP('Données projet'!$B$11,Paramètres!$A$1:$I$89,3,0)*0.475*44/12</f>
        <v>3.4167840260175288</v>
      </c>
      <c r="BR76" s="21">
        <f>EXP(-LN(2)/2)*BR75+(1-EXP(-LN(2)/2))/(LN(2)/2)*BL76*BO76*VLOOKUP('Données projet'!$B$11,Paramètres!$A$1:$I$89,3,0)*0.475*44/12</f>
        <v>5.9475182739014209E-6</v>
      </c>
      <c r="BS76" s="22">
        <f t="shared" si="63"/>
        <v>4.2496829454451195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6.1</v>
      </c>
      <c r="BY76" s="12">
        <f>IF('Données projet'!$A$114&gt;35,BY75+BX76-CG75,IF(A76&lt;'Données projet'!$A$114,$BV$205^A76,IF(A76='Données projet'!$A$114,'Données projet'!$B$114,BY75+BX76-CG75)))</f>
        <v>239.30000000000018</v>
      </c>
      <c r="BZ76" s="13">
        <f>BY76*VLOOKUP('Données projet'!$B$12,Paramètres!$A$1:$I$89,3,0)*VLOOKUP('Données projet'!$B$12,Paramètres!$A$1:$I$89,5,0)</f>
        <v>216.51864000000015</v>
      </c>
      <c r="CA76" s="13">
        <f t="shared" si="93"/>
        <v>53.357528323079173</v>
      </c>
      <c r="CB76" s="20">
        <f t="shared" si="64"/>
        <v>470.03432649602973</v>
      </c>
      <c r="CC76" s="59">
        <f t="shared" si="65"/>
        <v>763.36765982936299</v>
      </c>
      <c r="CD76" s="59">
        <f ca="1">AVERAGE(OFFSET($CC$3,0,0,'Données projet'!$E$12+1,1))-AVERAGE(OFFSET($H$3,0,0,'Données projet'!$E$12+1,1))</f>
        <v>237.22177246688199</v>
      </c>
      <c r="CE76" s="59">
        <f t="shared" si="94"/>
        <v>149.27472147904302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0.94280356007113753</v>
      </c>
      <c r="CM76" s="21">
        <f>EXP(-LN(2)/2)*CM75+(1-EXP(-LN(2)/2))/(LN(2)/2)*CG76*CJ76*VLOOKUP('Données projet'!$B$12,Paramètres!$A$1:$I$89,3,0)*0.475*44/12</f>
        <v>2.0868920512145754E-6</v>
      </c>
      <c r="CN76" s="22">
        <f t="shared" si="66"/>
        <v>0.94280564696318869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10.4</v>
      </c>
      <c r="CT76" s="12">
        <f>IF('Données projet'!$A$140&gt;35,CT75+CS76-DB75,IF(A76&lt;'Données projet'!$A$140,$CQ$205^A76,IF(A76='Données projet'!$A$140,'Données projet'!$B$140,CT75+CS76-DB75)))</f>
        <v>578.19999999999959</v>
      </c>
      <c r="CU76" s="17">
        <f>CT76*VLOOKUP('Données projet'!$B$13,Paramètres!$A$1:$I$89,3,0)*VLOOKUP('Données projet'!$B$13,Paramètres!$A$1:$I$89,5,0)</f>
        <v>323.21379999999982</v>
      </c>
      <c r="CV76" s="13">
        <f t="shared" si="95"/>
        <v>76.021657849237485</v>
      </c>
      <c r="CW76" s="20">
        <f t="shared" si="67"/>
        <v>695.33508908742158</v>
      </c>
      <c r="CX76" s="59">
        <f t="shared" si="68"/>
        <v>988.66842242075495</v>
      </c>
      <c r="CY76" s="59">
        <f ca="1">AVERAGE(OFFSET($CX$3,0,0,'Données projet'!$E$13+1,1))-AVERAGE(OFFSET($H$3,0,0,'Données projet'!$E$13+1,1))</f>
        <v>326.31232746914907</v>
      </c>
      <c r="CZ76" s="59">
        <f t="shared" si="96"/>
        <v>330.17137761430297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1.9493239768090409</v>
      </c>
      <c r="DG76" s="21">
        <f>EXP(-LN(2)/25)*DG75+(1-EXP(-LN(2)/25))/(LN(2)/25)*Calculateur!DB76*Calculateur!DD76*VLOOKUP('Données projet'!$B$13,Paramètres!$A$1:$I$89,3,0)*0.475*44/12</f>
        <v>9.1589598586931142</v>
      </c>
      <c r="DH76" s="21">
        <f>EXP(-LN(2)/2)*DH75+(1-EXP(-LN(2)/2))/(LN(2)/2)*DB76*DE76*VLOOKUP('Données projet'!$B$13,Paramètres!$A$1:$I$89,3,0)*0.475*44/12</f>
        <v>1.0965628254453141E-5</v>
      </c>
      <c r="DI76" s="22">
        <f t="shared" si="69"/>
        <v>11.108294801130409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5.0999999999999996</v>
      </c>
      <c r="DO76" s="12">
        <f>IF('Données projet'!$A$166&gt;35,DO75+DN76-DW75,IF(A76&lt;'Données projet'!$A$166,$DL$205^A76,IF(A76='Données projet'!$A$166,'Données projet'!$B$166,DO75+DN76-DW75)))</f>
        <v>351.30000000000047</v>
      </c>
      <c r="DP76" s="17">
        <f>DO76*VLOOKUP('Données projet'!$B$14,Paramètres!$A$1:$I$89,3,0)*VLOOKUP('Données projet'!$B$14,Paramètres!$A$1:$I$89,5,0)</f>
        <v>219.2112000000003</v>
      </c>
      <c r="DQ76" s="13">
        <f t="shared" si="97"/>
        <v>53.943408114730026</v>
      </c>
      <c r="DR76" s="20">
        <f t="shared" si="70"/>
        <v>475.74427579982193</v>
      </c>
      <c r="DS76" s="59">
        <f t="shared" si="71"/>
        <v>769.07760913315519</v>
      </c>
      <c r="DT76" s="59">
        <f ca="1">AVERAGE(OFFSET($DS$3,0,0,'Données projet'!$E$14+1,1))-AVERAGE(OFFSET($H$3,0,0,'Données projet'!$E$14+1,1))</f>
        <v>209.93608079129638</v>
      </c>
      <c r="DU76" s="59">
        <f t="shared" si="98"/>
        <v>240.15652428700969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2.967258484783315</v>
      </c>
      <c r="EB76" s="21">
        <f>EXP(-LN(2)/25)*EB75+(1-EXP(-LN(2)/25))/(LN(2)/25)*Calculateur!DW76*Calculateur!DY76*VLOOKUP('Données projet'!$B$14,Paramètres!$A$1:$I$89,3,0)*0.475*44/12</f>
        <v>6.3101430266957337</v>
      </c>
      <c r="EC76" s="21">
        <f>EXP(-LN(2)/2)*EC75+(1-EXP(-LN(2)/2))/(LN(2)/2)*DW76*DZ76*VLOOKUP('Données projet'!$B$14,Paramètres!$A$1:$I$89,3,0)*0.475*44/12</f>
        <v>6.8078339387719286E-6</v>
      </c>
      <c r="ED76" s="22">
        <f t="shared" si="72"/>
        <v>9.2774083193129879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7.2</v>
      </c>
      <c r="EJ76" s="12">
        <f>IF('Données projet'!$A$192&gt;35,EJ75+EI76-ER75,IF(A76&lt;'Données projet'!$A$192,$EG$205^A76,IF(A76='Données projet'!$A$192,'Données projet'!$B$192,EJ75+EI76-ER75)))</f>
        <v>399.59999999999962</v>
      </c>
      <c r="EK76" s="17">
        <f>EJ76*VLOOKUP('Données projet'!$B$15,Paramètres!$A$1:$I$89,3,0)*VLOOKUP('Données projet'!$B$15,Paramètres!$A$1:$I$89,5,0)</f>
        <v>238.96079999999978</v>
      </c>
      <c r="EL76" s="13">
        <f t="shared" si="99"/>
        <v>58.215885103108292</v>
      </c>
      <c r="EM76" s="20">
        <f t="shared" si="73"/>
        <v>517.58272655457984</v>
      </c>
      <c r="EN76" s="59">
        <f t="shared" si="74"/>
        <v>810.91605988791321</v>
      </c>
      <c r="EO76" s="59">
        <f ca="1">AVERAGE(OFFSET($EN$3,0,0,'Données projet'!$E$15+1,1))-AVERAGE(OFFSET($H$3,0,0,'Données projet'!$E$15+1,1))</f>
        <v>216.94426559495264</v>
      </c>
      <c r="EP76" s="59">
        <f t="shared" si="100"/>
        <v>225.33715877618704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</v>
      </c>
      <c r="EW76" s="21">
        <f>EXP(-LN(2)/25)*EW75+(1-EXP(-LN(2)/25))/(LN(2)/25)*Calculateur!ER76*Calculateur!ET76*VLOOKUP('Données projet'!$B$15,Paramètres!$A$1:$I$89,3,0)*0.475*44/12</f>
        <v>3.9003775182250751</v>
      </c>
      <c r="EX76" s="21">
        <f>EXP(-LN(2)/2)*EX75+(1-EXP(-LN(2)/2))/(LN(2)/2)*ER76*EU76*VLOOKUP('Données projet'!$B$15,Paramètres!$A$1:$I$89,3,0)*0.475*44/12</f>
        <v>8.0009418868986855E-6</v>
      </c>
      <c r="EY76" s="22">
        <f t="shared" si="75"/>
        <v>3.9003855191669619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>
        <f>FE76*VLOOKUP('Données projet'!$B$16,Paramètres!$A$1:$I$89,3,0)*VLOOKUP('Données projet'!$B$16,Paramètres!$A$1:$I$89,5,0)</f>
        <v>0</v>
      </c>
      <c r="FG76" s="13" t="e">
        <f t="shared" si="101"/>
        <v>#NUM!</v>
      </c>
      <c r="FH76" s="20" t="e">
        <f t="shared" si="76"/>
        <v>#NUM!</v>
      </c>
      <c r="FI76" s="59" t="e">
        <f t="shared" si="77"/>
        <v>#NUM!</v>
      </c>
      <c r="FJ76" s="59">
        <f ca="1">AVERAGE(OFFSET($FI$3,0,0,'Données projet'!$E$16+1,1))-AVERAGE(OFFSET($H$3,0,0,'Données projet'!$E$16+1,1))</f>
        <v>168.08890945052406</v>
      </c>
      <c r="FK76" s="59">
        <f t="shared" si="102"/>
        <v>182.52462557642343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2.6510203783178024</v>
      </c>
      <c r="FR76" s="21">
        <f>EXP(-LN(2)/25)*FR75+(1-EXP(-LN(2)/25))/(LN(2)/25)*Calculateur!FM76*Calculateur!FO76*VLOOKUP('Données projet'!$B$16,Paramètres!$A$1:$I$89,3,0)*0.475*44/12</f>
        <v>3.7430235376006036</v>
      </c>
      <c r="FS76" s="21">
        <f>EXP(-LN(2)/2)*FS75+(1-EXP(-LN(2)/2))/(LN(2)/2)*FM76*FP76*VLOOKUP('Données projet'!$B$16,Paramètres!$A$1:$I$89,3,0)*0.475*44/12</f>
        <v>1.8361501722162788E-6</v>
      </c>
      <c r="FT76" s="22">
        <f t="shared" si="78"/>
        <v>6.3940457520685783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6.75</v>
      </c>
      <c r="FZ76" s="12">
        <f>IF('Données projet'!$A$244&gt;35,FZ75+FY76-GH75,IF(A76&lt;'Données projet'!$A$244,$FW$205^A76,IF(A76='Données projet'!$A$244,'Données projet'!$B$244,FZ75+FY76-GH75)))</f>
        <v>412.24999999999994</v>
      </c>
      <c r="GA76" s="17">
        <f>FZ76*VLOOKUP('Données projet'!$B$17,Paramètres!$A$1:$I$89,3,0)*VLOOKUP('Données projet'!$B$17,Paramètres!$A$1:$I$89,5,0)</f>
        <v>235.80699999999999</v>
      </c>
      <c r="GB76" s="13">
        <f t="shared" si="103"/>
        <v>57.536462784250709</v>
      </c>
      <c r="GC76" s="20">
        <f t="shared" si="79"/>
        <v>510.90653101590328</v>
      </c>
      <c r="GD76" s="59">
        <f t="shared" si="80"/>
        <v>804.23986434923654</v>
      </c>
      <c r="GE76" s="59">
        <f ca="1">AVERAGE(OFFSET($GD$3,0,0,'Données projet'!$E$17+1,1))-AVERAGE(OFFSET($H$3,0,0,'Données projet'!$E$17+1,1))</f>
        <v>196.95560009657527</v>
      </c>
      <c r="GF76" s="59">
        <f t="shared" si="104"/>
        <v>168.90186968005662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0</v>
      </c>
      <c r="GM76" s="21">
        <f>EXP(-LN(2)/25)*GM75+(1-EXP(-LN(2)/25))/(LN(2)/25)*Calculateur!GH76*Calculateur!GJ76*VLOOKUP('Données projet'!$B$17,Paramètres!$A$1:$I$89,3,0)*0.475*44/12</f>
        <v>2.8020397224467426</v>
      </c>
      <c r="GN76" s="21">
        <f>EXP(-LN(2)/2)*GN75+(1-EXP(-LN(2)/2))/(LN(2)/2)*GH76*GK76*VLOOKUP('Données projet'!$B$17,Paramètres!$A$1:$I$89,3,0)*0.475*44/12</f>
        <v>4.3359256058015184E-6</v>
      </c>
      <c r="GO76" s="21">
        <f t="shared" si="81"/>
        <v>2.8020440583723483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17</v>
      </c>
      <c r="N77" s="13">
        <f>IF('Données projet'!$A$36&gt;35,N76+M77-V76,IF(A77&lt;'Données projet'!$A$36,$K$205^A77,IF(A77='Données projet'!$A$36,'Données projet'!$B$36,N76+M77-V76)))</f>
        <v>430.99999999999989</v>
      </c>
      <c r="O77" s="13">
        <f>N77*VLOOKUP('Données projet'!$B$9,Paramètres!$A$1:$I$89,3,0)*VLOOKUP('Données projet'!$B$9,Paramètres!$A$1:$I$89,5,0)</f>
        <v>201.70799999999994</v>
      </c>
      <c r="P77" s="13">
        <f t="shared" si="87"/>
        <v>50.119348451854243</v>
      </c>
      <c r="Q77" s="20">
        <f t="shared" si="54"/>
        <v>438.59929855364607</v>
      </c>
      <c r="R77" s="59">
        <f t="shared" si="55"/>
        <v>731.93263188697938</v>
      </c>
      <c r="S77" s="59">
        <f ca="1">AVERAGE(OFFSET($R$3,0,0,'Données projet'!$E$9+1,1))-AVERAGE(OFFSET($H$3,0,0,'Données projet'!$E$9+1,1))</f>
        <v>215.23235148064941</v>
      </c>
      <c r="T77" s="59">
        <f t="shared" si="88"/>
        <v>184.07239726900434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1.3114202075142813</v>
      </c>
      <c r="AA77" s="21">
        <f>EXP(-LN(2)/25)*AA76+(1-EXP(-LN(2)/25))/(LN(2)/25)*Calculateur!V77*Calculateur!X77*VLOOKUP('Données projet'!$B$9,Paramètres!$A$1:$I$89,3,0)*0.475*44/12</f>
        <v>2.319311438546817</v>
      </c>
      <c r="AB77" s="21">
        <f>EXP(-LN(2)/2)*AB76+(1-EXP(-LN(2)/2))/(LN(2)/2)*V77*Y77*VLOOKUP('Données projet'!$B$9,Paramètres!$A$1:$I$89,3,0)*0.475*44/12</f>
        <v>2.3441735459079723E-6</v>
      </c>
      <c r="AC77" s="22">
        <f t="shared" si="57"/>
        <v>3.6307339902346443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3.1</v>
      </c>
      <c r="AI77" s="13">
        <f>IF('Données projet'!$A$62&gt;35,AI76+AH77-AQ76,IF(A77&lt;'Données projet'!$A$62,$AF$205^A77,IF(A77='Données projet'!$A$62,'Données projet'!$B$62,AI76+AH77-AQ76)))</f>
        <v>265.39999999999992</v>
      </c>
      <c r="AJ77" s="13">
        <f>AI77*VLOOKUP('Données projet'!$B$10,Paramètres!$A$1:$I$89,3,0)*VLOOKUP('Données projet'!$B$10,Paramètres!$A$1:$I$89,5,0)</f>
        <v>194.59127999999993</v>
      </c>
      <c r="AK77" s="13">
        <f t="shared" si="89"/>
        <v>48.553604775680185</v>
      </c>
      <c r="AL77" s="20">
        <f t="shared" si="58"/>
        <v>423.47734098430948</v>
      </c>
      <c r="AM77" s="59">
        <f t="shared" si="59"/>
        <v>716.81067431764279</v>
      </c>
      <c r="AN77" s="59">
        <f ca="1">AVERAGE(OFFSET($AM$3,0,0,'Données projet'!$E$10+1,1))-AVERAGE(OFFSET($H$3,0,0,'Données projet'!$E$10+1,1))</f>
        <v>178.12968684094687</v>
      </c>
      <c r="AO77" s="59">
        <f t="shared" si="90"/>
        <v>219.36004077210373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2.2700024057310757</v>
      </c>
      <c r="AW77" s="21">
        <f>EXP(-LN(2)/2)*AW76+(1-EXP(-LN(2)/2))/(LN(2)/2)*AQ77*AT77*VLOOKUP('Données projet'!$B$10,Paramètres!$A$1:$I$89,3,0)*0.475*44/12</f>
        <v>2.3645197385963267E-6</v>
      </c>
      <c r="AX77" s="21">
        <f t="shared" si="60"/>
        <v>2.2700047702508144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2.4</v>
      </c>
      <c r="BD77" s="12">
        <f>IF('Données projet'!$A$88&gt;35,BD76+BC77-BL76,IF(A77&lt;'Données projet'!$A$88,$BA$205^A77,IF(A77='Données projet'!$A$88,'Données projet'!$B$88,BD76+BC77-BL76)))</f>
        <v>143.59999999999985</v>
      </c>
      <c r="BE77" s="13">
        <f>BD77*VLOOKUP('Données projet'!$B$11,Paramètres!$A$1:$I$89,3,0)*VLOOKUP('Données projet'!$B$11,Paramètres!$A$1:$I$89,5,0)</f>
        <v>125.44895999999989</v>
      </c>
      <c r="BF77" s="13">
        <f t="shared" si="91"/>
        <v>32.942576545548192</v>
      </c>
      <c r="BG77" s="20">
        <f t="shared" si="61"/>
        <v>275.86525948349623</v>
      </c>
      <c r="BH77" s="59">
        <f t="shared" si="62"/>
        <v>569.19859281682955</v>
      </c>
      <c r="BI77" s="59">
        <f ca="1">AVERAGE(OFFSET($BH$3,0,0,'Données projet'!$E$11+1,1))-AVERAGE(OFFSET($H$3,0,0,'Données projet'!$E$11+1,1))</f>
        <v>114.02623091248347</v>
      </c>
      <c r="BJ77" s="59">
        <f t="shared" si="92"/>
        <v>185.51554083721635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0.81656044874472555</v>
      </c>
      <c r="BQ77" s="21">
        <f>EXP(-LN(2)/25)*BQ76+(1-EXP(-LN(2)/25))/(LN(2)/25)*Calculateur!BL77*Calculateur!BN77*VLOOKUP('Données projet'!$B$11,Paramètres!$A$1:$I$89,3,0)*0.475*44/12</f>
        <v>3.3233518871452166</v>
      </c>
      <c r="BR77" s="21">
        <f>EXP(-LN(2)/2)*BR76+(1-EXP(-LN(2)/2))/(LN(2)/2)*BL77*BO77*VLOOKUP('Données projet'!$B$11,Paramètres!$A$1:$I$89,3,0)*0.475*44/12</f>
        <v>4.2055305027066047E-6</v>
      </c>
      <c r="BS77" s="22">
        <f t="shared" si="63"/>
        <v>4.1399165414204449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6.1</v>
      </c>
      <c r="BY77" s="12">
        <f>IF('Données projet'!$A$114&gt;35,BY76+BX77-CG76,IF(A77&lt;'Données projet'!$A$114,$BV$205^A77,IF(A77='Données projet'!$A$114,'Données projet'!$B$114,BY76+BX77-CG76)))</f>
        <v>245.40000000000018</v>
      </c>
      <c r="BZ77" s="13">
        <f>BY77*VLOOKUP('Données projet'!$B$12,Paramètres!$A$1:$I$89,3,0)*VLOOKUP('Données projet'!$B$12,Paramètres!$A$1:$I$89,5,0)</f>
        <v>222.03792000000013</v>
      </c>
      <c r="CA77" s="13">
        <f t="shared" si="93"/>
        <v>54.5575795882731</v>
      </c>
      <c r="CB77" s="20">
        <f t="shared" si="64"/>
        <v>481.7371617829092</v>
      </c>
      <c r="CC77" s="59">
        <f t="shared" si="65"/>
        <v>775.07049511624245</v>
      </c>
      <c r="CD77" s="59">
        <f ca="1">AVERAGE(OFFSET($CC$3,0,0,'Données projet'!$E$12+1,1))-AVERAGE(OFFSET($H$3,0,0,'Données projet'!$E$12+1,1))</f>
        <v>237.22177246688199</v>
      </c>
      <c r="CE77" s="59">
        <f t="shared" si="94"/>
        <v>149.27472147904302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0.91702254714110787</v>
      </c>
      <c r="CM77" s="21">
        <f>EXP(-LN(2)/2)*CM76+(1-EXP(-LN(2)/2))/(LN(2)/2)*CG77*CJ77*VLOOKUP('Données projet'!$B$12,Paramètres!$A$1:$I$89,3,0)*0.475*44/12</f>
        <v>1.4756555210181301E-6</v>
      </c>
      <c r="CN77" s="22">
        <f t="shared" si="66"/>
        <v>0.91702402279662887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10.4</v>
      </c>
      <c r="CT77" s="12">
        <f>IF('Données projet'!$A$140&gt;35,CT76+CS77-DB76,IF(A77&lt;'Données projet'!$A$140,$CQ$205^A77,IF(A77='Données projet'!$A$140,'Données projet'!$B$140,CT76+CS77-DB76)))</f>
        <v>588.59999999999957</v>
      </c>
      <c r="CU77" s="17">
        <f>CT77*VLOOKUP('Données projet'!$B$13,Paramètres!$A$1:$I$89,3,0)*VLOOKUP('Données projet'!$B$13,Paramètres!$A$1:$I$89,5,0)</f>
        <v>329.02739999999977</v>
      </c>
      <c r="CV77" s="13">
        <f t="shared" si="95"/>
        <v>77.228627751120342</v>
      </c>
      <c r="CW77" s="20">
        <f t="shared" si="67"/>
        <v>707.56258166653413</v>
      </c>
      <c r="CX77" s="59">
        <f t="shared" si="68"/>
        <v>1000.8959149998675</v>
      </c>
      <c r="CY77" s="59">
        <f ca="1">AVERAGE(OFFSET($CX$3,0,0,'Données projet'!$E$13+1,1))-AVERAGE(OFFSET($H$3,0,0,'Données projet'!$E$13+1,1))</f>
        <v>326.31232746914907</v>
      </c>
      <c r="CZ77" s="59">
        <f t="shared" si="96"/>
        <v>330.17137761430297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1.9110989225940405</v>
      </c>
      <c r="DG77" s="21">
        <f>EXP(-LN(2)/25)*DG76+(1-EXP(-LN(2)/25))/(LN(2)/25)*Calculateur!DB77*Calculateur!DD77*VLOOKUP('Données projet'!$B$13,Paramètres!$A$1:$I$89,3,0)*0.475*44/12</f>
        <v>8.9085076197083843</v>
      </c>
      <c r="DH77" s="21">
        <f>EXP(-LN(2)/2)*DH76+(1-EXP(-LN(2)/2))/(LN(2)/2)*DB77*DE77*VLOOKUP('Données projet'!$B$13,Paramètres!$A$1:$I$89,3,0)*0.475*44/12</f>
        <v>7.7538700986946205E-6</v>
      </c>
      <c r="DI77" s="22">
        <f t="shared" si="69"/>
        <v>10.819614296172524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5.0999999999999996</v>
      </c>
      <c r="DO77" s="12">
        <f>IF('Données projet'!$A$166&gt;35,DO76+DN77-DW76,IF(A77&lt;'Données projet'!$A$166,$DL$205^A77,IF(A77='Données projet'!$A$166,'Données projet'!$B$166,DO76+DN77-DW76)))</f>
        <v>356.40000000000049</v>
      </c>
      <c r="DP77" s="17">
        <f>DO77*VLOOKUP('Données projet'!$B$14,Paramètres!$A$1:$I$89,3,0)*VLOOKUP('Données projet'!$B$14,Paramètres!$A$1:$I$89,5,0)</f>
        <v>222.3936000000003</v>
      </c>
      <c r="DQ77" s="13">
        <f t="shared" si="97"/>
        <v>54.634794757949336</v>
      </c>
      <c r="DR77" s="20">
        <f t="shared" si="70"/>
        <v>482.49112087009553</v>
      </c>
      <c r="DS77" s="59">
        <f t="shared" si="71"/>
        <v>775.82445420342879</v>
      </c>
      <c r="DT77" s="59">
        <f ca="1">AVERAGE(OFFSET($DS$3,0,0,'Données projet'!$E$14+1,1))-AVERAGE(OFFSET($H$3,0,0,'Données projet'!$E$14+1,1))</f>
        <v>209.93608079129638</v>
      </c>
      <c r="DU77" s="59">
        <f t="shared" si="98"/>
        <v>240.15652428700969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2.9090723557456823</v>
      </c>
      <c r="EB77" s="21">
        <f>EXP(-LN(2)/25)*EB76+(1-EXP(-LN(2)/25))/(LN(2)/25)*Calculateur!DW77*Calculateur!DY77*VLOOKUP('Données projet'!$B$14,Paramètres!$A$1:$I$89,3,0)*0.475*44/12</f>
        <v>6.1375918337947395</v>
      </c>
      <c r="EC77" s="21">
        <f>EXP(-LN(2)/2)*EC76+(1-EXP(-LN(2)/2))/(LN(2)/2)*DW77*DZ77*VLOOKUP('Données projet'!$B$14,Paramètres!$A$1:$I$89,3,0)*0.475*44/12</f>
        <v>4.813865543297554E-6</v>
      </c>
      <c r="ED77" s="22">
        <f t="shared" si="72"/>
        <v>9.0466690034059649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7.2</v>
      </c>
      <c r="EJ77" s="12">
        <f>IF('Données projet'!$A$192&gt;35,EJ76+EI77-ER76,IF(A77&lt;'Données projet'!$A$192,$EG$205^A77,IF(A77='Données projet'!$A$192,'Données projet'!$B$192,EJ76+EI77-ER76)))</f>
        <v>406.79999999999961</v>
      </c>
      <c r="EK77" s="17">
        <f>EJ77*VLOOKUP('Données projet'!$B$15,Paramètres!$A$1:$I$89,3,0)*VLOOKUP('Données projet'!$B$15,Paramètres!$A$1:$I$89,5,0)</f>
        <v>243.26639999999981</v>
      </c>
      <c r="EL77" s="13">
        <f t="shared" si="99"/>
        <v>59.141758478481755</v>
      </c>
      <c r="EM77" s="20">
        <f t="shared" si="73"/>
        <v>526.69420935002211</v>
      </c>
      <c r="EN77" s="59">
        <f t="shared" si="74"/>
        <v>820.02754268335548</v>
      </c>
      <c r="EO77" s="59">
        <f ca="1">AVERAGE(OFFSET($EN$3,0,0,'Données projet'!$E$15+1,1))-AVERAGE(OFFSET($H$3,0,0,'Données projet'!$E$15+1,1))</f>
        <v>216.94426559495264</v>
      </c>
      <c r="EP77" s="59">
        <f t="shared" si="100"/>
        <v>225.33715877618704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</v>
      </c>
      <c r="EW77" s="21">
        <f>EXP(-LN(2)/25)*EW76+(1-EXP(-LN(2)/25))/(LN(2)/25)*Calculateur!ER77*Calculateur!ET77*VLOOKUP('Données projet'!$B$15,Paramètres!$A$1:$I$89,3,0)*0.475*44/12</f>
        <v>3.7937214898772713</v>
      </c>
      <c r="EX77" s="21">
        <f>EXP(-LN(2)/2)*EX76+(1-EXP(-LN(2)/2))/(LN(2)/2)*ER77*EU77*VLOOKUP('Données projet'!$B$15,Paramètres!$A$1:$I$89,3,0)*0.475*44/12</f>
        <v>5.6575202641055516E-6</v>
      </c>
      <c r="EY77" s="22">
        <f t="shared" si="75"/>
        <v>3.7937271473975356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>
        <f>FE77*VLOOKUP('Données projet'!$B$16,Paramètres!$A$1:$I$89,3,0)*VLOOKUP('Données projet'!$B$16,Paramètres!$A$1:$I$89,5,0)</f>
        <v>0</v>
      </c>
      <c r="FG77" s="13" t="e">
        <f t="shared" si="101"/>
        <v>#NUM!</v>
      </c>
      <c r="FH77" s="20" t="e">
        <f t="shared" si="76"/>
        <v>#NUM!</v>
      </c>
      <c r="FI77" s="59" t="e">
        <f t="shared" si="77"/>
        <v>#NUM!</v>
      </c>
      <c r="FJ77" s="59">
        <f ca="1">AVERAGE(OFFSET($FI$3,0,0,'Données projet'!$E$16+1,1))-AVERAGE(OFFSET($H$3,0,0,'Données projet'!$E$16+1,1))</f>
        <v>168.08890945052406</v>
      </c>
      <c r="FK77" s="59">
        <f t="shared" si="102"/>
        <v>182.52462557642343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2.599035485661759</v>
      </c>
      <c r="FR77" s="21">
        <f>EXP(-LN(2)/25)*FR76+(1-EXP(-LN(2)/25))/(LN(2)/25)*Calculateur!FM77*Calculateur!FO77*VLOOKUP('Données projet'!$B$16,Paramètres!$A$1:$I$89,3,0)*0.475*44/12</f>
        <v>3.640670362127862</v>
      </c>
      <c r="FS77" s="21">
        <f>EXP(-LN(2)/2)*FS76+(1-EXP(-LN(2)/2))/(LN(2)/2)*FM77*FP77*VLOOKUP('Données projet'!$B$16,Paramètres!$A$1:$I$89,3,0)*0.475*44/12</f>
        <v>1.298354238050978E-6</v>
      </c>
      <c r="FT77" s="22">
        <f t="shared" si="78"/>
        <v>6.2397071461438589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>
        <f>VLOOKUP(A77,'Données projet'!$A$243:$I$263,2,0)</f>
        <v>419</v>
      </c>
      <c r="FX77" s="12">
        <f>VLOOKUP(A77,'Données projet'!$A$243:$I$263,9,0)</f>
        <v>6.75</v>
      </c>
      <c r="FY77" s="12">
        <f t="array" ref="FY77">INDEX(FX:FX,MIN(IF(ISNUMBER(FX77:FX273),ROW(FX77:FX273),"")))</f>
        <v>6.75</v>
      </c>
      <c r="FZ77" s="12">
        <f>IF('Données projet'!$A$244&gt;35,FZ76+FY77-GH76,IF(A77&lt;'Données projet'!$A$244,$FW$205^A77,IF(A77='Données projet'!$A$244,'Données projet'!$B$244,FZ76+FY77-GH76)))</f>
        <v>418.99999999999994</v>
      </c>
      <c r="GA77" s="17">
        <f>FZ77*VLOOKUP('Données projet'!$B$17,Paramètres!$A$1:$I$89,3,0)*VLOOKUP('Données projet'!$B$17,Paramètres!$A$1:$I$89,5,0)</f>
        <v>239.66799999999998</v>
      </c>
      <c r="GB77" s="13">
        <f t="shared" si="103"/>
        <v>58.368093311006277</v>
      </c>
      <c r="GC77" s="20">
        <f t="shared" si="79"/>
        <v>519.07952918333581</v>
      </c>
      <c r="GD77" s="59">
        <f t="shared" si="80"/>
        <v>812.41286251666907</v>
      </c>
      <c r="GE77" s="59">
        <f ca="1">AVERAGE(OFFSET($GD$3,0,0,'Données projet'!$E$17+1,1))-AVERAGE(OFFSET($H$3,0,0,'Données projet'!$E$17+1,1))</f>
        <v>196.95560009657527</v>
      </c>
      <c r="GF77" s="59">
        <f t="shared" si="104"/>
        <v>168.90186968005662</v>
      </c>
      <c r="GG77" s="15">
        <f>IF(ISNA(VLOOKUP(A77,'Données projet'!$A$243:$I$263,3,0)),0,VLOOKUP(A77,'Données projet'!$A$243:$I$263,3,0))</f>
        <v>10</v>
      </c>
      <c r="GH77" s="15">
        <f>IF(ISNA(VLOOKUP(A77,'Données projet'!$A$243:$I$263,4,0)),0,VLOOKUP(A77,'Données projet'!$A$243:$I$263,4,0))</f>
        <v>20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0</v>
      </c>
      <c r="GM77" s="21">
        <f>EXP(-LN(2)/25)*GM76+(1-EXP(-LN(2)/25))/(LN(2)/25)*Calculateur!GH77*Calculateur!GJ77*VLOOKUP('Données projet'!$B$17,Paramètres!$A$1:$I$89,3,0)*0.475*44/12</f>
        <v>2.7254177988835715</v>
      </c>
      <c r="GN77" s="21">
        <f>EXP(-LN(2)/2)*GN76+(1-EXP(-LN(2)/2))/(LN(2)/2)*GH77*GK77*VLOOKUP('Données projet'!$B$17,Paramètres!$A$1:$I$89,3,0)*0.475*44/12</f>
        <v>3.0659623985826428E-6</v>
      </c>
      <c r="GO77" s="21">
        <f t="shared" si="81"/>
        <v>2.7254208648459701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17</v>
      </c>
      <c r="N78" s="13">
        <f>IF('Données projet'!$A$36&gt;35,N77+M78-V77,IF(A78&lt;'Données projet'!$A$36,$K$205^A78,IF(A78='Données projet'!$A$36,'Données projet'!$B$36,N77+M78-V77)))</f>
        <v>447.99999999999989</v>
      </c>
      <c r="O78" s="13">
        <f>N78*VLOOKUP('Données projet'!$B$9,Paramètres!$A$1:$I$89,3,0)*VLOOKUP('Données projet'!$B$9,Paramètres!$A$1:$I$89,5,0)</f>
        <v>209.66399999999993</v>
      </c>
      <c r="P78" s="13">
        <f t="shared" si="87"/>
        <v>51.862154403304487</v>
      </c>
      <c r="Q78" s="20">
        <f t="shared" si="54"/>
        <v>455.49138558575515</v>
      </c>
      <c r="R78" s="59">
        <f t="shared" si="55"/>
        <v>748.82471891908847</v>
      </c>
      <c r="S78" s="59">
        <f ca="1">AVERAGE(OFFSET($R$3,0,0,'Données projet'!$E$9+1,1))-AVERAGE(OFFSET($H$3,0,0,'Données projet'!$E$9+1,1))</f>
        <v>215.23235148064941</v>
      </c>
      <c r="T78" s="59">
        <f t="shared" si="88"/>
        <v>184.07239726900434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1.2857040571322707</v>
      </c>
      <c r="AA78" s="21">
        <f>EXP(-LN(2)/25)*AA77+(1-EXP(-LN(2)/25))/(LN(2)/25)*Calculateur!V78*Calculateur!X78*VLOOKUP('Données projet'!$B$9,Paramètres!$A$1:$I$89,3,0)*0.475*44/12</f>
        <v>2.2558897452924667</v>
      </c>
      <c r="AB78" s="21">
        <f>EXP(-LN(2)/2)*AB77+(1-EXP(-LN(2)/2))/(LN(2)/2)*V78*Y78*VLOOKUP('Données projet'!$B$9,Paramètres!$A$1:$I$89,3,0)*0.475*44/12</f>
        <v>1.6575810105896418E-6</v>
      </c>
      <c r="AC78" s="22">
        <f t="shared" si="57"/>
        <v>3.5415954600057478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3.1</v>
      </c>
      <c r="AI78" s="13">
        <f>IF('Données projet'!$A$62&gt;35,AI77+AH78-AQ77,IF(A78&lt;'Données projet'!$A$62,$AF$205^A78,IF(A78='Données projet'!$A$62,'Données projet'!$B$62,AI77+AH78-AQ77)))</f>
        <v>268.49999999999994</v>
      </c>
      <c r="AJ78" s="13">
        <f>AI78*VLOOKUP('Données projet'!$B$10,Paramètres!$A$1:$I$89,3,0)*VLOOKUP('Données projet'!$B$10,Paramètres!$A$1:$I$89,5,0)</f>
        <v>196.86419999999995</v>
      </c>
      <c r="AK78" s="13">
        <f t="shared" si="89"/>
        <v>49.054381231414986</v>
      </c>
      <c r="AL78" s="20">
        <f t="shared" si="58"/>
        <v>428.30819564471432</v>
      </c>
      <c r="AM78" s="59">
        <f t="shared" si="59"/>
        <v>721.64152897804763</v>
      </c>
      <c r="AN78" s="59">
        <f ca="1">AVERAGE(OFFSET($AM$3,0,0,'Données projet'!$E$10+1,1))-AVERAGE(OFFSET($H$3,0,0,'Données projet'!$E$10+1,1))</f>
        <v>178.12968684094687</v>
      </c>
      <c r="AO78" s="59">
        <f t="shared" si="90"/>
        <v>219.36004077210373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2.2079290705721211</v>
      </c>
      <c r="AW78" s="21">
        <f>EXP(-LN(2)/2)*AW77+(1-EXP(-LN(2)/2))/(LN(2)/2)*AQ78*AT78*VLOOKUP('Données projet'!$B$10,Paramètres!$A$1:$I$89,3,0)*0.475*44/12</f>
        <v>1.6719679414109053E-6</v>
      </c>
      <c r="AX78" s="21">
        <f t="shared" si="60"/>
        <v>2.2079307425400625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2.4</v>
      </c>
      <c r="BD78" s="12">
        <f>IF('Données projet'!$A$88&gt;35,BD77+BC78-BL77,IF(A78&lt;'Données projet'!$A$88,$BA$205^A78,IF(A78='Données projet'!$A$88,'Données projet'!$B$88,BD77+BC78-BL77)))</f>
        <v>145.99999999999986</v>
      </c>
      <c r="BE78" s="13">
        <f>BD78*VLOOKUP('Données projet'!$B$11,Paramètres!$A$1:$I$89,3,0)*VLOOKUP('Données projet'!$B$11,Paramètres!$A$1:$I$89,5,0)</f>
        <v>127.54559999999991</v>
      </c>
      <c r="BF78" s="13">
        <f t="shared" si="91"/>
        <v>33.428591950384806</v>
      </c>
      <c r="BG78" s="20">
        <f t="shared" si="61"/>
        <v>280.36338431358672</v>
      </c>
      <c r="BH78" s="59">
        <f t="shared" si="62"/>
        <v>573.69671764691998</v>
      </c>
      <c r="BI78" s="59">
        <f ca="1">AVERAGE(OFFSET($BH$3,0,0,'Données projet'!$E$11+1,1))-AVERAGE(OFFSET($H$3,0,0,'Données projet'!$E$11+1,1))</f>
        <v>114.02623091248347</v>
      </c>
      <c r="BJ78" s="59">
        <f t="shared" si="92"/>
        <v>185.51554083721635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0.8005481963975366</v>
      </c>
      <c r="BQ78" s="21">
        <f>EXP(-LN(2)/25)*BQ77+(1-EXP(-LN(2)/25))/(LN(2)/25)*Calculateur!BL78*Calculateur!BN78*VLOOKUP('Données projet'!$B$11,Paramètres!$A$1:$I$89,3,0)*0.475*44/12</f>
        <v>3.2324746550237506</v>
      </c>
      <c r="BR78" s="21">
        <f>EXP(-LN(2)/2)*BR77+(1-EXP(-LN(2)/2))/(LN(2)/2)*BL78*BO78*VLOOKUP('Données projet'!$B$11,Paramètres!$A$1:$I$89,3,0)*0.475*44/12</f>
        <v>2.9737591369507104E-6</v>
      </c>
      <c r="BS78" s="22">
        <f t="shared" si="63"/>
        <v>4.0330258251804239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6.1</v>
      </c>
      <c r="BY78" s="12">
        <f>IF('Données projet'!$A$114&gt;35,BY77+BX78-CG77,IF(A78&lt;'Données projet'!$A$114,$BV$205^A78,IF(A78='Données projet'!$A$114,'Données projet'!$B$114,BY77+BX78-CG77)))</f>
        <v>251.50000000000017</v>
      </c>
      <c r="BZ78" s="13">
        <f>BY78*VLOOKUP('Données projet'!$B$12,Paramètres!$A$1:$I$89,3,0)*VLOOKUP('Données projet'!$B$12,Paramètres!$A$1:$I$89,5,0)</f>
        <v>227.55720000000014</v>
      </c>
      <c r="CA78" s="13">
        <f t="shared" si="93"/>
        <v>55.754163267932753</v>
      </c>
      <c r="CB78" s="20">
        <f t="shared" si="64"/>
        <v>493.43395769164982</v>
      </c>
      <c r="CC78" s="59">
        <f t="shared" si="65"/>
        <v>786.76729102498314</v>
      </c>
      <c r="CD78" s="59">
        <f ca="1">AVERAGE(OFFSET($CC$3,0,0,'Données projet'!$E$12+1,1))-AVERAGE(OFFSET($H$3,0,0,'Données projet'!$E$12+1,1))</f>
        <v>237.22177246688199</v>
      </c>
      <c r="CE78" s="59">
        <f t="shared" si="94"/>
        <v>149.27472147904302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0.89194651736541442</v>
      </c>
      <c r="CM78" s="21">
        <f>EXP(-LN(2)/2)*CM77+(1-EXP(-LN(2)/2))/(LN(2)/2)*CG78*CJ78*VLOOKUP('Données projet'!$B$12,Paramètres!$A$1:$I$89,3,0)*0.475*44/12</f>
        <v>1.0434460256072877E-6</v>
      </c>
      <c r="CN78" s="22">
        <f t="shared" si="66"/>
        <v>0.89194756081144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10.4</v>
      </c>
      <c r="CT78" s="12">
        <f>IF('Données projet'!$A$140&gt;35,CT77+CS78-DB77,IF(A78&lt;'Données projet'!$A$140,$CQ$205^A78,IF(A78='Données projet'!$A$140,'Données projet'!$B$140,CT77+CS78-DB77)))</f>
        <v>598.99999999999955</v>
      </c>
      <c r="CU78" s="17">
        <f>CT78*VLOOKUP('Données projet'!$B$13,Paramètres!$A$1:$I$89,3,0)*VLOOKUP('Données projet'!$B$13,Paramètres!$A$1:$I$89,5,0)</f>
        <v>334.84099999999978</v>
      </c>
      <c r="CV78" s="13">
        <f t="shared" si="95"/>
        <v>78.433117720461652</v>
      </c>
      <c r="CW78" s="20">
        <f t="shared" si="67"/>
        <v>719.78575502980368</v>
      </c>
      <c r="CX78" s="59">
        <f t="shared" si="68"/>
        <v>1013.1190883631371</v>
      </c>
      <c r="CY78" s="59">
        <f ca="1">AVERAGE(OFFSET($CX$3,0,0,'Données projet'!$E$13+1,1))-AVERAGE(OFFSET($H$3,0,0,'Données projet'!$E$13+1,1))</f>
        <v>326.31232746914907</v>
      </c>
      <c r="CZ78" s="59">
        <f t="shared" si="96"/>
        <v>330.17137761430297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1.8736234383772152</v>
      </c>
      <c r="DG78" s="21">
        <f>EXP(-LN(2)/25)*DG77+(1-EXP(-LN(2)/25))/(LN(2)/25)*Calculateur!DB78*Calculateur!DD78*VLOOKUP('Données projet'!$B$13,Paramètres!$A$1:$I$89,3,0)*0.475*44/12</f>
        <v>8.6649040103694031</v>
      </c>
      <c r="DH78" s="21">
        <f>EXP(-LN(2)/2)*DH77+(1-EXP(-LN(2)/2))/(LN(2)/2)*DB78*DE78*VLOOKUP('Données projet'!$B$13,Paramètres!$A$1:$I$89,3,0)*0.475*44/12</f>
        <v>5.4828141272265707E-6</v>
      </c>
      <c r="DI78" s="22">
        <f t="shared" si="69"/>
        <v>10.538532931560747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5.0999999999999996</v>
      </c>
      <c r="DO78" s="12">
        <f>IF('Données projet'!$A$166&gt;35,DO77+DN78-DW77,IF(A78&lt;'Données projet'!$A$166,$DL$205^A78,IF(A78='Données projet'!$A$166,'Données projet'!$B$166,DO77+DN78-DW77)))</f>
        <v>361.50000000000051</v>
      </c>
      <c r="DP78" s="17">
        <f>DO78*VLOOKUP('Données projet'!$B$14,Paramètres!$A$1:$I$89,3,0)*VLOOKUP('Données projet'!$B$14,Paramètres!$A$1:$I$89,5,0)</f>
        <v>225.57600000000031</v>
      </c>
      <c r="DQ78" s="13">
        <f t="shared" si="97"/>
        <v>55.325030705506045</v>
      </c>
      <c r="DR78" s="20">
        <f t="shared" si="70"/>
        <v>489.23596181209018</v>
      </c>
      <c r="DS78" s="59">
        <f t="shared" si="71"/>
        <v>782.56929514542344</v>
      </c>
      <c r="DT78" s="59">
        <f ca="1">AVERAGE(OFFSET($DS$3,0,0,'Données projet'!$E$14+1,1))-AVERAGE(OFFSET($H$3,0,0,'Données projet'!$E$14+1,1))</f>
        <v>209.93608079129638</v>
      </c>
      <c r="DU78" s="59">
        <f t="shared" si="98"/>
        <v>240.15652428700969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2.8520272212084432</v>
      </c>
      <c r="EB78" s="21">
        <f>EXP(-LN(2)/25)*EB77+(1-EXP(-LN(2)/25))/(LN(2)/25)*Calculateur!DW78*Calculateur!DY78*VLOOKUP('Données projet'!$B$14,Paramètres!$A$1:$I$89,3,0)*0.475*44/12</f>
        <v>5.9697590623376957</v>
      </c>
      <c r="EC78" s="21">
        <f>EXP(-LN(2)/2)*EC77+(1-EXP(-LN(2)/2))/(LN(2)/2)*DW78*DZ78*VLOOKUP('Données projet'!$B$14,Paramètres!$A$1:$I$89,3,0)*0.475*44/12</f>
        <v>3.4039169693859643E-6</v>
      </c>
      <c r="ED78" s="22">
        <f t="shared" si="72"/>
        <v>8.8217896874631077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7.2</v>
      </c>
      <c r="EJ78" s="12">
        <f>IF('Données projet'!$A$192&gt;35,EJ77+EI78-ER77,IF(A78&lt;'Données projet'!$A$192,$EG$205^A78,IF(A78='Données projet'!$A$192,'Données projet'!$B$192,EJ77+EI78-ER77)))</f>
        <v>413.9999999999996</v>
      </c>
      <c r="EK78" s="17">
        <f>EJ78*VLOOKUP('Données projet'!$B$15,Paramètres!$A$1:$I$89,3,0)*VLOOKUP('Données projet'!$B$15,Paramètres!$A$1:$I$89,5,0)</f>
        <v>247.57199999999978</v>
      </c>
      <c r="EL78" s="13">
        <f t="shared" si="99"/>
        <v>60.065726249156526</v>
      </c>
      <c r="EM78" s="20">
        <f t="shared" si="73"/>
        <v>535.80237321728055</v>
      </c>
      <c r="EN78" s="59">
        <f t="shared" si="74"/>
        <v>829.1357065506138</v>
      </c>
      <c r="EO78" s="59">
        <f ca="1">AVERAGE(OFFSET($EN$3,0,0,'Données projet'!$E$15+1,1))-AVERAGE(OFFSET($H$3,0,0,'Données projet'!$E$15+1,1))</f>
        <v>216.94426559495264</v>
      </c>
      <c r="EP78" s="59">
        <f t="shared" si="100"/>
        <v>225.33715877618704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0</v>
      </c>
      <c r="EW78" s="21">
        <f>EXP(-LN(2)/25)*EW77+(1-EXP(-LN(2)/25))/(LN(2)/25)*Calculateur!ER78*Calculateur!ET78*VLOOKUP('Données projet'!$B$15,Paramètres!$A$1:$I$89,3,0)*0.475*44/12</f>
        <v>3.6899819762334349</v>
      </c>
      <c r="EX78" s="21">
        <f>EXP(-LN(2)/2)*EX77+(1-EXP(-LN(2)/2))/(LN(2)/2)*ER78*EU78*VLOOKUP('Données projet'!$B$15,Paramètres!$A$1:$I$89,3,0)*0.475*44/12</f>
        <v>4.0004709434493427E-6</v>
      </c>
      <c r="EY78" s="22">
        <f t="shared" si="75"/>
        <v>3.6899859767043783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>
        <f>FE78*VLOOKUP('Données projet'!$B$16,Paramètres!$A$1:$I$89,3,0)*VLOOKUP('Données projet'!$B$16,Paramètres!$A$1:$I$89,5,0)</f>
        <v>0</v>
      </c>
      <c r="FG78" s="13" t="e">
        <f t="shared" si="101"/>
        <v>#NUM!</v>
      </c>
      <c r="FH78" s="20" t="e">
        <f t="shared" si="76"/>
        <v>#NUM!</v>
      </c>
      <c r="FI78" s="59" t="e">
        <f t="shared" si="77"/>
        <v>#NUM!</v>
      </c>
      <c r="FJ78" s="59">
        <f ca="1">AVERAGE(OFFSET($FI$3,0,0,'Données projet'!$E$16+1,1))-AVERAGE(OFFSET($H$3,0,0,'Données projet'!$E$16+1,1))</f>
        <v>168.08890945052406</v>
      </c>
      <c r="FK78" s="59">
        <f t="shared" si="102"/>
        <v>182.52462557642343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2.548069985043047</v>
      </c>
      <c r="FR78" s="21">
        <f>EXP(-LN(2)/25)*FR77+(1-EXP(-LN(2)/25))/(LN(2)/25)*Calculateur!FM78*Calculateur!FO78*VLOOKUP('Données projet'!$B$16,Paramètres!$A$1:$I$89,3,0)*0.475*44/12</f>
        <v>3.5411160396209422</v>
      </c>
      <c r="FS78" s="21">
        <f>EXP(-LN(2)/2)*FS77+(1-EXP(-LN(2)/2))/(LN(2)/2)*FM78*FP78*VLOOKUP('Données projet'!$B$16,Paramètres!$A$1:$I$89,3,0)*0.475*44/12</f>
        <v>9.1807508610813963E-7</v>
      </c>
      <c r="FT78" s="22">
        <f t="shared" si="78"/>
        <v>6.0891869427390759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5.625</v>
      </c>
      <c r="FZ78" s="12">
        <f>IF('Données projet'!$A$244&gt;35,FZ77+FY78-GH77,IF(A78&lt;'Données projet'!$A$244,$FW$205^A78,IF(A78='Données projet'!$A$244,'Données projet'!$B$244,FZ77+FY78-GH77)))</f>
        <v>404.62499999999994</v>
      </c>
      <c r="GA78" s="17">
        <f>FZ78*VLOOKUP('Données projet'!$B$17,Paramètres!$A$1:$I$89,3,0)*VLOOKUP('Données projet'!$B$17,Paramètres!$A$1:$I$89,5,0)</f>
        <v>231.44549999999995</v>
      </c>
      <c r="GB78" s="13">
        <f t="shared" si="103"/>
        <v>56.595118370327334</v>
      </c>
      <c r="GC78" s="20">
        <f t="shared" si="79"/>
        <v>501.67074366165338</v>
      </c>
      <c r="GD78" s="59">
        <f t="shared" si="80"/>
        <v>795.00407699498669</v>
      </c>
      <c r="GE78" s="59">
        <f ca="1">AVERAGE(OFFSET($GD$3,0,0,'Données projet'!$E$17+1,1))-AVERAGE(OFFSET($H$3,0,0,'Données projet'!$E$17+1,1))</f>
        <v>196.95560009657527</v>
      </c>
      <c r="GF78" s="59">
        <f t="shared" si="104"/>
        <v>168.90186968005662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0</v>
      </c>
      <c r="GM78" s="21">
        <f>EXP(-LN(2)/25)*GM77+(1-EXP(-LN(2)/25))/(LN(2)/25)*Calculateur!GH78*Calculateur!GJ78*VLOOKUP('Données projet'!$B$17,Paramètres!$A$1:$I$89,3,0)*0.475*44/12</f>
        <v>2.6508911058496074</v>
      </c>
      <c r="GN78" s="21">
        <f>EXP(-LN(2)/2)*GN77+(1-EXP(-LN(2)/2))/(LN(2)/2)*GH78*GK78*VLOOKUP('Données projet'!$B$17,Paramètres!$A$1:$I$89,3,0)*0.475*44/12</f>
        <v>2.1679628029007592E-6</v>
      </c>
      <c r="GO78" s="21">
        <f t="shared" si="81"/>
        <v>2.6508932738124105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17</v>
      </c>
      <c r="N79" s="13">
        <f>IF('Données projet'!$A$36&gt;35,N78+M79-V78,IF(A79&lt;'Données projet'!$A$36,$K$205^A79,IF(A79='Données projet'!$A$36,'Données projet'!$B$36,N78+M79-V78)))</f>
        <v>464.99999999999989</v>
      </c>
      <c r="O79" s="13">
        <f>N79*VLOOKUP('Données projet'!$B$9,Paramètres!$A$1:$I$89,3,0)*VLOOKUP('Données projet'!$B$9,Paramètres!$A$1:$I$89,5,0)</f>
        <v>217.61999999999995</v>
      </c>
      <c r="P79" s="13">
        <f t="shared" si="87"/>
        <v>53.597277471320098</v>
      </c>
      <c r="Q79" s="20">
        <f t="shared" si="54"/>
        <v>472.37009159588234</v>
      </c>
      <c r="R79" s="59">
        <f t="shared" si="55"/>
        <v>765.70342492921566</v>
      </c>
      <c r="S79" s="59">
        <f ca="1">AVERAGE(OFFSET($R$3,0,0,'Données projet'!$E$9+1,1))-AVERAGE(OFFSET($H$3,0,0,'Données projet'!$E$9+1,1))</f>
        <v>215.23235148064941</v>
      </c>
      <c r="T79" s="59">
        <f t="shared" si="88"/>
        <v>184.07239726900434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1.2604921847739481</v>
      </c>
      <c r="AA79" s="21">
        <f>EXP(-LN(2)/25)*AA78+(1-EXP(-LN(2)/25))/(LN(2)/25)*Calculateur!V79*Calculateur!X79*VLOOKUP('Données projet'!$B$9,Paramètres!$A$1:$I$89,3,0)*0.475*44/12</f>
        <v>2.1942023215753585</v>
      </c>
      <c r="AB79" s="21">
        <f>EXP(-LN(2)/2)*AB78+(1-EXP(-LN(2)/2))/(LN(2)/2)*V79*Y79*VLOOKUP('Données projet'!$B$9,Paramètres!$A$1:$I$89,3,0)*0.475*44/12</f>
        <v>1.1720867729539862E-6</v>
      </c>
      <c r="AC79" s="22">
        <f t="shared" si="57"/>
        <v>3.4546956784360794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3.1</v>
      </c>
      <c r="AI79" s="13">
        <f>IF('Données projet'!$A$62&gt;35,AI78+AH79-AQ78,IF(A79&lt;'Données projet'!$A$62,$AF$205^A79,IF(A79='Données projet'!$A$62,'Données projet'!$B$62,AI78+AH79-AQ78)))</f>
        <v>271.59999999999997</v>
      </c>
      <c r="AJ79" s="13">
        <f>AI79*VLOOKUP('Données projet'!$B$10,Paramètres!$A$1:$I$89,3,0)*VLOOKUP('Données projet'!$B$10,Paramètres!$A$1:$I$89,5,0)</f>
        <v>199.13711999999995</v>
      </c>
      <c r="AK79" s="13">
        <f t="shared" si="89"/>
        <v>49.554485124576232</v>
      </c>
      <c r="AL79" s="20">
        <f t="shared" si="58"/>
        <v>433.13787892530354</v>
      </c>
      <c r="AM79" s="59">
        <f t="shared" si="59"/>
        <v>726.4712122586368</v>
      </c>
      <c r="AN79" s="59">
        <f ca="1">AVERAGE(OFFSET($AM$3,0,0,'Données projet'!$E$10+1,1))-AVERAGE(OFFSET($H$3,0,0,'Données projet'!$E$10+1,1))</f>
        <v>178.12968684094687</v>
      </c>
      <c r="AO79" s="59">
        <f t="shared" si="90"/>
        <v>219.36004077210373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2.1475531340273828</v>
      </c>
      <c r="AW79" s="21">
        <f>EXP(-LN(2)/2)*AW78+(1-EXP(-LN(2)/2))/(LN(2)/2)*AQ79*AT79*VLOOKUP('Données projet'!$B$10,Paramètres!$A$1:$I$89,3,0)*0.475*44/12</f>
        <v>1.1822598692981633E-6</v>
      </c>
      <c r="AX79" s="21">
        <f t="shared" si="60"/>
        <v>2.1475543162872519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2.4</v>
      </c>
      <c r="BD79" s="12">
        <f>IF('Données projet'!$A$88&gt;35,BD78+BC79-BL78,IF(A79&lt;'Données projet'!$A$88,$BA$205^A79,IF(A79='Données projet'!$A$88,'Données projet'!$B$88,BD78+BC79-BL78)))</f>
        <v>148.39999999999986</v>
      </c>
      <c r="BE79" s="13">
        <f>BD79*VLOOKUP('Données projet'!$B$11,Paramètres!$A$1:$I$89,3,0)*VLOOKUP('Données projet'!$B$11,Paramètres!$A$1:$I$89,5,0)</f>
        <v>129.6422399999999</v>
      </c>
      <c r="BF79" s="13">
        <f t="shared" si="91"/>
        <v>33.913678246253184</v>
      </c>
      <c r="BG79" s="20">
        <f t="shared" si="61"/>
        <v>284.85989094555748</v>
      </c>
      <c r="BH79" s="59">
        <f t="shared" si="62"/>
        <v>578.19322427889074</v>
      </c>
      <c r="BI79" s="59">
        <f ca="1">AVERAGE(OFFSET($BH$3,0,0,'Données projet'!$E$11+1,1))-AVERAGE(OFFSET($H$3,0,0,'Données projet'!$E$11+1,1))</f>
        <v>114.02623091248347</v>
      </c>
      <c r="BJ79" s="59">
        <f t="shared" si="92"/>
        <v>185.51554083721635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0.78484993455236651</v>
      </c>
      <c r="BQ79" s="21">
        <f>EXP(-LN(2)/25)*BQ78+(1-EXP(-LN(2)/25))/(LN(2)/25)*Calculateur!BL79*Calculateur!BN79*VLOOKUP('Données projet'!$B$11,Paramètres!$A$1:$I$89,3,0)*0.475*44/12</f>
        <v>3.1440824655936721</v>
      </c>
      <c r="BR79" s="21">
        <f>EXP(-LN(2)/2)*BR78+(1-EXP(-LN(2)/2))/(LN(2)/2)*BL79*BO79*VLOOKUP('Données projet'!$B$11,Paramètres!$A$1:$I$89,3,0)*0.475*44/12</f>
        <v>2.1027652513533024E-6</v>
      </c>
      <c r="BS79" s="22">
        <f t="shared" si="63"/>
        <v>3.9289345029112899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6.1</v>
      </c>
      <c r="BY79" s="12">
        <f>IF('Données projet'!$A$114&gt;35,BY78+BX79-CG78,IF(A79&lt;'Données projet'!$A$114,$BV$205^A79,IF(A79='Données projet'!$A$114,'Données projet'!$B$114,BY78+BX79-CG78)))</f>
        <v>257.60000000000019</v>
      </c>
      <c r="BZ79" s="13">
        <f>BY79*VLOOKUP('Données projet'!$B$12,Paramètres!$A$1:$I$89,3,0)*VLOOKUP('Données projet'!$B$12,Paramètres!$A$1:$I$89,5,0)</f>
        <v>233.07648000000017</v>
      </c>
      <c r="CA79" s="13">
        <f t="shared" si="93"/>
        <v>56.947373142454929</v>
      </c>
      <c r="CB79" s="20">
        <f t="shared" si="64"/>
        <v>505.12487755644264</v>
      </c>
      <c r="CC79" s="59">
        <f t="shared" si="65"/>
        <v>798.45821088977596</v>
      </c>
      <c r="CD79" s="59">
        <f ca="1">AVERAGE(OFFSET($CC$3,0,0,'Données projet'!$E$12+1,1))-AVERAGE(OFFSET($H$3,0,0,'Données projet'!$E$12+1,1))</f>
        <v>237.22177246688199</v>
      </c>
      <c r="CE79" s="59">
        <f t="shared" si="94"/>
        <v>149.27472147904302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0.86755619294262842</v>
      </c>
      <c r="CM79" s="21">
        <f>EXP(-LN(2)/2)*CM78+(1-EXP(-LN(2)/2))/(LN(2)/2)*CG79*CJ79*VLOOKUP('Données projet'!$B$12,Paramètres!$A$1:$I$89,3,0)*0.475*44/12</f>
        <v>7.3782776050906506E-7</v>
      </c>
      <c r="CN79" s="22">
        <f t="shared" si="66"/>
        <v>0.86755693077038898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10.4</v>
      </c>
      <c r="CT79" s="12">
        <f>IF('Données projet'!$A$140&gt;35,CT78+CS79-DB78,IF(A79&lt;'Données projet'!$A$140,$CQ$205^A79,IF(A79='Données projet'!$A$140,'Données projet'!$B$140,CT78+CS79-DB78)))</f>
        <v>609.39999999999952</v>
      </c>
      <c r="CU79" s="17">
        <f>CT79*VLOOKUP('Données projet'!$B$13,Paramètres!$A$1:$I$89,3,0)*VLOOKUP('Données projet'!$B$13,Paramètres!$A$1:$I$89,5,0)</f>
        <v>340.65459999999973</v>
      </c>
      <c r="CV79" s="13">
        <f t="shared" si="95"/>
        <v>79.635175782709197</v>
      </c>
      <c r="CW79" s="20">
        <f t="shared" si="67"/>
        <v>732.00469282155143</v>
      </c>
      <c r="CX79" s="59">
        <f t="shared" si="68"/>
        <v>1025.3380261548848</v>
      </c>
      <c r="CY79" s="59">
        <f ca="1">AVERAGE(OFFSET($CX$3,0,0,'Données projet'!$E$13+1,1))-AVERAGE(OFFSET($H$3,0,0,'Données projet'!$E$13+1,1))</f>
        <v>326.31232746914907</v>
      </c>
      <c r="CZ79" s="59">
        <f t="shared" si="96"/>
        <v>330.17137761430297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1.8368828255480936</v>
      </c>
      <c r="DG79" s="21">
        <f>EXP(-LN(2)/25)*DG78+(1-EXP(-LN(2)/25))/(LN(2)/25)*Calculateur!DB79*Calculateur!DD79*VLOOKUP('Données projet'!$B$13,Paramètres!$A$1:$I$89,3,0)*0.475*44/12</f>
        <v>8.4279617545383534</v>
      </c>
      <c r="DH79" s="21">
        <f>EXP(-LN(2)/2)*DH78+(1-EXP(-LN(2)/2))/(LN(2)/2)*DB79*DE79*VLOOKUP('Données projet'!$B$13,Paramètres!$A$1:$I$89,3,0)*0.475*44/12</f>
        <v>3.8769350493473103E-6</v>
      </c>
      <c r="DI79" s="22">
        <f t="shared" si="69"/>
        <v>10.264848457021495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5.0999999999999996</v>
      </c>
      <c r="DO79" s="12">
        <f>IF('Données projet'!$A$166&gt;35,DO78+DN79-DW78,IF(A79&lt;'Données projet'!$A$166,$DL$205^A79,IF(A79='Données projet'!$A$166,'Données projet'!$B$166,DO78+DN79-DW78)))</f>
        <v>366.60000000000053</v>
      </c>
      <c r="DP79" s="17">
        <f>DO79*VLOOKUP('Données projet'!$B$14,Paramètres!$A$1:$I$89,3,0)*VLOOKUP('Données projet'!$B$14,Paramètres!$A$1:$I$89,5,0)</f>
        <v>228.75840000000034</v>
      </c>
      <c r="DQ79" s="13">
        <f t="shared" si="97"/>
        <v>56.014134067241066</v>
      </c>
      <c r="DR79" s="20">
        <f t="shared" si="70"/>
        <v>495.97883016711211</v>
      </c>
      <c r="DS79" s="59">
        <f t="shared" si="71"/>
        <v>789.31216350044542</v>
      </c>
      <c r="DT79" s="59">
        <f ca="1">AVERAGE(OFFSET($DS$3,0,0,'Données projet'!$E$14+1,1))-AVERAGE(OFFSET($H$3,0,0,'Données projet'!$E$14+1,1))</f>
        <v>209.93608079129638</v>
      </c>
      <c r="DU79" s="59">
        <f t="shared" si="98"/>
        <v>240.15652428700969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2.7961007069653827</v>
      </c>
      <c r="EB79" s="21">
        <f>EXP(-LN(2)/25)*EB78+(1-EXP(-LN(2)/25))/(LN(2)/25)*Calculateur!DW79*Calculateur!DY79*VLOOKUP('Données projet'!$B$14,Paramètres!$A$1:$I$89,3,0)*0.475*44/12</f>
        <v>5.8065156868420864</v>
      </c>
      <c r="EC79" s="21">
        <f>EXP(-LN(2)/2)*EC78+(1-EXP(-LN(2)/2))/(LN(2)/2)*DW79*DZ79*VLOOKUP('Données projet'!$B$14,Paramètres!$A$1:$I$89,3,0)*0.475*44/12</f>
        <v>2.406932771648777E-6</v>
      </c>
      <c r="ED79" s="22">
        <f t="shared" si="72"/>
        <v>8.6026188007402418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7.2</v>
      </c>
      <c r="EJ79" s="12">
        <f>IF('Données projet'!$A$192&gt;35,EJ78+EI79-ER78,IF(A79&lt;'Données projet'!$A$192,$EG$205^A79,IF(A79='Données projet'!$A$192,'Données projet'!$B$192,EJ78+EI79-ER78)))</f>
        <v>421.19999999999959</v>
      </c>
      <c r="EK79" s="17">
        <f>EJ79*VLOOKUP('Données projet'!$B$15,Paramètres!$A$1:$I$89,3,0)*VLOOKUP('Données projet'!$B$15,Paramètres!$A$1:$I$89,5,0)</f>
        <v>251.87759999999977</v>
      </c>
      <c r="EL79" s="13">
        <f t="shared" si="99"/>
        <v>60.987825380023018</v>
      </c>
      <c r="EM79" s="20">
        <f t="shared" si="73"/>
        <v>544.90728253687291</v>
      </c>
      <c r="EN79" s="59">
        <f t="shared" si="74"/>
        <v>838.24061587020628</v>
      </c>
      <c r="EO79" s="59">
        <f ca="1">AVERAGE(OFFSET($EN$3,0,0,'Données projet'!$E$15+1,1))-AVERAGE(OFFSET($H$3,0,0,'Données projet'!$E$15+1,1))</f>
        <v>216.94426559495264</v>
      </c>
      <c r="EP79" s="59">
        <f t="shared" si="100"/>
        <v>225.33715877618704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0</v>
      </c>
      <c r="EW79" s="21">
        <f>EXP(-LN(2)/25)*EW78+(1-EXP(-LN(2)/25))/(LN(2)/25)*Calculateur!ER79*Calculateur!ET79*VLOOKUP('Données projet'!$B$15,Paramètres!$A$1:$I$89,3,0)*0.475*44/12</f>
        <v>3.5890792250456132</v>
      </c>
      <c r="EX79" s="21">
        <f>EXP(-LN(2)/2)*EX78+(1-EXP(-LN(2)/2))/(LN(2)/2)*ER79*EU79*VLOOKUP('Données projet'!$B$15,Paramètres!$A$1:$I$89,3,0)*0.475*44/12</f>
        <v>2.8287601320527758E-6</v>
      </c>
      <c r="EY79" s="22">
        <f t="shared" si="75"/>
        <v>3.5890820538057451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>
        <f>FE79*VLOOKUP('Données projet'!$B$16,Paramètres!$A$1:$I$89,3,0)*VLOOKUP('Données projet'!$B$16,Paramètres!$A$1:$I$89,5,0)</f>
        <v>0</v>
      </c>
      <c r="FG79" s="13" t="e">
        <f t="shared" si="101"/>
        <v>#NUM!</v>
      </c>
      <c r="FH79" s="20" t="e">
        <f t="shared" si="76"/>
        <v>#NUM!</v>
      </c>
      <c r="FI79" s="59" t="e">
        <f t="shared" si="77"/>
        <v>#NUM!</v>
      </c>
      <c r="FJ79" s="59">
        <f ca="1">AVERAGE(OFFSET($FI$3,0,0,'Données projet'!$E$16+1,1))-AVERAGE(OFFSET($H$3,0,0,'Données projet'!$E$16+1,1))</f>
        <v>168.08890945052406</v>
      </c>
      <c r="FK79" s="59">
        <f t="shared" si="102"/>
        <v>182.52462557642343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2.4981038868055823</v>
      </c>
      <c r="FR79" s="21">
        <f>EXP(-LN(2)/25)*FR78+(1-EXP(-LN(2)/25))/(LN(2)/25)*Calculateur!FM79*Calculateur!FO79*VLOOKUP('Données projet'!$B$16,Paramètres!$A$1:$I$89,3,0)*0.475*44/12</f>
        <v>3.4442840352983084</v>
      </c>
      <c r="FS79" s="21">
        <f>EXP(-LN(2)/2)*FS78+(1-EXP(-LN(2)/2))/(LN(2)/2)*FM79*FP79*VLOOKUP('Données projet'!$B$16,Paramètres!$A$1:$I$89,3,0)*0.475*44/12</f>
        <v>6.491771190254891E-7</v>
      </c>
      <c r="FT79" s="22">
        <f t="shared" si="78"/>
        <v>5.9423885712810094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5.625</v>
      </c>
      <c r="FZ79" s="12">
        <f>IF('Données projet'!$A$244&gt;35,FZ78+FY79-GH78,IF(A79&lt;'Données projet'!$A$244,$FW$205^A79,IF(A79='Données projet'!$A$244,'Données projet'!$B$244,FZ78+FY79-GH78)))</f>
        <v>410.24999999999994</v>
      </c>
      <c r="GA79" s="17">
        <f>FZ79*VLOOKUP('Données projet'!$B$17,Paramètres!$A$1:$I$89,3,0)*VLOOKUP('Données projet'!$B$17,Paramètres!$A$1:$I$89,5,0)</f>
        <v>234.66299999999995</v>
      </c>
      <c r="GB79" s="13">
        <f t="shared" si="103"/>
        <v>57.289750356834169</v>
      </c>
      <c r="GC79" s="20">
        <f t="shared" si="79"/>
        <v>508.48437353815274</v>
      </c>
      <c r="GD79" s="59">
        <f t="shared" si="80"/>
        <v>801.81770687148605</v>
      </c>
      <c r="GE79" s="59">
        <f ca="1">AVERAGE(OFFSET($GD$3,0,0,'Données projet'!$E$17+1,1))-AVERAGE(OFFSET($H$3,0,0,'Données projet'!$E$17+1,1))</f>
        <v>196.95560009657527</v>
      </c>
      <c r="GF79" s="59">
        <f t="shared" si="104"/>
        <v>168.90186968005662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0</v>
      </c>
      <c r="GM79" s="21">
        <f>EXP(-LN(2)/25)*GM78+(1-EXP(-LN(2)/25))/(LN(2)/25)*Calculateur!GH79*Calculateur!GJ79*VLOOKUP('Données projet'!$B$17,Paramètres!$A$1:$I$89,3,0)*0.475*44/12</f>
        <v>2.5784023491558452</v>
      </c>
      <c r="GN79" s="21">
        <f>EXP(-LN(2)/2)*GN78+(1-EXP(-LN(2)/2))/(LN(2)/2)*GH79*GK79*VLOOKUP('Données projet'!$B$17,Paramètres!$A$1:$I$89,3,0)*0.475*44/12</f>
        <v>1.5329811992913214E-6</v>
      </c>
      <c r="GO79" s="21">
        <f t="shared" si="81"/>
        <v>2.5784038821370445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17</v>
      </c>
      <c r="N80" s="13">
        <f>IF('Données projet'!$A$36&gt;35,N79+M80-V79,IF(A80&lt;'Données projet'!$A$36,$K$205^A80,IF(A80='Données projet'!$A$36,'Données projet'!$B$36,N79+M80-V79)))</f>
        <v>481.99999999999989</v>
      </c>
      <c r="O80" s="13">
        <f>N80*VLOOKUP('Données projet'!$B$9,Paramètres!$A$1:$I$89,3,0)*VLOOKUP('Données projet'!$B$9,Paramètres!$A$1:$I$89,5,0)</f>
        <v>225.57599999999994</v>
      </c>
      <c r="P80" s="13">
        <f t="shared" si="87"/>
        <v>55.325030705505945</v>
      </c>
      <c r="Q80" s="20">
        <f t="shared" si="54"/>
        <v>489.23596181208933</v>
      </c>
      <c r="R80" s="59">
        <f t="shared" si="55"/>
        <v>782.56929514542264</v>
      </c>
      <c r="S80" s="59">
        <f ca="1">AVERAGE(OFFSET($R$3,0,0,'Données projet'!$E$9+1,1))-AVERAGE(OFFSET($H$3,0,0,'Données projet'!$E$9+1,1))</f>
        <v>215.23235148064941</v>
      </c>
      <c r="T80" s="59">
        <f t="shared" si="88"/>
        <v>184.07239726900434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1.2357747018548486</v>
      </c>
      <c r="AA80" s="21">
        <f>EXP(-LN(2)/25)*AA79+(1-EXP(-LN(2)/25))/(LN(2)/25)*Calculateur!V80*Calculateur!X80*VLOOKUP('Données projet'!$B$9,Paramètres!$A$1:$I$89,3,0)*0.475*44/12</f>
        <v>2.134201743703795</v>
      </c>
      <c r="AB80" s="21">
        <f>EXP(-LN(2)/2)*AB79+(1-EXP(-LN(2)/2))/(LN(2)/2)*V80*Y80*VLOOKUP('Données projet'!$B$9,Paramètres!$A$1:$I$89,3,0)*0.475*44/12</f>
        <v>8.2879050529482091E-7</v>
      </c>
      <c r="AC80" s="22">
        <f t="shared" si="57"/>
        <v>3.3699772743491487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3.1</v>
      </c>
      <c r="AI80" s="13">
        <f>IF('Données projet'!$A$62&gt;35,AI79+AH80-AQ79,IF(A80&lt;'Données projet'!$A$62,$AF$205^A80,IF(A80='Données projet'!$A$62,'Données projet'!$B$62,AI79+AH80-AQ79)))</f>
        <v>274.7</v>
      </c>
      <c r="AJ80" s="13">
        <f>AI80*VLOOKUP('Données projet'!$B$10,Paramètres!$A$1:$I$89,3,0)*VLOOKUP('Données projet'!$B$10,Paramètres!$A$1:$I$89,5,0)</f>
        <v>201.41003999999998</v>
      </c>
      <c r="AK80" s="13">
        <f t="shared" si="89"/>
        <v>50.053925019918871</v>
      </c>
      <c r="AL80" s="20">
        <f t="shared" si="58"/>
        <v>437.96640574302529</v>
      </c>
      <c r="AM80" s="59">
        <f t="shared" si="59"/>
        <v>731.29973907635861</v>
      </c>
      <c r="AN80" s="59">
        <f ca="1">AVERAGE(OFFSET($AM$3,0,0,'Données projet'!$E$10+1,1))-AVERAGE(OFFSET($H$3,0,0,'Données projet'!$E$10+1,1))</f>
        <v>178.12968684094687</v>
      </c>
      <c r="AO80" s="59">
        <f t="shared" si="90"/>
        <v>219.36004077210373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2.0888281806424929</v>
      </c>
      <c r="AW80" s="21">
        <f>EXP(-LN(2)/2)*AW79+(1-EXP(-LN(2)/2))/(LN(2)/2)*AQ80*AT80*VLOOKUP('Données projet'!$B$10,Paramètres!$A$1:$I$89,3,0)*0.475*44/12</f>
        <v>8.3598397070545266E-7</v>
      </c>
      <c r="AX80" s="21">
        <f t="shared" si="60"/>
        <v>2.0888290166264634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2.4</v>
      </c>
      <c r="BD80" s="12">
        <f>IF('Données projet'!$A$88&gt;35,BD79+BC80-BL79,IF(A80&lt;'Données projet'!$A$88,$BA$205^A80,IF(A80='Données projet'!$A$88,'Données projet'!$B$88,BD79+BC80-BL79)))</f>
        <v>150.79999999999987</v>
      </c>
      <c r="BE80" s="13">
        <f>BD80*VLOOKUP('Données projet'!$B$11,Paramètres!$A$1:$I$89,3,0)*VLOOKUP('Données projet'!$B$11,Paramètres!$A$1:$I$89,5,0)</f>
        <v>131.73887999999991</v>
      </c>
      <c r="BF80" s="13">
        <f t="shared" si="91"/>
        <v>34.397852193895829</v>
      </c>
      <c r="BG80" s="20">
        <f t="shared" si="61"/>
        <v>289.35480857103511</v>
      </c>
      <c r="BH80" s="59">
        <f t="shared" si="62"/>
        <v>582.68814190436842</v>
      </c>
      <c r="BI80" s="59">
        <f ca="1">AVERAGE(OFFSET($BH$3,0,0,'Données projet'!$E$11+1,1))-AVERAGE(OFFSET($H$3,0,0,'Données projet'!$E$11+1,1))</f>
        <v>114.02623091248347</v>
      </c>
      <c r="BJ80" s="59">
        <f t="shared" si="92"/>
        <v>185.51554083721635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0.76945950604698587</v>
      </c>
      <c r="BQ80" s="21">
        <f>EXP(-LN(2)/25)*BQ79+(1-EXP(-LN(2)/25))/(LN(2)/25)*Calculateur!BL80*Calculateur!BN80*VLOOKUP('Données projet'!$B$11,Paramètres!$A$1:$I$89,3,0)*0.475*44/12</f>
        <v>3.0581073652319022</v>
      </c>
      <c r="BR80" s="21">
        <f>EXP(-LN(2)/2)*BR79+(1-EXP(-LN(2)/2))/(LN(2)/2)*BL80*BO80*VLOOKUP('Données projet'!$B$11,Paramètres!$A$1:$I$89,3,0)*0.475*44/12</f>
        <v>1.4868795684753552E-6</v>
      </c>
      <c r="BS80" s="22">
        <f t="shared" si="63"/>
        <v>3.8275683581584565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6.1</v>
      </c>
      <c r="BY80" s="12">
        <f>IF('Données projet'!$A$114&gt;35,BY79+BX80-CG79,IF(A80&lt;'Données projet'!$A$114,$BV$205^A80,IF(A80='Données projet'!$A$114,'Données projet'!$B$114,BY79+BX80-CG79)))</f>
        <v>263.70000000000022</v>
      </c>
      <c r="BZ80" s="13">
        <f>BY80*VLOOKUP('Données projet'!$B$12,Paramètres!$A$1:$I$89,3,0)*VLOOKUP('Données projet'!$B$12,Paramètres!$A$1:$I$89,5,0)</f>
        <v>238.59576000000018</v>
      </c>
      <c r="CA80" s="13">
        <f t="shared" si="93"/>
        <v>58.137298297430824</v>
      </c>
      <c r="CB80" s="20">
        <f t="shared" si="64"/>
        <v>516.81007653469237</v>
      </c>
      <c r="CC80" s="59">
        <f t="shared" si="65"/>
        <v>810.14340986802563</v>
      </c>
      <c r="CD80" s="59">
        <f ca="1">AVERAGE(OFFSET($CC$3,0,0,'Données projet'!$E$12+1,1))-AVERAGE(OFFSET($H$3,0,0,'Données projet'!$E$12+1,1))</f>
        <v>237.22177246688199</v>
      </c>
      <c r="CE80" s="59">
        <f t="shared" si="94"/>
        <v>149.27472147904302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0.84383282322381492</v>
      </c>
      <c r="CM80" s="21">
        <f>EXP(-LN(2)/2)*CM79+(1-EXP(-LN(2)/2))/(LN(2)/2)*CG80*CJ80*VLOOKUP('Données projet'!$B$12,Paramètres!$A$1:$I$89,3,0)*0.475*44/12</f>
        <v>5.2172301280364385E-7</v>
      </c>
      <c r="CN80" s="22">
        <f t="shared" si="66"/>
        <v>0.84383334494682771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10.4</v>
      </c>
      <c r="CT80" s="12">
        <f>IF('Données projet'!$A$140&gt;35,CT79+CS80-DB79,IF(A80&lt;'Données projet'!$A$140,$CQ$205^A80,IF(A80='Données projet'!$A$140,'Données projet'!$B$140,CT79+CS80-DB79)))</f>
        <v>619.7999999999995</v>
      </c>
      <c r="CU80" s="17">
        <f>CT80*VLOOKUP('Données projet'!$B$13,Paramètres!$A$1:$I$89,3,0)*VLOOKUP('Données projet'!$B$13,Paramètres!$A$1:$I$89,5,0)</f>
        <v>346.46819999999974</v>
      </c>
      <c r="CV80" s="13">
        <f t="shared" si="95"/>
        <v>80.834848230178139</v>
      </c>
      <c r="CW80" s="20">
        <f t="shared" si="67"/>
        <v>744.21947566755978</v>
      </c>
      <c r="CX80" s="59">
        <f t="shared" si="68"/>
        <v>1037.5528090008931</v>
      </c>
      <c r="CY80" s="59">
        <f ca="1">AVERAGE(OFFSET($CX$3,0,0,'Données projet'!$E$13+1,1))-AVERAGE(OFFSET($H$3,0,0,'Données projet'!$E$13+1,1))</f>
        <v>326.31232746914907</v>
      </c>
      <c r="CZ80" s="59">
        <f t="shared" si="96"/>
        <v>330.17137761430297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1.8008626737269899</v>
      </c>
      <c r="DG80" s="21">
        <f>EXP(-LN(2)/25)*DG79+(1-EXP(-LN(2)/25))/(LN(2)/25)*Calculateur!DB80*Calculateur!DD80*VLOOKUP('Données projet'!$B$13,Paramètres!$A$1:$I$89,3,0)*0.475*44/12</f>
        <v>8.1974986971532555</v>
      </c>
      <c r="DH80" s="21">
        <f>EXP(-LN(2)/2)*DH79+(1-EXP(-LN(2)/2))/(LN(2)/2)*DB80*DE80*VLOOKUP('Données projet'!$B$13,Paramètres!$A$1:$I$89,3,0)*0.475*44/12</f>
        <v>2.7414070636132853E-6</v>
      </c>
      <c r="DI80" s="22">
        <f t="shared" si="69"/>
        <v>9.9983641122873088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5.0999999999999996</v>
      </c>
      <c r="DO80" s="12">
        <f>IF('Données projet'!$A$166&gt;35,DO79+DN80-DW79,IF(A80&lt;'Données projet'!$A$166,$DL$205^A80,IF(A80='Données projet'!$A$166,'Données projet'!$B$166,DO79+DN80-DW79)))</f>
        <v>371.70000000000056</v>
      </c>
      <c r="DP80" s="17">
        <f>DO80*VLOOKUP('Données projet'!$B$14,Paramètres!$A$1:$I$89,3,0)*VLOOKUP('Données projet'!$B$14,Paramètres!$A$1:$I$89,5,0)</f>
        <v>231.94080000000034</v>
      </c>
      <c r="DQ80" s="13">
        <f t="shared" si="97"/>
        <v>56.702122420175556</v>
      </c>
      <c r="DR80" s="20">
        <f t="shared" si="70"/>
        <v>502.71975654847284</v>
      </c>
      <c r="DS80" s="59">
        <f t="shared" si="71"/>
        <v>796.05308988180616</v>
      </c>
      <c r="DT80" s="59">
        <f ca="1">AVERAGE(OFFSET($DS$3,0,0,'Données projet'!$E$14+1,1))-AVERAGE(OFFSET($H$3,0,0,'Données projet'!$E$14+1,1))</f>
        <v>209.93608079129638</v>
      </c>
      <c r="DU80" s="59">
        <f t="shared" si="98"/>
        <v>240.15652428700969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2.7412708775548231</v>
      </c>
      <c r="EB80" s="21">
        <f>EXP(-LN(2)/25)*EB79+(1-EXP(-LN(2)/25))/(LN(2)/25)*Calculateur!DW80*Calculateur!DY80*VLOOKUP('Données projet'!$B$14,Paramètres!$A$1:$I$89,3,0)*0.475*44/12</f>
        <v>5.6477362100340009</v>
      </c>
      <c r="EC80" s="21">
        <f>EXP(-LN(2)/2)*EC79+(1-EXP(-LN(2)/2))/(LN(2)/2)*DW80*DZ80*VLOOKUP('Données projet'!$B$14,Paramètres!$A$1:$I$89,3,0)*0.475*44/12</f>
        <v>1.7019584846929821E-6</v>
      </c>
      <c r="ED80" s="22">
        <f t="shared" si="72"/>
        <v>8.3890087895473098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7.2</v>
      </c>
      <c r="EJ80" s="12">
        <f>IF('Données projet'!$A$192&gt;35,EJ79+EI80-ER79,IF(A80&lt;'Données projet'!$A$192,$EG$205^A80,IF(A80='Données projet'!$A$192,'Données projet'!$B$192,EJ79+EI80-ER79)))</f>
        <v>428.39999999999958</v>
      </c>
      <c r="EK80" s="17">
        <f>EJ80*VLOOKUP('Données projet'!$B$15,Paramètres!$A$1:$I$89,3,0)*VLOOKUP('Données projet'!$B$15,Paramètres!$A$1:$I$89,5,0)</f>
        <v>256.18319999999977</v>
      </c>
      <c r="EL80" s="13">
        <f t="shared" si="99"/>
        <v>61.90809149979912</v>
      </c>
      <c r="EM80" s="20">
        <f t="shared" si="73"/>
        <v>554.00899936214978</v>
      </c>
      <c r="EN80" s="59">
        <f t="shared" si="74"/>
        <v>847.34233269548304</v>
      </c>
      <c r="EO80" s="59">
        <f ca="1">AVERAGE(OFFSET($EN$3,0,0,'Données projet'!$E$15+1,1))-AVERAGE(OFFSET($H$3,0,0,'Données projet'!$E$15+1,1))</f>
        <v>216.94426559495264</v>
      </c>
      <c r="EP80" s="59">
        <f t="shared" si="100"/>
        <v>225.33715877618704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0</v>
      </c>
      <c r="EW80" s="21">
        <f>EXP(-LN(2)/25)*EW79+(1-EXP(-LN(2)/25))/(LN(2)/25)*Calculateur!ER80*Calculateur!ET80*VLOOKUP('Données projet'!$B$15,Paramètres!$A$1:$I$89,3,0)*0.475*44/12</f>
        <v>3.4909356648952672</v>
      </c>
      <c r="EX80" s="21">
        <f>EXP(-LN(2)/2)*EX79+(1-EXP(-LN(2)/2))/(LN(2)/2)*ER80*EU80*VLOOKUP('Données projet'!$B$15,Paramètres!$A$1:$I$89,3,0)*0.475*44/12</f>
        <v>2.0002354717246714E-6</v>
      </c>
      <c r="EY80" s="22">
        <f t="shared" si="75"/>
        <v>3.4909376651307391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>
        <f>FE80*VLOOKUP('Données projet'!$B$16,Paramètres!$A$1:$I$89,3,0)*VLOOKUP('Données projet'!$B$16,Paramètres!$A$1:$I$89,5,0)</f>
        <v>0</v>
      </c>
      <c r="FG80" s="13" t="e">
        <f t="shared" si="101"/>
        <v>#NUM!</v>
      </c>
      <c r="FH80" s="20" t="e">
        <f t="shared" si="76"/>
        <v>#NUM!</v>
      </c>
      <c r="FI80" s="59" t="e">
        <f t="shared" si="77"/>
        <v>#NUM!</v>
      </c>
      <c r="FJ80" s="59">
        <f ca="1">AVERAGE(OFFSET($FI$3,0,0,'Données projet'!$E$16+1,1))-AVERAGE(OFFSET($H$3,0,0,'Données projet'!$E$16+1,1))</f>
        <v>168.08890945052406</v>
      </c>
      <c r="FK80" s="59">
        <f t="shared" si="102"/>
        <v>182.52462557642343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2.4491175932782436</v>
      </c>
      <c r="FR80" s="21">
        <f>EXP(-LN(2)/25)*FR79+(1-EXP(-LN(2)/25))/(LN(2)/25)*Calculateur!FM80*Calculateur!FO80*VLOOKUP('Données projet'!$B$16,Paramètres!$A$1:$I$89,3,0)*0.475*44/12</f>
        <v>3.3500999072260509</v>
      </c>
      <c r="FS80" s="21">
        <f>EXP(-LN(2)/2)*FS79+(1-EXP(-LN(2)/2))/(LN(2)/2)*FM80*FP80*VLOOKUP('Données projet'!$B$16,Paramètres!$A$1:$I$89,3,0)*0.475*44/12</f>
        <v>4.5903754305406987E-7</v>
      </c>
      <c r="FT80" s="22">
        <f t="shared" si="78"/>
        <v>5.7992179595418376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5.625</v>
      </c>
      <c r="FZ80" s="12">
        <f>IF('Données projet'!$A$244&gt;35,FZ79+FY80-GH79,IF(A80&lt;'Données projet'!$A$244,$FW$205^A80,IF(A80='Données projet'!$A$244,'Données projet'!$B$244,FZ79+FY80-GH79)))</f>
        <v>415.87499999999994</v>
      </c>
      <c r="GA80" s="17">
        <f>FZ80*VLOOKUP('Données projet'!$B$17,Paramètres!$A$1:$I$89,3,0)*VLOOKUP('Données projet'!$B$17,Paramètres!$A$1:$I$89,5,0)</f>
        <v>237.88049999999998</v>
      </c>
      <c r="GB80" s="13">
        <f t="shared" si="103"/>
        <v>57.983274573421546</v>
      </c>
      <c r="GC80" s="20">
        <f t="shared" si="79"/>
        <v>515.2960740487091</v>
      </c>
      <c r="GD80" s="59">
        <f t="shared" si="80"/>
        <v>808.62940738204247</v>
      </c>
      <c r="GE80" s="59">
        <f ca="1">AVERAGE(OFFSET($GD$3,0,0,'Données projet'!$E$17+1,1))-AVERAGE(OFFSET($H$3,0,0,'Données projet'!$E$17+1,1))</f>
        <v>196.95560009657527</v>
      </c>
      <c r="GF80" s="59">
        <f t="shared" si="104"/>
        <v>168.90186968005662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0</v>
      </c>
      <c r="GM80" s="21">
        <f>EXP(-LN(2)/25)*GM79+(1-EXP(-LN(2)/25))/(LN(2)/25)*Calculateur!GH80*Calculateur!GJ80*VLOOKUP('Données projet'!$B$17,Paramètres!$A$1:$I$89,3,0)*0.475*44/12</f>
        <v>2.5078958013258923</v>
      </c>
      <c r="GN80" s="21">
        <f>EXP(-LN(2)/2)*GN79+(1-EXP(-LN(2)/2))/(LN(2)/2)*GH80*GK80*VLOOKUP('Données projet'!$B$17,Paramètres!$A$1:$I$89,3,0)*0.475*44/12</f>
        <v>1.0839814014503796E-6</v>
      </c>
      <c r="GO80" s="21">
        <f t="shared" si="81"/>
        <v>2.5078968853072938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17</v>
      </c>
      <c r="N81" s="13">
        <f>IF('Données projet'!$A$36&gt;35,N80+M81-V80,IF(A81&lt;'Données projet'!$A$36,$K$205^A81,IF(A81='Données projet'!$A$36,'Données projet'!$B$36,N80+M81-V80)))</f>
        <v>498.99999999999989</v>
      </c>
      <c r="O81" s="13">
        <f>N81*VLOOKUP('Données projet'!$B$9,Paramètres!$A$1:$I$89,3,0)*VLOOKUP('Données projet'!$B$9,Paramètres!$A$1:$I$89,5,0)</f>
        <v>233.53199999999995</v>
      </c>
      <c r="P81" s="13">
        <f t="shared" si="87"/>
        <v>57.04570382109808</v>
      </c>
      <c r="Q81" s="20">
        <f t="shared" si="54"/>
        <v>506.08950082174573</v>
      </c>
      <c r="R81" s="59">
        <f t="shared" si="55"/>
        <v>799.42283415507904</v>
      </c>
      <c r="S81" s="59">
        <f ca="1">AVERAGE(OFFSET($R$3,0,0,'Données projet'!$E$9+1,1))-AVERAGE(OFFSET($H$3,0,0,'Données projet'!$E$9+1,1))</f>
        <v>215.23235148064941</v>
      </c>
      <c r="T81" s="59">
        <f t="shared" si="88"/>
        <v>184.07239726900434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1.2115419136996166</v>
      </c>
      <c r="AA81" s="21">
        <f>EXP(-LN(2)/25)*AA80+(1-EXP(-LN(2)/25))/(LN(2)/25)*Calculateur!V81*Calculateur!X81*VLOOKUP('Données projet'!$B$9,Paramètres!$A$1:$I$89,3,0)*0.475*44/12</f>
        <v>2.0758418847894227</v>
      </c>
      <c r="AB81" s="21">
        <f>EXP(-LN(2)/2)*AB80+(1-EXP(-LN(2)/2))/(LN(2)/2)*V81*Y81*VLOOKUP('Données projet'!$B$9,Paramètres!$A$1:$I$89,3,0)*0.475*44/12</f>
        <v>5.8604338647699308E-7</v>
      </c>
      <c r="AC81" s="22">
        <f t="shared" si="57"/>
        <v>3.2873843845324258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3.1</v>
      </c>
      <c r="AI81" s="13">
        <f>IF('Données projet'!$A$62&gt;35,AI80+AH81-AQ80,IF(A81&lt;'Données projet'!$A$62,$AF$205^A81,IF(A81='Données projet'!$A$62,'Données projet'!$B$62,AI80+AH81-AQ80)))</f>
        <v>277.8</v>
      </c>
      <c r="AJ81" s="13">
        <f>AI81*VLOOKUP('Données projet'!$B$10,Paramètres!$A$1:$I$89,3,0)*VLOOKUP('Données projet'!$B$10,Paramètres!$A$1:$I$89,5,0)</f>
        <v>203.68296000000001</v>
      </c>
      <c r="AK81" s="13">
        <f t="shared" si="89"/>
        <v>50.552709277761799</v>
      </c>
      <c r="AL81" s="20">
        <f t="shared" si="58"/>
        <v>442.7937906587685</v>
      </c>
      <c r="AM81" s="59">
        <f t="shared" si="59"/>
        <v>736.12712399210182</v>
      </c>
      <c r="AN81" s="59">
        <f ca="1">AVERAGE(OFFSET($AM$3,0,0,'Données projet'!$E$10+1,1))-AVERAGE(OFFSET($H$3,0,0,'Données projet'!$E$10+1,1))</f>
        <v>178.12968684094687</v>
      </c>
      <c r="AO81" s="59">
        <f t="shared" si="90"/>
        <v>219.36004077210373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2.0317090641961242</v>
      </c>
      <c r="AW81" s="21">
        <f>EXP(-LN(2)/2)*AW80+(1-EXP(-LN(2)/2))/(LN(2)/2)*AQ81*AT81*VLOOKUP('Données projet'!$B$10,Paramètres!$A$1:$I$89,3,0)*0.475*44/12</f>
        <v>5.9112993464908166E-7</v>
      </c>
      <c r="AX81" s="21">
        <f t="shared" si="60"/>
        <v>2.031709655326059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2.4</v>
      </c>
      <c r="BD81" s="12">
        <f>IF('Données projet'!$A$88&gt;35,BD80+BC81-BL80,IF(A81&lt;'Données projet'!$A$88,$BA$205^A81,IF(A81='Données projet'!$A$88,'Données projet'!$B$88,BD80+BC81-BL80)))</f>
        <v>153.19999999999987</v>
      </c>
      <c r="BE81" s="13">
        <f>BD81*VLOOKUP('Données projet'!$B$11,Paramètres!$A$1:$I$89,3,0)*VLOOKUP('Données projet'!$B$11,Paramètres!$A$1:$I$89,5,0)</f>
        <v>133.83551999999992</v>
      </c>
      <c r="BF81" s="13">
        <f t="shared" si="91"/>
        <v>34.881129989958531</v>
      </c>
      <c r="BG81" s="20">
        <f t="shared" si="61"/>
        <v>293.84816539917762</v>
      </c>
      <c r="BH81" s="59">
        <f t="shared" si="62"/>
        <v>587.18149873251093</v>
      </c>
      <c r="BI81" s="59">
        <f ca="1">AVERAGE(OFFSET($BH$3,0,0,'Données projet'!$E$11+1,1))-AVERAGE(OFFSET($H$3,0,0,'Données projet'!$E$11+1,1))</f>
        <v>114.02623091248347</v>
      </c>
      <c r="BJ81" s="59">
        <f t="shared" si="92"/>
        <v>185.51554083721635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0.75437087445736128</v>
      </c>
      <c r="BQ81" s="21">
        <f>EXP(-LN(2)/25)*BQ80+(1-EXP(-LN(2)/25))/(LN(2)/25)*Calculateur!BL81*Calculateur!BN81*VLOOKUP('Données projet'!$B$11,Paramètres!$A$1:$I$89,3,0)*0.475*44/12</f>
        <v>2.9744832585107588</v>
      </c>
      <c r="BR81" s="21">
        <f>EXP(-LN(2)/2)*BR80+(1-EXP(-LN(2)/2))/(LN(2)/2)*BL81*BO81*VLOOKUP('Données projet'!$B$11,Paramètres!$A$1:$I$89,3,0)*0.475*44/12</f>
        <v>1.0513826256766512E-6</v>
      </c>
      <c r="BS81" s="22">
        <f t="shared" si="63"/>
        <v>3.728855184350746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6.1</v>
      </c>
      <c r="BY81" s="12">
        <f>IF('Données projet'!$A$114&gt;35,BY80+BX81-CG80,IF(A81&lt;'Données projet'!$A$114,$BV$205^A81,IF(A81='Données projet'!$A$114,'Données projet'!$B$114,BY80+BX81-CG80)))</f>
        <v>269.80000000000024</v>
      </c>
      <c r="BZ81" s="13">
        <f>BY81*VLOOKUP('Données projet'!$B$12,Paramètres!$A$1:$I$89,3,0)*VLOOKUP('Données projet'!$B$12,Paramètres!$A$1:$I$89,5,0)</f>
        <v>244.11504000000019</v>
      </c>
      <c r="CA81" s="13">
        <f t="shared" si="93"/>
        <v>59.324023461759062</v>
      </c>
      <c r="CB81" s="20">
        <f t="shared" si="64"/>
        <v>528.48970219589739</v>
      </c>
      <c r="CC81" s="59">
        <f t="shared" si="65"/>
        <v>821.82303552923076</v>
      </c>
      <c r="CD81" s="59">
        <f ca="1">AVERAGE(OFFSET($CC$3,0,0,'Données projet'!$E$12+1,1))-AVERAGE(OFFSET($H$3,0,0,'Données projet'!$E$12+1,1))</f>
        <v>237.22177246688199</v>
      </c>
      <c r="CE81" s="59">
        <f t="shared" si="94"/>
        <v>149.27472147904302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0.82075817029752018</v>
      </c>
      <c r="CM81" s="21">
        <f>EXP(-LN(2)/2)*CM80+(1-EXP(-LN(2)/2))/(LN(2)/2)*CG81*CJ81*VLOOKUP('Données projet'!$B$12,Paramètres!$A$1:$I$89,3,0)*0.475*44/12</f>
        <v>3.6891388025453253E-7</v>
      </c>
      <c r="CN81" s="22">
        <f t="shared" si="66"/>
        <v>0.82075853921140041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10.4</v>
      </c>
      <c r="CT81" s="12">
        <f>IF('Données projet'!$A$140&gt;35,CT80+CS81-DB80,IF(A81&lt;'Données projet'!$A$140,$CQ$205^A81,IF(A81='Données projet'!$A$140,'Données projet'!$B$140,CT80+CS81-DB80)))</f>
        <v>630.19999999999948</v>
      </c>
      <c r="CU81" s="17">
        <f>CT81*VLOOKUP('Données projet'!$B$13,Paramètres!$A$1:$I$89,3,0)*VLOOKUP('Données projet'!$B$13,Paramètres!$A$1:$I$89,5,0)</f>
        <v>352.28179999999969</v>
      </c>
      <c r="CV81" s="13">
        <f t="shared" si="95"/>
        <v>82.032179712608126</v>
      </c>
      <c r="CW81" s="20">
        <f t="shared" si="67"/>
        <v>756.4301813327919</v>
      </c>
      <c r="CX81" s="59">
        <f t="shared" si="68"/>
        <v>1049.7635146661253</v>
      </c>
      <c r="CY81" s="59">
        <f ca="1">AVERAGE(OFFSET($CX$3,0,0,'Données projet'!$E$13+1,1))-AVERAGE(OFFSET($H$3,0,0,'Données projet'!$E$13+1,1))</f>
        <v>326.31232746914907</v>
      </c>
      <c r="CZ81" s="59">
        <f t="shared" si="96"/>
        <v>330.17137761430297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1.765548855112975</v>
      </c>
      <c r="DG81" s="21">
        <f>EXP(-LN(2)/25)*DG80+(1-EXP(-LN(2)/25))/(LN(2)/25)*Calculateur!DB81*Calculateur!DD81*VLOOKUP('Données projet'!$B$13,Paramètres!$A$1:$I$89,3,0)*0.475*44/12</f>
        <v>7.9733376641918792</v>
      </c>
      <c r="DH81" s="21">
        <f>EXP(-LN(2)/2)*DH80+(1-EXP(-LN(2)/2))/(LN(2)/2)*DB81*DE81*VLOOKUP('Données projet'!$B$13,Paramètres!$A$1:$I$89,3,0)*0.475*44/12</f>
        <v>1.9384675246736551E-6</v>
      </c>
      <c r="DI81" s="22">
        <f t="shared" si="69"/>
        <v>9.7388884577723793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5.0999999999999996</v>
      </c>
      <c r="DO81" s="12">
        <f>IF('Données projet'!$A$166&gt;35,DO80+DN81-DW80,IF(A81&lt;'Données projet'!$A$166,$DL$205^A81,IF(A81='Données projet'!$A$166,'Données projet'!$B$166,DO80+DN81-DW80)))</f>
        <v>376.80000000000058</v>
      </c>
      <c r="DP81" s="17">
        <f>DO81*VLOOKUP('Données projet'!$B$14,Paramètres!$A$1:$I$89,3,0)*VLOOKUP('Données projet'!$B$14,Paramètres!$A$1:$I$89,5,0)</f>
        <v>235.12320000000034</v>
      </c>
      <c r="DQ81" s="13">
        <f t="shared" si="97"/>
        <v>57.389012831278578</v>
      </c>
      <c r="DR81" s="20">
        <f t="shared" si="70"/>
        <v>509.45877068114413</v>
      </c>
      <c r="DS81" s="59">
        <f t="shared" si="71"/>
        <v>802.79210401447745</v>
      </c>
      <c r="DT81" s="59">
        <f ca="1">AVERAGE(OFFSET($DS$3,0,0,'Données projet'!$E$14+1,1))-AVERAGE(OFFSET($H$3,0,0,'Données projet'!$E$14+1,1))</f>
        <v>209.93608079129638</v>
      </c>
      <c r="DU81" s="59">
        <f t="shared" si="98"/>
        <v>240.15652428700969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2.6875162276561109</v>
      </c>
      <c r="EB81" s="21">
        <f>EXP(-LN(2)/25)*EB80+(1-EXP(-LN(2)/25))/(LN(2)/25)*Calculateur!DW81*Calculateur!DY81*VLOOKUP('Données projet'!$B$14,Paramètres!$A$1:$I$89,3,0)*0.475*44/12</f>
        <v>5.4932985663690816</v>
      </c>
      <c r="EC81" s="21">
        <f>EXP(-LN(2)/2)*EC80+(1-EXP(-LN(2)/2))/(LN(2)/2)*DW81*DZ81*VLOOKUP('Données projet'!$B$14,Paramètres!$A$1:$I$89,3,0)*0.475*44/12</f>
        <v>1.2034663858243885E-6</v>
      </c>
      <c r="ED81" s="22">
        <f t="shared" si="72"/>
        <v>8.1808159974915782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7.2</v>
      </c>
      <c r="EJ81" s="12">
        <f>IF('Données projet'!$A$192&gt;35,EJ80+EI81-ER80,IF(A81&lt;'Données projet'!$A$192,$EG$205^A81,IF(A81='Données projet'!$A$192,'Données projet'!$B$192,EJ80+EI81-ER80)))</f>
        <v>435.59999999999957</v>
      </c>
      <c r="EK81" s="17">
        <f>EJ81*VLOOKUP('Données projet'!$B$15,Paramètres!$A$1:$I$89,3,0)*VLOOKUP('Données projet'!$B$15,Paramètres!$A$1:$I$89,5,0)</f>
        <v>260.48879999999974</v>
      </c>
      <c r="EL81" s="13">
        <f t="shared" si="99"/>
        <v>62.826558970958764</v>
      </c>
      <c r="EM81" s="20">
        <f t="shared" si="73"/>
        <v>563.107583541086</v>
      </c>
      <c r="EN81" s="59">
        <f t="shared" si="74"/>
        <v>856.44091687441937</v>
      </c>
      <c r="EO81" s="59">
        <f ca="1">AVERAGE(OFFSET($EN$3,0,0,'Données projet'!$E$15+1,1))-AVERAGE(OFFSET($H$3,0,0,'Données projet'!$E$15+1,1))</f>
        <v>216.94426559495264</v>
      </c>
      <c r="EP81" s="59">
        <f t="shared" si="100"/>
        <v>225.33715877618704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0</v>
      </c>
      <c r="EW81" s="21">
        <f>EXP(-LN(2)/25)*EW80+(1-EXP(-LN(2)/25))/(LN(2)/25)*Calculateur!ER81*Calculateur!ET81*VLOOKUP('Données projet'!$B$15,Paramètres!$A$1:$I$89,3,0)*0.475*44/12</f>
        <v>3.3954758455583782</v>
      </c>
      <c r="EX81" s="21">
        <f>EXP(-LN(2)/2)*EX80+(1-EXP(-LN(2)/2))/(LN(2)/2)*ER81*EU81*VLOOKUP('Données projet'!$B$15,Paramètres!$A$1:$I$89,3,0)*0.475*44/12</f>
        <v>1.4143800660263879E-6</v>
      </c>
      <c r="EY81" s="22">
        <f t="shared" si="75"/>
        <v>3.3954772599384442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>
        <f>FE81*VLOOKUP('Données projet'!$B$16,Paramètres!$A$1:$I$89,3,0)*VLOOKUP('Données projet'!$B$16,Paramètres!$A$1:$I$89,5,0)</f>
        <v>0</v>
      </c>
      <c r="FG81" s="13" t="e">
        <f t="shared" si="101"/>
        <v>#NUM!</v>
      </c>
      <c r="FH81" s="20" t="e">
        <f t="shared" si="76"/>
        <v>#NUM!</v>
      </c>
      <c r="FI81" s="59" t="e">
        <f t="shared" si="77"/>
        <v>#NUM!</v>
      </c>
      <c r="FJ81" s="59">
        <f ca="1">AVERAGE(OFFSET($FI$3,0,0,'Données projet'!$E$16+1,1))-AVERAGE(OFFSET($H$3,0,0,'Données projet'!$E$16+1,1))</f>
        <v>168.08890945052406</v>
      </c>
      <c r="FK81" s="59">
        <f t="shared" si="102"/>
        <v>182.52462557642343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2.4010918910882872</v>
      </c>
      <c r="FR81" s="21">
        <f>EXP(-LN(2)/25)*FR80+(1-EXP(-LN(2)/25))/(LN(2)/25)*Calculateur!FM81*Calculateur!FO81*VLOOKUP('Données projet'!$B$16,Paramètres!$A$1:$I$89,3,0)*0.475*44/12</f>
        <v>3.2584912490888573</v>
      </c>
      <c r="FS81" s="21">
        <f>EXP(-LN(2)/2)*FS80+(1-EXP(-LN(2)/2))/(LN(2)/2)*FM81*FP81*VLOOKUP('Données projet'!$B$16,Paramètres!$A$1:$I$89,3,0)*0.475*44/12</f>
        <v>3.245885595127446E-7</v>
      </c>
      <c r="FT81" s="22">
        <f t="shared" si="78"/>
        <v>5.6595834647657037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5.625</v>
      </c>
      <c r="FZ81" s="12">
        <f>IF('Données projet'!$A$244&gt;35,FZ80+FY81-GH80,IF(A81&lt;'Données projet'!$A$244,$FW$205^A81,IF(A81='Données projet'!$A$244,'Données projet'!$B$244,FZ80+FY81-GH80)))</f>
        <v>421.49999999999994</v>
      </c>
      <c r="GA81" s="17">
        <f>FZ81*VLOOKUP('Données projet'!$B$17,Paramètres!$A$1:$I$89,3,0)*VLOOKUP('Données projet'!$B$17,Paramètres!$A$1:$I$89,5,0)</f>
        <v>241.09799999999998</v>
      </c>
      <c r="GB81" s="13">
        <f t="shared" si="103"/>
        <v>58.675707735379945</v>
      </c>
      <c r="GC81" s="20">
        <f t="shared" si="79"/>
        <v>522.10587430578664</v>
      </c>
      <c r="GD81" s="59">
        <f t="shared" si="80"/>
        <v>815.43920763912001</v>
      </c>
      <c r="GE81" s="59">
        <f ca="1">AVERAGE(OFFSET($GD$3,0,0,'Données projet'!$E$17+1,1))-AVERAGE(OFFSET($H$3,0,0,'Données projet'!$E$17+1,1))</f>
        <v>196.95560009657527</v>
      </c>
      <c r="GF81" s="59">
        <f t="shared" si="104"/>
        <v>168.90186968005662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0</v>
      </c>
      <c r="GM81" s="21">
        <f>EXP(-LN(2)/25)*GM80+(1-EXP(-LN(2)/25))/(LN(2)/25)*Calculateur!GH81*Calculateur!GJ81*VLOOKUP('Données projet'!$B$17,Paramètres!$A$1:$I$89,3,0)*0.475*44/12</f>
        <v>2.4393172587541274</v>
      </c>
      <c r="GN81" s="21">
        <f>EXP(-LN(2)/2)*GN80+(1-EXP(-LN(2)/2))/(LN(2)/2)*GH81*GK81*VLOOKUP('Données projet'!$B$17,Paramètres!$A$1:$I$89,3,0)*0.475*44/12</f>
        <v>7.6649059964566069E-7</v>
      </c>
      <c r="GO81" s="21">
        <f t="shared" si="81"/>
        <v>2.4393180252447269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17</v>
      </c>
      <c r="N82" s="13">
        <f>IF('Données projet'!$A$36&gt;35,N81+M82-V81,IF(A82&lt;'Données projet'!$A$36,$K$205^A82,IF(A82='Données projet'!$A$36,'Données projet'!$B$36,N81+M82-V81)))</f>
        <v>515.99999999999989</v>
      </c>
      <c r="O82" s="13">
        <f>N82*VLOOKUP('Données projet'!$B$9,Paramètres!$A$1:$I$89,3,0)*VLOOKUP('Données projet'!$B$9,Paramètres!$A$1:$I$89,5,0)</f>
        <v>241.48799999999997</v>
      </c>
      <c r="P82" s="13">
        <f t="shared" si="87"/>
        <v>58.759565673424916</v>
      </c>
      <c r="Q82" s="20">
        <f t="shared" si="54"/>
        <v>522.93117688121504</v>
      </c>
      <c r="R82" s="59">
        <f t="shared" si="55"/>
        <v>816.26451021454841</v>
      </c>
      <c r="S82" s="59">
        <f ca="1">AVERAGE(OFFSET($R$3,0,0,'Données projet'!$E$9+1,1))-AVERAGE(OFFSET($H$3,0,0,'Données projet'!$E$9+1,1))</f>
        <v>215.23235148064941</v>
      </c>
      <c r="T82" s="59">
        <f t="shared" si="88"/>
        <v>184.07239726900434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1.1877843157395676</v>
      </c>
      <c r="AA82" s="21">
        <f>EXP(-LN(2)/25)*AA81+(1-EXP(-LN(2)/25))/(LN(2)/25)*Calculateur!V82*Calculateur!X82*VLOOKUP('Données projet'!$B$9,Paramètres!$A$1:$I$89,3,0)*0.475*44/12</f>
        <v>2.0190778792860757</v>
      </c>
      <c r="AB82" s="21">
        <f>EXP(-LN(2)/2)*AB81+(1-EXP(-LN(2)/2))/(LN(2)/2)*V82*Y82*VLOOKUP('Données projet'!$B$9,Paramètres!$A$1:$I$89,3,0)*0.475*44/12</f>
        <v>4.1439525264741046E-7</v>
      </c>
      <c r="AC82" s="22">
        <f t="shared" si="57"/>
        <v>3.2068626094208961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3.1</v>
      </c>
      <c r="AI82" s="13">
        <f>IF('Données projet'!$A$62&gt;35,AI81+AH82-AQ81,IF(A82&lt;'Données projet'!$A$62,$AF$205^A82,IF(A82='Données projet'!$A$62,'Données projet'!$B$62,AI81+AH82-AQ81)))</f>
        <v>280.90000000000003</v>
      </c>
      <c r="AJ82" s="13">
        <f>AI82*VLOOKUP('Données projet'!$B$10,Paramètres!$A$1:$I$89,3,0)*VLOOKUP('Données projet'!$B$10,Paramètres!$A$1:$I$89,5,0)</f>
        <v>205.95588000000001</v>
      </c>
      <c r="AK82" s="13">
        <f t="shared" si="89"/>
        <v>51.050846061092926</v>
      </c>
      <c r="AL82" s="20">
        <f t="shared" si="58"/>
        <v>447.62004788973678</v>
      </c>
      <c r="AM82" s="59">
        <f t="shared" si="59"/>
        <v>740.9533812230701</v>
      </c>
      <c r="AN82" s="59">
        <f ca="1">AVERAGE(OFFSET($AM$3,0,0,'Données projet'!$E$10+1,1))-AVERAGE(OFFSET($H$3,0,0,'Données projet'!$E$10+1,1))</f>
        <v>178.12968684094687</v>
      </c>
      <c r="AO82" s="59">
        <f t="shared" si="90"/>
        <v>219.36004077210373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1.976151872992745</v>
      </c>
      <c r="AW82" s="21">
        <f>EXP(-LN(2)/2)*AW81+(1-EXP(-LN(2)/2))/(LN(2)/2)*AQ82*AT82*VLOOKUP('Données projet'!$B$10,Paramètres!$A$1:$I$89,3,0)*0.475*44/12</f>
        <v>4.1799198535272633E-7</v>
      </c>
      <c r="AX82" s="21">
        <f t="shared" si="60"/>
        <v>1.9761522909847302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2.4</v>
      </c>
      <c r="BD82" s="12">
        <f>IF('Données projet'!$A$88&gt;35,BD81+BC82-BL81,IF(A82&lt;'Données projet'!$A$88,$BA$205^A82,IF(A82='Données projet'!$A$88,'Données projet'!$B$88,BD81+BC82-BL81)))</f>
        <v>155.59999999999988</v>
      </c>
      <c r="BE82" s="13">
        <f>BD82*VLOOKUP('Données projet'!$B$11,Paramètres!$A$1:$I$89,3,0)*VLOOKUP('Données projet'!$B$11,Paramètres!$A$1:$I$89,5,0)</f>
        <v>135.9321599999999</v>
      </c>
      <c r="BF82" s="13">
        <f t="shared" si="91"/>
        <v>35.363527294509652</v>
      </c>
      <c r="BG82" s="20">
        <f t="shared" si="61"/>
        <v>298.33998870460414</v>
      </c>
      <c r="BH82" s="59">
        <f t="shared" si="62"/>
        <v>591.6733220379374</v>
      </c>
      <c r="BI82" s="59">
        <f ca="1">AVERAGE(OFFSET($BH$3,0,0,'Données projet'!$E$11+1,1))-AVERAGE(OFFSET($H$3,0,0,'Données projet'!$E$11+1,1))</f>
        <v>114.02623091248347</v>
      </c>
      <c r="BJ82" s="59">
        <f t="shared" si="92"/>
        <v>185.51554083721635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0.73957812173005266</v>
      </c>
      <c r="BQ82" s="21">
        <f>EXP(-LN(2)/25)*BQ81+(1-EXP(-LN(2)/25))/(LN(2)/25)*Calculateur!BL82*Calculateur!BN82*VLOOKUP('Données projet'!$B$11,Paramètres!$A$1:$I$89,3,0)*0.475*44/12</f>
        <v>2.8931458573855058</v>
      </c>
      <c r="BR82" s="21">
        <f>EXP(-LN(2)/2)*BR81+(1-EXP(-LN(2)/2))/(LN(2)/2)*BL82*BO82*VLOOKUP('Données projet'!$B$11,Paramètres!$A$1:$I$89,3,0)*0.475*44/12</f>
        <v>7.4343978423767761E-7</v>
      </c>
      <c r="BS82" s="22">
        <f t="shared" si="63"/>
        <v>3.6327247225553427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6.1</v>
      </c>
      <c r="BY82" s="12">
        <f>IF('Données projet'!$A$114&gt;35,BY81+BX82-CG81,IF(A82&lt;'Données projet'!$A$114,$BV$205^A82,IF(A82='Données projet'!$A$114,'Données projet'!$B$114,BY81+BX82-CG81)))</f>
        <v>275.90000000000026</v>
      </c>
      <c r="BZ82" s="13">
        <f>BY82*VLOOKUP('Données projet'!$B$12,Paramètres!$A$1:$I$89,3,0)*VLOOKUP('Données projet'!$B$12,Paramètres!$A$1:$I$89,5,0)</f>
        <v>249.63432000000023</v>
      </c>
      <c r="CA82" s="13">
        <f t="shared" si="93"/>
        <v>60.507629314318471</v>
      </c>
      <c r="CB82" s="20">
        <f t="shared" si="64"/>
        <v>540.16389505577172</v>
      </c>
      <c r="CC82" s="59">
        <f t="shared" si="65"/>
        <v>833.49722838910498</v>
      </c>
      <c r="CD82" s="59">
        <f ca="1">AVERAGE(OFFSET($CC$3,0,0,'Données projet'!$E$12+1,1))-AVERAGE(OFFSET($H$3,0,0,'Données projet'!$E$12+1,1))</f>
        <v>237.22177246688199</v>
      </c>
      <c r="CE82" s="59">
        <f t="shared" si="94"/>
        <v>149.27472147904302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0.79831449496893814</v>
      </c>
      <c r="CM82" s="21">
        <f>EXP(-LN(2)/2)*CM81+(1-EXP(-LN(2)/2))/(LN(2)/2)*CG82*CJ82*VLOOKUP('Données projet'!$B$12,Paramètres!$A$1:$I$89,3,0)*0.475*44/12</f>
        <v>2.6086150640182193E-7</v>
      </c>
      <c r="CN82" s="22">
        <f t="shared" si="66"/>
        <v>0.79831475583044453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10.4</v>
      </c>
      <c r="CT82" s="12">
        <f>IF('Données projet'!$A$140&gt;35,CT81+CS82-DB81,IF(A82&lt;'Données projet'!$A$140,$CQ$205^A82,IF(A82='Données projet'!$A$140,'Données projet'!$B$140,CT81+CS82-DB81)))</f>
        <v>640.59999999999945</v>
      </c>
      <c r="CU82" s="17">
        <f>CT82*VLOOKUP('Données projet'!$B$13,Paramètres!$A$1:$I$89,3,0)*VLOOKUP('Données projet'!$B$13,Paramètres!$A$1:$I$89,5,0)</f>
        <v>358.0953999999997</v>
      </c>
      <c r="CV82" s="13">
        <f t="shared" si="95"/>
        <v>83.227213321573814</v>
      </c>
      <c r="CW82" s="20">
        <f t="shared" si="67"/>
        <v>768.63688486840704</v>
      </c>
      <c r="CX82" s="59">
        <f t="shared" si="68"/>
        <v>1061.9702182017404</v>
      </c>
      <c r="CY82" s="59">
        <f ca="1">AVERAGE(OFFSET($CX$3,0,0,'Données projet'!$E$13+1,1))-AVERAGE(OFFSET($H$3,0,0,'Données projet'!$E$13+1,1))</f>
        <v>326.31232746914907</v>
      </c>
      <c r="CZ82" s="59">
        <f t="shared" si="96"/>
        <v>330.17137761430297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1.7309275189426783</v>
      </c>
      <c r="DG82" s="21">
        <f>EXP(-LN(2)/25)*DG81+(1-EXP(-LN(2)/25))/(LN(2)/25)*Calculateur!DB82*Calculateur!DD82*VLOOKUP('Données projet'!$B$13,Paramètres!$A$1:$I$89,3,0)*0.475*44/12</f>
        <v>7.7553063264649476</v>
      </c>
      <c r="DH82" s="21">
        <f>EXP(-LN(2)/2)*DH81+(1-EXP(-LN(2)/2))/(LN(2)/2)*DB82*DE82*VLOOKUP('Données projet'!$B$13,Paramètres!$A$1:$I$89,3,0)*0.475*44/12</f>
        <v>1.3707035318066427E-6</v>
      </c>
      <c r="DI82" s="22">
        <f t="shared" si="69"/>
        <v>9.4862352161111563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5.0999999999999996</v>
      </c>
      <c r="DO82" s="12">
        <f>IF('Données projet'!$A$166&gt;35,DO81+DN82-DW81,IF(A82&lt;'Données projet'!$A$166,$DL$205^A82,IF(A82='Données projet'!$A$166,'Données projet'!$B$166,DO81+DN82-DW81)))</f>
        <v>381.9000000000006</v>
      </c>
      <c r="DP82" s="17">
        <f>DO82*VLOOKUP('Données projet'!$B$14,Paramètres!$A$1:$I$89,3,0)*VLOOKUP('Données projet'!$B$14,Paramètres!$A$1:$I$89,5,0)</f>
        <v>238.3056000000004</v>
      </c>
      <c r="DQ82" s="13">
        <f t="shared" si="97"/>
        <v>58.074821878967199</v>
      </c>
      <c r="DR82" s="20">
        <f t="shared" si="70"/>
        <v>516.19590143920186</v>
      </c>
      <c r="DS82" s="59">
        <f t="shared" si="71"/>
        <v>809.52923477253512</v>
      </c>
      <c r="DT82" s="59">
        <f ca="1">AVERAGE(OFFSET($DS$3,0,0,'Données projet'!$E$14+1,1))-AVERAGE(OFFSET($H$3,0,0,'Données projet'!$E$14+1,1))</f>
        <v>209.93608079129638</v>
      </c>
      <c r="DU82" s="59">
        <f t="shared" si="98"/>
        <v>240.15652428700969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2.6348156736548134</v>
      </c>
      <c r="EB82" s="21">
        <f>EXP(-LN(2)/25)*EB81+(1-EXP(-LN(2)/25))/(LN(2)/25)*Calculateur!DW82*Calculateur!DY82*VLOOKUP('Données projet'!$B$14,Paramètres!$A$1:$I$89,3,0)*0.475*44/12</f>
        <v>5.3430840281917025</v>
      </c>
      <c r="EC82" s="21">
        <f>EXP(-LN(2)/2)*EC81+(1-EXP(-LN(2)/2))/(LN(2)/2)*DW82*DZ82*VLOOKUP('Données projet'!$B$14,Paramètres!$A$1:$I$89,3,0)*0.475*44/12</f>
        <v>8.5097924234649107E-7</v>
      </c>
      <c r="ED82" s="22">
        <f t="shared" si="72"/>
        <v>7.9779005528257585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7.2</v>
      </c>
      <c r="EJ82" s="12">
        <f>IF('Données projet'!$A$192&gt;35,EJ81+EI82-ER81,IF(A82&lt;'Données projet'!$A$192,$EG$205^A82,IF(A82='Données projet'!$A$192,'Données projet'!$B$192,EJ81+EI82-ER81)))</f>
        <v>442.79999999999956</v>
      </c>
      <c r="EK82" s="17">
        <f>EJ82*VLOOKUP('Données projet'!$B$15,Paramètres!$A$1:$I$89,3,0)*VLOOKUP('Données projet'!$B$15,Paramètres!$A$1:$I$89,5,0)</f>
        <v>264.79439999999977</v>
      </c>
      <c r="EL82" s="13">
        <f t="shared" si="99"/>
        <v>63.74326095490612</v>
      </c>
      <c r="EM82" s="20">
        <f t="shared" si="73"/>
        <v>572.2030928297944</v>
      </c>
      <c r="EN82" s="59">
        <f t="shared" si="74"/>
        <v>865.53642616312777</v>
      </c>
      <c r="EO82" s="59">
        <f ca="1">AVERAGE(OFFSET($EN$3,0,0,'Données projet'!$E$15+1,1))-AVERAGE(OFFSET($H$3,0,0,'Données projet'!$E$15+1,1))</f>
        <v>216.94426559495264</v>
      </c>
      <c r="EP82" s="59">
        <f t="shared" si="100"/>
        <v>225.33715877618704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0</v>
      </c>
      <c r="EW82" s="21">
        <f>EXP(-LN(2)/25)*EW81+(1-EXP(-LN(2)/25))/(LN(2)/25)*Calculateur!ER82*Calculateur!ET82*VLOOKUP('Données projet'!$B$15,Paramètres!$A$1:$I$89,3,0)*0.475*44/12</f>
        <v>3.3026263800012701</v>
      </c>
      <c r="EX82" s="21">
        <f>EXP(-LN(2)/2)*EX81+(1-EXP(-LN(2)/2))/(LN(2)/2)*ER82*EU82*VLOOKUP('Données projet'!$B$15,Paramètres!$A$1:$I$89,3,0)*0.475*44/12</f>
        <v>1.0001177358623357E-6</v>
      </c>
      <c r="EY82" s="22">
        <f t="shared" si="75"/>
        <v>3.3026273801190058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>
        <f>FE82*VLOOKUP('Données projet'!$B$16,Paramètres!$A$1:$I$89,3,0)*VLOOKUP('Données projet'!$B$16,Paramètres!$A$1:$I$89,5,0)</f>
        <v>0</v>
      </c>
      <c r="FG82" s="13" t="e">
        <f t="shared" si="101"/>
        <v>#NUM!</v>
      </c>
      <c r="FH82" s="20" t="e">
        <f t="shared" si="76"/>
        <v>#NUM!</v>
      </c>
      <c r="FI82" s="59" t="e">
        <f t="shared" si="77"/>
        <v>#NUM!</v>
      </c>
      <c r="FJ82" s="59">
        <f ca="1">AVERAGE(OFFSET($FI$3,0,0,'Données projet'!$E$16+1,1))-AVERAGE(OFFSET($H$3,0,0,'Données projet'!$E$16+1,1))</f>
        <v>168.08890945052406</v>
      </c>
      <c r="FK82" s="59">
        <f t="shared" si="102"/>
        <v>182.52462557642343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2.3540079436254899</v>
      </c>
      <c r="FR82" s="21">
        <f>EXP(-LN(2)/25)*FR81+(1-EXP(-LN(2)/25))/(LN(2)/25)*Calculateur!FM82*Calculateur!FO82*VLOOKUP('Données projet'!$B$16,Paramètres!$A$1:$I$89,3,0)*0.475*44/12</f>
        <v>3.1693876345259153</v>
      </c>
      <c r="FS82" s="21">
        <f>EXP(-LN(2)/2)*FS81+(1-EXP(-LN(2)/2))/(LN(2)/2)*FM82*FP82*VLOOKUP('Données projet'!$B$16,Paramètres!$A$1:$I$89,3,0)*0.475*44/12</f>
        <v>2.2951877152703496E-7</v>
      </c>
      <c r="FT82" s="22">
        <f t="shared" si="78"/>
        <v>5.5233958076701759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5.625</v>
      </c>
      <c r="FZ82" s="12">
        <f>IF('Données projet'!$A$244&gt;35,FZ81+FY82-GH81,IF(A82&lt;'Données projet'!$A$244,$FW$205^A82,IF(A82='Données projet'!$A$244,'Données projet'!$B$244,FZ81+FY82-GH81)))</f>
        <v>427.12499999999994</v>
      </c>
      <c r="GA82" s="17">
        <f>FZ82*VLOOKUP('Données projet'!$B$17,Paramètres!$A$1:$I$89,3,0)*VLOOKUP('Données projet'!$B$17,Paramètres!$A$1:$I$89,5,0)</f>
        <v>244.31549999999999</v>
      </c>
      <c r="GB82" s="13">
        <f t="shared" si="103"/>
        <v>59.36706608622147</v>
      </c>
      <c r="GC82" s="20">
        <f t="shared" si="79"/>
        <v>528.91380260016911</v>
      </c>
      <c r="GD82" s="59">
        <f t="shared" si="80"/>
        <v>822.24713593350248</v>
      </c>
      <c r="GE82" s="59">
        <f ca="1">AVERAGE(OFFSET($GD$3,0,0,'Données projet'!$E$17+1,1))-AVERAGE(OFFSET($H$3,0,0,'Données projet'!$E$17+1,1))</f>
        <v>196.95560009657527</v>
      </c>
      <c r="GF82" s="59">
        <f t="shared" si="104"/>
        <v>168.90186968005662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0</v>
      </c>
      <c r="GM82" s="21">
        <f>EXP(-LN(2)/25)*GM81+(1-EXP(-LN(2)/25))/(LN(2)/25)*Calculateur!GH82*Calculateur!GJ82*VLOOKUP('Données projet'!$B$17,Paramètres!$A$1:$I$89,3,0)*0.475*44/12</f>
        <v>2.3726140000353761</v>
      </c>
      <c r="GN82" s="21">
        <f>EXP(-LN(2)/2)*GN81+(1-EXP(-LN(2)/2))/(LN(2)/2)*GH82*GK82*VLOOKUP('Données projet'!$B$17,Paramètres!$A$1:$I$89,3,0)*0.475*44/12</f>
        <v>5.419907007251898E-7</v>
      </c>
      <c r="GO82" s="21">
        <f t="shared" si="81"/>
        <v>2.3726145420260769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533</v>
      </c>
      <c r="L83" s="12">
        <f>VLOOKUP(A83,'Données projet'!$A$35:$I$55,9,0)</f>
        <v>17</v>
      </c>
      <c r="M83" s="12">
        <f t="array" ref="M83">INDEX(L:L,MIN(IF(ISNUMBER(L83:L279),ROW(L83:L279),"")))</f>
        <v>17</v>
      </c>
      <c r="N83" s="13">
        <f>IF('Données projet'!$A$36&gt;35,N82+M83-V82,IF(A83&lt;'Données projet'!$A$36,$K$205^A83,IF(A83='Données projet'!$A$36,'Données projet'!$B$36,N82+M83-V82)))</f>
        <v>532.99999999999989</v>
      </c>
      <c r="O83" s="13">
        <f>N83*VLOOKUP('Données projet'!$B$9,Paramètres!$A$1:$I$89,3,0)*VLOOKUP('Données projet'!$B$9,Paramètres!$A$1:$I$89,5,0)</f>
        <v>249.44399999999993</v>
      </c>
      <c r="P83" s="13">
        <f t="shared" si="87"/>
        <v>60.466866397117599</v>
      </c>
      <c r="Q83" s="20">
        <f t="shared" si="54"/>
        <v>539.76142564164627</v>
      </c>
      <c r="R83" s="59">
        <f t="shared" si="55"/>
        <v>833.09475897497964</v>
      </c>
      <c r="S83" s="59">
        <f ca="1">AVERAGE(OFFSET($R$3,0,0,'Données projet'!$E$9+1,1))-AVERAGE(OFFSET($H$3,0,0,'Données projet'!$E$9+1,1))</f>
        <v>215.23235148064941</v>
      </c>
      <c r="T83" s="59">
        <f t="shared" si="88"/>
        <v>184.07239726900434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83.4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1.1644925897848111</v>
      </c>
      <c r="AA83" s="21">
        <f>EXP(-LN(2)/25)*AA82+(1-EXP(-LN(2)/25))/(LN(2)/25)*Calculateur!V83*Calculateur!X83*VLOOKUP('Données projet'!$B$9,Paramètres!$A$1:$I$89,3,0)*0.475*44/12</f>
        <v>1.963866088498307</v>
      </c>
      <c r="AB83" s="21">
        <f>EXP(-LN(2)/2)*AB82+(1-EXP(-LN(2)/2))/(LN(2)/2)*V83*Y83*VLOOKUP('Données projet'!$B$9,Paramètres!$A$1:$I$89,3,0)*0.475*44/12</f>
        <v>2.9302169323849654E-7</v>
      </c>
      <c r="AC83" s="22">
        <f t="shared" si="57"/>
        <v>3.1283589713048112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284</v>
      </c>
      <c r="AG83" s="12">
        <f>VLOOKUP(A83,'Données projet'!$A$61:$I$81,9,0)</f>
        <v>3.1</v>
      </c>
      <c r="AH83" s="12">
        <f t="array" ref="AH83">INDEX(AG:AG,MIN(IF(ISNUMBER(AG83:AG279),ROW(AG83:AG279),"")))</f>
        <v>3.1</v>
      </c>
      <c r="AI83" s="13">
        <f>IF('Données projet'!$A$62&gt;35,AI82+AH83-AQ82,IF(A83&lt;'Données projet'!$A$62,$AF$205^A83,IF(A83='Données projet'!$A$62,'Données projet'!$B$62,AI82+AH83-AQ82)))</f>
        <v>284.00000000000006</v>
      </c>
      <c r="AJ83" s="13">
        <f>AI83*VLOOKUP('Données projet'!$B$10,Paramètres!$A$1:$I$89,3,0)*VLOOKUP('Données projet'!$B$10,Paramètres!$A$1:$I$89,5,0)</f>
        <v>208.22880000000004</v>
      </c>
      <c r="AK83" s="13">
        <f t="shared" si="89"/>
        <v>51.548343342352297</v>
      </c>
      <c r="AL83" s="20">
        <f t="shared" si="58"/>
        <v>452.44519132126362</v>
      </c>
      <c r="AM83" s="59">
        <f t="shared" si="59"/>
        <v>745.77852465459694</v>
      </c>
      <c r="AN83" s="59">
        <f ca="1">AVERAGE(OFFSET($AM$3,0,0,'Données projet'!$E$10+1,1))-AVERAGE(OFFSET($H$3,0,0,'Données projet'!$E$10+1,1))</f>
        <v>178.12968684094687</v>
      </c>
      <c r="AO83" s="59">
        <f t="shared" si="90"/>
        <v>219.36004077210373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284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1.9221138961044479</v>
      </c>
      <c r="AW83" s="21">
        <f>EXP(-LN(2)/2)*AW82+(1-EXP(-LN(2)/2))/(LN(2)/2)*AQ83*AT83*VLOOKUP('Données projet'!$B$10,Paramètres!$A$1:$I$89,3,0)*0.475*44/12</f>
        <v>2.9556496732454083E-7</v>
      </c>
      <c r="AX83" s="21">
        <f t="shared" si="60"/>
        <v>1.9221141916694153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158</v>
      </c>
      <c r="BB83" s="12">
        <f>VLOOKUP(A83,'Données projet'!$A$87:$I$107,9,0)</f>
        <v>2.4</v>
      </c>
      <c r="BC83" s="12">
        <f t="array" ref="BC83">INDEX(BB:BB,MIN(IF(ISNUMBER(BB83:BB279),ROW(BB83:BB279),"")))</f>
        <v>2.4</v>
      </c>
      <c r="BD83" s="12">
        <f>IF('Données projet'!$A$88&gt;35,BD82+BC83-BL82,IF(A83&lt;'Données projet'!$A$88,$BA$205^A83,IF(A83='Données projet'!$A$88,'Données projet'!$B$88,BD82+BC83-BL82)))</f>
        <v>157.99999999999989</v>
      </c>
      <c r="BE83" s="13">
        <f>BD83*VLOOKUP('Données projet'!$B$11,Paramètres!$A$1:$I$89,3,0)*VLOOKUP('Données projet'!$B$11,Paramètres!$A$1:$I$89,5,0)</f>
        <v>138.02879999999993</v>
      </c>
      <c r="BF83" s="13">
        <f t="shared" si="91"/>
        <v>35.845059256813073</v>
      </c>
      <c r="BG83" s="20">
        <f t="shared" si="61"/>
        <v>302.83030487228262</v>
      </c>
      <c r="BH83" s="59">
        <f t="shared" si="62"/>
        <v>596.16363820561594</v>
      </c>
      <c r="BI83" s="59">
        <f ca="1">AVERAGE(OFFSET($BH$3,0,0,'Données projet'!$E$11+1,1))-AVERAGE(OFFSET($H$3,0,0,'Données projet'!$E$11+1,1))</f>
        <v>114.02623091248347</v>
      </c>
      <c r="BJ83" s="59">
        <f t="shared" si="92"/>
        <v>185.51554083721635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18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0.72507544586103834</v>
      </c>
      <c r="BQ83" s="21">
        <f>EXP(-LN(2)/25)*BQ82+(1-EXP(-LN(2)/25))/(LN(2)/25)*Calculateur!BL83*Calculateur!BN83*VLOOKUP('Données projet'!$B$11,Paramètres!$A$1:$I$89,3,0)*0.475*44/12</f>
        <v>2.8140326317713709</v>
      </c>
      <c r="BR83" s="21">
        <f>EXP(-LN(2)/2)*BR82+(1-EXP(-LN(2)/2))/(LN(2)/2)*BL83*BO83*VLOOKUP('Données projet'!$B$11,Paramètres!$A$1:$I$89,3,0)*0.475*44/12</f>
        <v>5.2569131283832559E-7</v>
      </c>
      <c r="BS83" s="22">
        <f t="shared" si="63"/>
        <v>3.5391086033237218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282</v>
      </c>
      <c r="BW83" s="12">
        <f>VLOOKUP(A83,'Données projet'!$A$113:$I$133,9,0)</f>
        <v>6.1</v>
      </c>
      <c r="BX83" s="12">
        <f t="array" ref="BX83">INDEX(BW:BW,MIN(IF(ISNUMBER(BW83:BW279),ROW(BW83:BW279),"")))</f>
        <v>6.1</v>
      </c>
      <c r="BY83" s="12">
        <f>IF('Données projet'!$A$114&gt;35,BY82+BX83-CG82,IF(A83&lt;'Données projet'!$A$114,$BV$205^A83,IF(A83='Données projet'!$A$114,'Données projet'!$B$114,BY82+BX83-CG82)))</f>
        <v>282.00000000000028</v>
      </c>
      <c r="BZ83" s="13">
        <f>BY83*VLOOKUP('Données projet'!$B$12,Paramètres!$A$1:$I$89,3,0)*VLOOKUP('Données projet'!$B$12,Paramètres!$A$1:$I$89,5,0)</f>
        <v>255.15360000000024</v>
      </c>
      <c r="CA83" s="13">
        <f t="shared" si="93"/>
        <v>61.688192762754483</v>
      </c>
      <c r="CB83" s="20">
        <f t="shared" si="64"/>
        <v>551.83278906179783</v>
      </c>
      <c r="CC83" s="59">
        <f t="shared" si="65"/>
        <v>845.1661223951312</v>
      </c>
      <c r="CD83" s="59">
        <f ca="1">AVERAGE(OFFSET($CC$3,0,0,'Données projet'!$E$12+1,1))-AVERAGE(OFFSET($H$3,0,0,'Données projet'!$E$12+1,1))</f>
        <v>237.22177246688199</v>
      </c>
      <c r="CE83" s="59">
        <f t="shared" si="94"/>
        <v>149.27472147904302</v>
      </c>
      <c r="CF83" s="15">
        <f>IF(ISNA(VLOOKUP(A83,'Données projet'!$A$113:$I$133,3,0)),0,VLOOKUP(A83,'Données projet'!$A$113:$I$133,3,0))</f>
        <v>6</v>
      </c>
      <c r="CG83" s="15">
        <f>IF(ISNA(VLOOKUP(A83,'Données projet'!$A$113:$I$133,4,0)),0,VLOOKUP(A83,'Données projet'!$A$113:$I$133,4,0))</f>
        <v>42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0.77648454312247783</v>
      </c>
      <c r="CM83" s="21">
        <f>EXP(-LN(2)/2)*CM82+(1-EXP(-LN(2)/2))/(LN(2)/2)*CG83*CJ83*VLOOKUP('Données projet'!$B$12,Paramètres!$A$1:$I$89,3,0)*0.475*44/12</f>
        <v>1.8445694012726627E-7</v>
      </c>
      <c r="CN83" s="22">
        <f t="shared" si="66"/>
        <v>0.776484727579418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651</v>
      </c>
      <c r="CR83" s="12">
        <f>VLOOKUP(A83,'Données projet'!$A$139:$I$159,9,0)</f>
        <v>10.4</v>
      </c>
      <c r="CS83" s="12">
        <f t="array" ref="CS83">INDEX(CR:CR,MIN(IF(ISNUMBER(CR83:CR279),ROW(CR83:CR279),"")))</f>
        <v>10.4</v>
      </c>
      <c r="CT83" s="12">
        <f>IF('Données projet'!$A$140&gt;35,CT82+CS83-DB82,IF(A83&lt;'Données projet'!$A$140,$CQ$205^A83,IF(A83='Données projet'!$A$140,'Données projet'!$B$140,CT82+CS83-DB82)))</f>
        <v>650.99999999999943</v>
      </c>
      <c r="CU83" s="17">
        <f>CT83*VLOOKUP('Données projet'!$B$13,Paramètres!$A$1:$I$89,3,0)*VLOOKUP('Données projet'!$B$13,Paramètres!$A$1:$I$89,5,0)</f>
        <v>363.90899999999971</v>
      </c>
      <c r="CV83" s="13">
        <f t="shared" si="95"/>
        <v>84.4199906692578</v>
      </c>
      <c r="CW83" s="20">
        <f t="shared" si="67"/>
        <v>780.83965874895682</v>
      </c>
      <c r="CX83" s="59">
        <f t="shared" si="68"/>
        <v>1074.1729920822902</v>
      </c>
      <c r="CY83" s="59">
        <f ca="1">AVERAGE(OFFSET($CX$3,0,0,'Données projet'!$E$13+1,1))-AVERAGE(OFFSET($H$3,0,0,'Données projet'!$E$13+1,1))</f>
        <v>326.31232746914907</v>
      </c>
      <c r="CZ83" s="59">
        <f t="shared" si="96"/>
        <v>330.17137761430297</v>
      </c>
      <c r="DA83" s="15">
        <f>IF(ISNA(VLOOKUP(A83,'Données projet'!$A$139:$I$159,3,0)),0,VLOOKUP(A83,'Données projet'!$A$139:$I$159,3,0))</f>
        <v>7</v>
      </c>
      <c r="DB83" s="15">
        <f>IF(ISNA(VLOOKUP(A83,'Données projet'!$A$139:$I$159,4,0)),0,VLOOKUP(A83,'Données projet'!$A$139:$I$159,4,0))</f>
        <v>651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1.6969850860577511</v>
      </c>
      <c r="DG83" s="21">
        <f>EXP(-LN(2)/25)*DG82+(1-EXP(-LN(2)/25))/(LN(2)/25)*Calculateur!DB83*Calculateur!DD83*VLOOKUP('Données projet'!$B$13,Paramètres!$A$1:$I$89,3,0)*0.475*44/12</f>
        <v>7.5432370671339291</v>
      </c>
      <c r="DH83" s="21">
        <f>EXP(-LN(2)/2)*DH82+(1-EXP(-LN(2)/2))/(LN(2)/2)*DB83*DE83*VLOOKUP('Données projet'!$B$13,Paramètres!$A$1:$I$89,3,0)*0.475*44/12</f>
        <v>9.6923376233682757E-7</v>
      </c>
      <c r="DI83" s="22">
        <f t="shared" si="69"/>
        <v>9.2402231224254425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387</v>
      </c>
      <c r="DM83" s="12">
        <f>VLOOKUP(A83,'Données projet'!$A$165:$I$185,9,0)</f>
        <v>5.0999999999999996</v>
      </c>
      <c r="DN83" s="12">
        <f t="array" ref="DN83">INDEX(DM:DM,MIN(IF(ISNUMBER(DM83:DM279),ROW(DM83:DM279),"")))</f>
        <v>5.0999999999999996</v>
      </c>
      <c r="DO83" s="12">
        <f>IF('Données projet'!$A$166&gt;35,DO82+DN83-DW82,IF(A83&lt;'Données projet'!$A$166,$DL$205^A83,IF(A83='Données projet'!$A$166,'Données projet'!$B$166,DO82+DN83-DW82)))</f>
        <v>387.00000000000063</v>
      </c>
      <c r="DP83" s="17">
        <f>DO83*VLOOKUP('Données projet'!$B$14,Paramètres!$A$1:$I$89,3,0)*VLOOKUP('Données projet'!$B$14,Paramètres!$A$1:$I$89,5,0)</f>
        <v>241.4880000000004</v>
      </c>
      <c r="DQ83" s="13">
        <f t="shared" si="97"/>
        <v>58.759565673425016</v>
      </c>
      <c r="DR83" s="20">
        <f t="shared" si="70"/>
        <v>522.93117688121595</v>
      </c>
      <c r="DS83" s="59">
        <f t="shared" si="71"/>
        <v>816.26451021454932</v>
      </c>
      <c r="DT83" s="59">
        <f ca="1">AVERAGE(OFFSET($DS$3,0,0,'Données projet'!$E$14+1,1))-AVERAGE(OFFSET($H$3,0,0,'Données projet'!$E$14+1,1))</f>
        <v>209.93608079129638</v>
      </c>
      <c r="DU83" s="59">
        <f t="shared" si="98"/>
        <v>240.15652428700969</v>
      </c>
      <c r="DV83" s="15">
        <f>IF(ISNA(VLOOKUP(A83,'Données projet'!$A$165:$I$185,3,0)),0,VLOOKUP(A83,'Données projet'!$A$165:$I$185,3,0))</f>
        <v>7</v>
      </c>
      <c r="DW83" s="15">
        <f>IF(ISNA(VLOOKUP(A83,'Données projet'!$A$165:$I$185,4,0)),0,VLOOKUP(A83,'Données projet'!$A$165:$I$185,4,0))</f>
        <v>387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2.5831485453733176</v>
      </c>
      <c r="EB83" s="21">
        <f>EXP(-LN(2)/25)*EB82+(1-EXP(-LN(2)/25))/(LN(2)/25)*Calculateur!DW83*Calculateur!DY83*VLOOKUP('Données projet'!$B$14,Paramètres!$A$1:$I$89,3,0)*0.475*44/12</f>
        <v>5.196977114460223</v>
      </c>
      <c r="EC83" s="21">
        <f>EXP(-LN(2)/2)*EC82+(1-EXP(-LN(2)/2))/(LN(2)/2)*DW83*DZ83*VLOOKUP('Données projet'!$B$14,Paramètres!$A$1:$I$89,3,0)*0.475*44/12</f>
        <v>6.0173319291219425E-7</v>
      </c>
      <c r="ED83" s="22">
        <f t="shared" si="72"/>
        <v>7.7801262615667337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450</v>
      </c>
      <c r="EH83" s="12">
        <f>VLOOKUP(A83,'Données projet'!$A$191:$I$211,9,0)</f>
        <v>7.2</v>
      </c>
      <c r="EI83" s="12">
        <f t="array" ref="EI83">INDEX(EH:EH,MIN(IF(ISNUMBER(EH83:EH279),ROW(EH83:EH279),"")))</f>
        <v>7.2</v>
      </c>
      <c r="EJ83" s="12">
        <f>IF('Données projet'!$A$192&gt;35,EJ82+EI83-ER82,IF(A83&lt;'Données projet'!$A$192,$EG$205^A83,IF(A83='Données projet'!$A$192,'Données projet'!$B$192,EJ82+EI83-ER82)))</f>
        <v>449.99999999999955</v>
      </c>
      <c r="EK83" s="17">
        <f>EJ83*VLOOKUP('Données projet'!$B$15,Paramètres!$A$1:$I$89,3,0)*VLOOKUP('Données projet'!$B$15,Paramètres!$A$1:$I$89,5,0)</f>
        <v>269.09999999999974</v>
      </c>
      <c r="EL83" s="13">
        <f t="shared" si="99"/>
        <v>64.658229472790936</v>
      </c>
      <c r="EM83" s="20">
        <f t="shared" si="73"/>
        <v>581.29558299844382</v>
      </c>
      <c r="EN83" s="59">
        <f t="shared" si="74"/>
        <v>874.62891633177719</v>
      </c>
      <c r="EO83" s="59">
        <f ca="1">AVERAGE(OFFSET($EN$3,0,0,'Données projet'!$E$15+1,1))-AVERAGE(OFFSET($H$3,0,0,'Données projet'!$E$15+1,1))</f>
        <v>216.94426559495264</v>
      </c>
      <c r="EP83" s="59">
        <f t="shared" si="100"/>
        <v>225.33715877618704</v>
      </c>
      <c r="EQ83" s="15">
        <f>IF(ISNA(VLOOKUP(A83,'Données projet'!$A$191:$I$211,3,0)),0,VLOOKUP(A83,'Données projet'!$A$191:$I$211,3,0))</f>
        <v>7</v>
      </c>
      <c r="ER83" s="15">
        <f>IF(ISNA(VLOOKUP(A83,'Données projet'!$A$191:$I$211,4,0)),0,VLOOKUP(A83,'Données projet'!$A$191:$I$211,4,0))</f>
        <v>450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0</v>
      </c>
      <c r="EW83" s="21">
        <f>EXP(-LN(2)/25)*EW82+(1-EXP(-LN(2)/25))/(LN(2)/25)*Calculateur!ER83*Calculateur!ET83*VLOOKUP('Données projet'!$B$15,Paramètres!$A$1:$I$89,3,0)*0.475*44/12</f>
        <v>3.2123158879625624</v>
      </c>
      <c r="EX83" s="21">
        <f>EXP(-LN(2)/2)*EX82+(1-EXP(-LN(2)/2))/(LN(2)/2)*ER83*EU83*VLOOKUP('Données projet'!$B$15,Paramètres!$A$1:$I$89,3,0)*0.475*44/12</f>
        <v>7.0719003301319395E-7</v>
      </c>
      <c r="EY83" s="22">
        <f t="shared" si="75"/>
        <v>3.2123165951525956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>
        <f>FE83*VLOOKUP('Données projet'!$B$16,Paramètres!$A$1:$I$89,3,0)*VLOOKUP('Données projet'!$B$16,Paramètres!$A$1:$I$89,5,0)</f>
        <v>0</v>
      </c>
      <c r="FG83" s="13" t="e">
        <f t="shared" si="101"/>
        <v>#NUM!</v>
      </c>
      <c r="FH83" s="20" t="e">
        <f t="shared" si="76"/>
        <v>#NUM!</v>
      </c>
      <c r="FI83" s="59" t="e">
        <f t="shared" si="77"/>
        <v>#NUM!</v>
      </c>
      <c r="FJ83" s="59">
        <f ca="1">AVERAGE(OFFSET($FI$3,0,0,'Données projet'!$E$16+1,1))-AVERAGE(OFFSET($H$3,0,0,'Données projet'!$E$16+1,1))</f>
        <v>168.08890945052406</v>
      </c>
      <c r="FK83" s="59">
        <f t="shared" si="102"/>
        <v>182.52462557642343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2.3078472836540658</v>
      </c>
      <c r="FR83" s="21">
        <f>EXP(-LN(2)/25)*FR82+(1-EXP(-LN(2)/25))/(LN(2)/25)*Calculateur!FM83*Calculateur!FO83*VLOOKUP('Données projet'!$B$16,Paramètres!$A$1:$I$89,3,0)*0.475*44/12</f>
        <v>3.082720562988952</v>
      </c>
      <c r="FS83" s="21">
        <f>EXP(-LN(2)/2)*FS82+(1-EXP(-LN(2)/2))/(LN(2)/2)*FM83*FP83*VLOOKUP('Données projet'!$B$16,Paramètres!$A$1:$I$89,3,0)*0.475*44/12</f>
        <v>1.622942797563723E-7</v>
      </c>
      <c r="FT83" s="22">
        <f t="shared" si="78"/>
        <v>5.3905680089372972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5.625</v>
      </c>
      <c r="FZ83" s="12">
        <f>IF('Données projet'!$A$244&gt;35,FZ82+FY83-GH82,IF(A83&lt;'Données projet'!$A$244,$FW$205^A83,IF(A83='Données projet'!$A$244,'Données projet'!$B$244,FZ82+FY83-GH82)))</f>
        <v>432.74999999999994</v>
      </c>
      <c r="GA83" s="17">
        <f>FZ83*VLOOKUP('Données projet'!$B$17,Paramètres!$A$1:$I$89,3,0)*VLOOKUP('Données projet'!$B$17,Paramètres!$A$1:$I$89,5,0)</f>
        <v>247.53299999999996</v>
      </c>
      <c r="GB83" s="13">
        <f t="shared" si="103"/>
        <v>60.057365417030148</v>
      </c>
      <c r="GC83" s="20">
        <f t="shared" si="79"/>
        <v>535.71988643466068</v>
      </c>
      <c r="GD83" s="59">
        <f t="shared" si="80"/>
        <v>829.05321976799405</v>
      </c>
      <c r="GE83" s="59">
        <f ca="1">AVERAGE(OFFSET($GD$3,0,0,'Données projet'!$E$17+1,1))-AVERAGE(OFFSET($H$3,0,0,'Données projet'!$E$17+1,1))</f>
        <v>196.95560009657527</v>
      </c>
      <c r="GF83" s="59">
        <f t="shared" si="104"/>
        <v>168.90186968005662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0</v>
      </c>
      <c r="GM83" s="21">
        <f>EXP(-LN(2)/25)*GM82+(1-EXP(-LN(2)/25))/(LN(2)/25)*Calculateur!GH83*Calculateur!GJ83*VLOOKUP('Données projet'!$B$17,Paramètres!$A$1:$I$89,3,0)*0.475*44/12</f>
        <v>2.3077347454340611</v>
      </c>
      <c r="GN83" s="21">
        <f>EXP(-LN(2)/2)*GN82+(1-EXP(-LN(2)/2))/(LN(2)/2)*GH83*GK83*VLOOKUP('Données projet'!$B$17,Paramètres!$A$1:$I$89,3,0)*0.475*44/12</f>
        <v>3.8324529982283034E-7</v>
      </c>
      <c r="GO83" s="21">
        <f t="shared" si="81"/>
        <v>2.307735128679361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17.5</v>
      </c>
      <c r="N84" s="13">
        <f>IF('Données projet'!$A$36&gt;35,N83+M84-V83,IF(A84&lt;'Données projet'!$A$36,$K$205^A84,IF(A84='Données projet'!$A$36,'Données projet'!$B$36,N83+M84-V83)))</f>
        <v>467.09999999999991</v>
      </c>
      <c r="O84" s="13">
        <f>N84*VLOOKUP('Données projet'!$B$9,Paramètres!$A$1:$I$89,3,0)*VLOOKUP('Données projet'!$B$9,Paramètres!$A$1:$I$89,5,0)</f>
        <v>218.60279999999995</v>
      </c>
      <c r="P84" s="13">
        <f t="shared" si="87"/>
        <v>53.811098692658383</v>
      </c>
      <c r="Q84" s="20">
        <f t="shared" si="54"/>
        <v>474.45420688971325</v>
      </c>
      <c r="R84" s="59">
        <f t="shared" si="55"/>
        <v>767.78754022304656</v>
      </c>
      <c r="S84" s="59">
        <f ca="1">AVERAGE(OFFSET($R$3,0,0,'Données projet'!$E$9+1,1))-AVERAGE(OFFSET($H$3,0,0,'Données projet'!$E$9+1,1))</f>
        <v>215.23235148064941</v>
      </c>
      <c r="T84" s="59">
        <f t="shared" si="88"/>
        <v>184.07239726900434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1.1416576003694774</v>
      </c>
      <c r="AA84" s="21">
        <f>EXP(-LN(2)/25)*AA83+(1-EXP(-LN(2)/25))/(LN(2)/25)*Calculateur!V84*Calculateur!X84*VLOOKUP('Données projet'!$B$9,Paramètres!$A$1:$I$89,3,0)*0.475*44/12</f>
        <v>1.9101640670330917</v>
      </c>
      <c r="AB84" s="21">
        <f>EXP(-LN(2)/2)*AB83+(1-EXP(-LN(2)/2))/(LN(2)/2)*V84*Y84*VLOOKUP('Données projet'!$B$9,Paramètres!$A$1:$I$89,3,0)*0.475*44/12</f>
        <v>2.0719762632370523E-7</v>
      </c>
      <c r="AC84" s="22">
        <f t="shared" si="57"/>
        <v>3.0518218746001953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5.6843418860808015E-14</v>
      </c>
      <c r="AJ84" s="13">
        <f>AI84*VLOOKUP('Données projet'!$B$10,Paramètres!$A$1:$I$89,3,0)*VLOOKUP('Données projet'!$B$10,Paramètres!$A$1:$I$89,5,0)</f>
        <v>4.1677594708744434E-14</v>
      </c>
      <c r="AK84" s="13">
        <f t="shared" si="89"/>
        <v>6.9326303456159188E-13</v>
      </c>
      <c r="AL84" s="20">
        <f t="shared" si="58"/>
        <v>1.2800215959791691E-12</v>
      </c>
      <c r="AM84" s="59">
        <f t="shared" si="59"/>
        <v>293.33333333333462</v>
      </c>
      <c r="AN84" s="59">
        <f ca="1">AVERAGE(OFFSET($AM$3,0,0,'Données projet'!$E$10+1,1))-AVERAGE(OFFSET($H$3,0,0,'Données projet'!$E$10+1,1))</f>
        <v>178.12968684094687</v>
      </c>
      <c r="AO84" s="59">
        <f t="shared" si="90"/>
        <v>219.36004077210373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1.8695535905358951</v>
      </c>
      <c r="AW84" s="21">
        <f>EXP(-LN(2)/2)*AW83+(1-EXP(-LN(2)/2))/(LN(2)/2)*AQ84*AT84*VLOOKUP('Données projet'!$B$10,Paramètres!$A$1:$I$89,3,0)*0.475*44/12</f>
        <v>2.0899599267636317E-7</v>
      </c>
      <c r="AX84" s="21">
        <f t="shared" si="60"/>
        <v>1.8695537995318878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1.9</v>
      </c>
      <c r="BD84" s="12">
        <f>IF('Données projet'!$A$88&gt;35,BD83+BC84-BL83,IF(A84&lt;'Données projet'!$A$88,$BA$205^A84,IF(A84='Données projet'!$A$88,'Données projet'!$B$88,BD83+BC84-BL83)))</f>
        <v>141.89999999999989</v>
      </c>
      <c r="BE84" s="13">
        <f>BD84*VLOOKUP('Données projet'!$B$11,Paramètres!$A$1:$I$89,3,0)*VLOOKUP('Données projet'!$B$11,Paramètres!$A$1:$I$89,5,0)</f>
        <v>123.96383999999992</v>
      </c>
      <c r="BF84" s="13">
        <f t="shared" si="91"/>
        <v>32.597744036056838</v>
      </c>
      <c r="BG84" s="20">
        <f t="shared" si="61"/>
        <v>272.67809219613218</v>
      </c>
      <c r="BH84" s="59">
        <f t="shared" si="62"/>
        <v>566.01142552946544</v>
      </c>
      <c r="BI84" s="59">
        <f ca="1">AVERAGE(OFFSET($BH$3,0,0,'Données projet'!$E$11+1,1))-AVERAGE(OFFSET($H$3,0,0,'Données projet'!$E$11+1,1))</f>
        <v>114.02623091248347</v>
      </c>
      <c r="BJ84" s="59">
        <f t="shared" si="92"/>
        <v>185.51554083721635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0.71085715862005661</v>
      </c>
      <c r="BQ84" s="21">
        <f>EXP(-LN(2)/25)*BQ83+(1-EXP(-LN(2)/25))/(LN(2)/25)*Calculateur!BL84*Calculateur!BN84*VLOOKUP('Données projet'!$B$11,Paramètres!$A$1:$I$89,3,0)*0.475*44/12</f>
        <v>2.7370827614720383</v>
      </c>
      <c r="BR84" s="21">
        <f>EXP(-LN(2)/2)*BR83+(1-EXP(-LN(2)/2))/(LN(2)/2)*BL84*BO84*VLOOKUP('Données projet'!$B$11,Paramètres!$A$1:$I$89,3,0)*0.475*44/12</f>
        <v>3.717198921188388E-7</v>
      </c>
      <c r="BS84" s="22">
        <f t="shared" si="63"/>
        <v>3.447940291811987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5.6</v>
      </c>
      <c r="BY84" s="12">
        <f>IF('Données projet'!$A$114&gt;35,BY83+BX84-CG83,IF(A84&lt;'Données projet'!$A$114,$BV$205^A84,IF(A84='Données projet'!$A$114,'Données projet'!$B$114,BY83+BX84-CG83)))</f>
        <v>245.60000000000031</v>
      </c>
      <c r="BZ84" s="13">
        <f>BY84*VLOOKUP('Données projet'!$B$12,Paramètres!$A$1:$I$89,3,0)*VLOOKUP('Données projet'!$B$12,Paramètres!$A$1:$I$89,5,0)</f>
        <v>222.2188800000003</v>
      </c>
      <c r="CA84" s="13">
        <f t="shared" si="93"/>
        <v>54.596866296848951</v>
      </c>
      <c r="CB84" s="20">
        <f t="shared" si="64"/>
        <v>482.12075813367898</v>
      </c>
      <c r="CC84" s="59">
        <f t="shared" si="65"/>
        <v>775.45409146701229</v>
      </c>
      <c r="CD84" s="59">
        <f ca="1">AVERAGE(OFFSET($CC$3,0,0,'Données projet'!$E$12+1,1))-AVERAGE(OFFSET($H$3,0,0,'Données projet'!$E$12+1,1))</f>
        <v>237.22177246688199</v>
      </c>
      <c r="CE84" s="59">
        <f t="shared" si="94"/>
        <v>149.27472147904302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0.75525153245724619</v>
      </c>
      <c r="CM84" s="21">
        <f>EXP(-LN(2)/2)*CM83+(1-EXP(-LN(2)/2))/(LN(2)/2)*CG84*CJ84*VLOOKUP('Données projet'!$B$12,Paramètres!$A$1:$I$89,3,0)*0.475*44/12</f>
        <v>1.3043075320091096E-7</v>
      </c>
      <c r="CN84" s="22">
        <f t="shared" si="66"/>
        <v>0.75525166288799939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-5.6843418860808015E-13</v>
      </c>
      <c r="CU84" s="17">
        <f>CT84*VLOOKUP('Données projet'!$B$13,Paramètres!$A$1:$I$89,3,0)*VLOOKUP('Données projet'!$B$13,Paramètres!$A$1:$I$89,5,0)</f>
        <v>-3.177547114319168E-13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326.31232746914907</v>
      </c>
      <c r="CZ84" s="59">
        <f t="shared" si="96"/>
        <v>330.17137761430297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1.6637082435788575</v>
      </c>
      <c r="DG84" s="21">
        <f>EXP(-LN(2)/25)*DG83+(1-EXP(-LN(2)/25))/(LN(2)/25)*Calculateur!DB84*Calculateur!DD84*VLOOKUP('Données projet'!$B$13,Paramètres!$A$1:$I$89,3,0)*0.475*44/12</f>
        <v>7.336966852851555</v>
      </c>
      <c r="DH84" s="21">
        <f>EXP(-LN(2)/2)*DH83+(1-EXP(-LN(2)/2))/(LN(2)/2)*DB84*DE84*VLOOKUP('Données projet'!$B$13,Paramètres!$A$1:$I$89,3,0)*0.475*44/12</f>
        <v>6.8535176590332133E-7</v>
      </c>
      <c r="DI84" s="22">
        <f t="shared" si="69"/>
        <v>9.0006757817821796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6.2527760746888816E-13</v>
      </c>
      <c r="DP84" s="17">
        <f>DO84*VLOOKUP('Données projet'!$B$14,Paramètres!$A$1:$I$89,3,0)*VLOOKUP('Données projet'!$B$14,Paramètres!$A$1:$I$89,5,0)</f>
        <v>3.9017322706058616E-13</v>
      </c>
      <c r="DQ84" s="13">
        <f t="shared" si="97"/>
        <v>5.0025007393608908E-12</v>
      </c>
      <c r="DR84" s="20">
        <f t="shared" si="70"/>
        <v>9.3922404915174053E-12</v>
      </c>
      <c r="DS84" s="59">
        <f t="shared" si="71"/>
        <v>293.33333333334269</v>
      </c>
      <c r="DT84" s="59">
        <f ca="1">AVERAGE(OFFSET($DS$3,0,0,'Données projet'!$E$14+1,1))-AVERAGE(OFFSET($H$3,0,0,'Données projet'!$E$14+1,1))</f>
        <v>209.93608079129638</v>
      </c>
      <c r="DU84" s="59">
        <f t="shared" si="98"/>
        <v>240.15652428700969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2.5324945779635852</v>
      </c>
      <c r="EB84" s="21">
        <f>EXP(-LN(2)/25)*EB83+(1-EXP(-LN(2)/25))/(LN(2)/25)*Calculateur!DW84*Calculateur!DY84*VLOOKUP('Données projet'!$B$14,Paramètres!$A$1:$I$89,3,0)*0.475*44/12</f>
        <v>5.0548655019681599</v>
      </c>
      <c r="EC84" s="21">
        <f>EXP(-LN(2)/2)*EC83+(1-EXP(-LN(2)/2))/(LN(2)/2)*DW84*DZ84*VLOOKUP('Données projet'!$B$14,Paramètres!$A$1:$I$89,3,0)*0.475*44/12</f>
        <v>4.2548962117324554E-7</v>
      </c>
      <c r="ED84" s="22">
        <f t="shared" si="72"/>
        <v>7.5873605054213664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-4.5474735088646412E-13</v>
      </c>
      <c r="EK84" s="17">
        <f>EJ84*VLOOKUP('Données projet'!$B$15,Paramètres!$A$1:$I$89,3,0)*VLOOKUP('Données projet'!$B$15,Paramètres!$A$1:$I$89,5,0)</f>
        <v>-2.7193891583010558E-13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216.94426559495264</v>
      </c>
      <c r="EP84" s="59">
        <f t="shared" si="100"/>
        <v>225.33715877618704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0</v>
      </c>
      <c r="EW84" s="21">
        <f>EXP(-LN(2)/25)*EW83+(1-EXP(-LN(2)/25))/(LN(2)/25)*Calculateur!ER84*Calculateur!ET84*VLOOKUP('Données projet'!$B$15,Paramètres!$A$1:$I$89,3,0)*0.475*44/12</f>
        <v>3.1244749410778754</v>
      </c>
      <c r="EX84" s="21">
        <f>EXP(-LN(2)/2)*EX83+(1-EXP(-LN(2)/2))/(LN(2)/2)*ER84*EU84*VLOOKUP('Données projet'!$B$15,Paramètres!$A$1:$I$89,3,0)*0.475*44/12</f>
        <v>5.0005886793116784E-7</v>
      </c>
      <c r="EY84" s="22">
        <f t="shared" si="75"/>
        <v>3.1244754411367435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>
        <f>FE84*VLOOKUP('Données projet'!$B$16,Paramètres!$A$1:$I$89,3,0)*VLOOKUP('Données projet'!$B$16,Paramètres!$A$1:$I$89,5,0)</f>
        <v>0</v>
      </c>
      <c r="FG84" s="13" t="e">
        <f t="shared" si="101"/>
        <v>#NUM!</v>
      </c>
      <c r="FH84" s="20" t="e">
        <f t="shared" si="76"/>
        <v>#NUM!</v>
      </c>
      <c r="FI84" s="59" t="e">
        <f t="shared" si="77"/>
        <v>#NUM!</v>
      </c>
      <c r="FJ84" s="59">
        <f ca="1">AVERAGE(OFFSET($FI$3,0,0,'Données projet'!$E$16+1,1))-AVERAGE(OFFSET($H$3,0,0,'Données projet'!$E$16+1,1))</f>
        <v>168.08890945052406</v>
      </c>
      <c r="FK84" s="59">
        <f t="shared" si="102"/>
        <v>182.52462557642343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2.2625918060694588</v>
      </c>
      <c r="FR84" s="21">
        <f>EXP(-LN(2)/25)*FR83+(1-EXP(-LN(2)/25))/(LN(2)/25)*Calculateur!FM84*Calculateur!FO84*VLOOKUP('Données projet'!$B$16,Paramètres!$A$1:$I$89,3,0)*0.475*44/12</f>
        <v>2.9984234070807902</v>
      </c>
      <c r="FS84" s="21">
        <f>EXP(-LN(2)/2)*FS83+(1-EXP(-LN(2)/2))/(LN(2)/2)*FM84*FP84*VLOOKUP('Données projet'!$B$16,Paramètres!$A$1:$I$89,3,0)*0.475*44/12</f>
        <v>1.1475938576351748E-7</v>
      </c>
      <c r="FT84" s="22">
        <f t="shared" si="78"/>
        <v>5.261015327909635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5.625</v>
      </c>
      <c r="FZ84" s="12">
        <f>IF('Données projet'!$A$244&gt;35,FZ83+FY84-GH83,IF(A84&lt;'Données projet'!$A$244,$FW$205^A84,IF(A84='Données projet'!$A$244,'Données projet'!$B$244,FZ83+FY84-GH83)))</f>
        <v>438.37499999999994</v>
      </c>
      <c r="GA84" s="17">
        <f>FZ84*VLOOKUP('Données projet'!$B$17,Paramètres!$A$1:$I$89,3,0)*VLOOKUP('Données projet'!$B$17,Paramètres!$A$1:$I$89,5,0)</f>
        <v>250.75049999999996</v>
      </c>
      <c r="GB84" s="13">
        <f t="shared" si="103"/>
        <v>60.746621084776628</v>
      </c>
      <c r="GC84" s="20">
        <f t="shared" si="79"/>
        <v>542.52415255598589</v>
      </c>
      <c r="GD84" s="59">
        <f t="shared" si="80"/>
        <v>835.85748588931915</v>
      </c>
      <c r="GE84" s="59">
        <f ca="1">AVERAGE(OFFSET($GD$3,0,0,'Données projet'!$E$17+1,1))-AVERAGE(OFFSET($H$3,0,0,'Données projet'!$E$17+1,1))</f>
        <v>196.95560009657527</v>
      </c>
      <c r="GF84" s="59">
        <f t="shared" si="104"/>
        <v>168.90186968005662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0</v>
      </c>
      <c r="GM84" s="21">
        <f>EXP(-LN(2)/25)*GM83+(1-EXP(-LN(2)/25))/(LN(2)/25)*Calculateur!GH84*Calculateur!GJ84*VLOOKUP('Données projet'!$B$17,Paramètres!$A$1:$I$89,3,0)*0.475*44/12</f>
        <v>2.2446296174616709</v>
      </c>
      <c r="GN84" s="21">
        <f>EXP(-LN(2)/2)*GN83+(1-EXP(-LN(2)/2))/(LN(2)/2)*GH84*GK84*VLOOKUP('Données projet'!$B$17,Paramètres!$A$1:$I$89,3,0)*0.475*44/12</f>
        <v>2.709953503625949E-7</v>
      </c>
      <c r="GO84" s="21">
        <f t="shared" si="81"/>
        <v>2.244629888457021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17.5</v>
      </c>
      <c r="N85" s="13">
        <f>IF('Données projet'!$A$36&gt;35,N84+M85-V84,IF(A85&lt;'Données projet'!$A$36,$K$205^A85,IF(A85='Données projet'!$A$36,'Données projet'!$B$36,N84+M85-V84)))</f>
        <v>484.59999999999991</v>
      </c>
      <c r="O85" s="13">
        <f>N85*VLOOKUP('Données projet'!$B$9,Paramètres!$A$1:$I$89,3,0)*VLOOKUP('Données projet'!$B$9,Paramètres!$A$1:$I$89,5,0)</f>
        <v>226.79279999999994</v>
      </c>
      <c r="P85" s="13">
        <f t="shared" si="87"/>
        <v>55.588644170072158</v>
      </c>
      <c r="Q85" s="20">
        <f t="shared" si="54"/>
        <v>491.8143485962089</v>
      </c>
      <c r="R85" s="59">
        <f t="shared" si="55"/>
        <v>785.14768192954216</v>
      </c>
      <c r="S85" s="59">
        <f ca="1">AVERAGE(OFFSET($R$3,0,0,'Données projet'!$E$9+1,1))-AVERAGE(OFFSET($H$3,0,0,'Données projet'!$E$9+1,1))</f>
        <v>215.23235148064941</v>
      </c>
      <c r="T85" s="59">
        <f t="shared" si="88"/>
        <v>184.07239726900434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1.1192703911686102</v>
      </c>
      <c r="AA85" s="21">
        <f>EXP(-LN(2)/25)*AA84+(1-EXP(-LN(2)/25))/(LN(2)/25)*Calculateur!V85*Calculateur!X85*VLOOKUP('Données projet'!$B$9,Paramètres!$A$1:$I$89,3,0)*0.475*44/12</f>
        <v>1.8579305301689093</v>
      </c>
      <c r="AB85" s="21">
        <f>EXP(-LN(2)/2)*AB84+(1-EXP(-LN(2)/2))/(LN(2)/2)*V85*Y85*VLOOKUP('Données projet'!$B$9,Paramètres!$A$1:$I$89,3,0)*0.475*44/12</f>
        <v>1.4651084661924827E-7</v>
      </c>
      <c r="AC85" s="22">
        <f t="shared" si="57"/>
        <v>2.977201067848366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5.6843418860808015E-14</v>
      </c>
      <c r="AJ85" s="13">
        <f>AI85*VLOOKUP('Données projet'!$B$10,Paramètres!$A$1:$I$89,3,0)*VLOOKUP('Données projet'!$B$10,Paramètres!$A$1:$I$89,5,0)</f>
        <v>4.1677594708744434E-14</v>
      </c>
      <c r="AK85" s="13">
        <f t="shared" si="89"/>
        <v>6.9326303456159188E-13</v>
      </c>
      <c r="AL85" s="20">
        <f t="shared" si="58"/>
        <v>1.2800215959791691E-12</v>
      </c>
      <c r="AM85" s="59">
        <f t="shared" si="59"/>
        <v>293.33333333333462</v>
      </c>
      <c r="AN85" s="59">
        <f ca="1">AVERAGE(OFFSET($AM$3,0,0,'Données projet'!$E$10+1,1))-AVERAGE(OFFSET($H$3,0,0,'Données projet'!$E$10+1,1))</f>
        <v>178.12968684094687</v>
      </c>
      <c r="AO85" s="59">
        <f t="shared" si="90"/>
        <v>219.36004077210373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1.8184305492871407</v>
      </c>
      <c r="AW85" s="21">
        <f>EXP(-LN(2)/2)*AW84+(1-EXP(-LN(2)/2))/(LN(2)/2)*AQ85*AT85*VLOOKUP('Données projet'!$B$10,Paramètres!$A$1:$I$89,3,0)*0.475*44/12</f>
        <v>1.4778248366227042E-7</v>
      </c>
      <c r="AX85" s="21">
        <f t="shared" si="60"/>
        <v>1.8184306970696242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1.9</v>
      </c>
      <c r="BD85" s="12">
        <f>IF('Données projet'!$A$88&gt;35,BD84+BC85-BL84,IF(A85&lt;'Données projet'!$A$88,$BA$205^A85,IF(A85='Données projet'!$A$88,'Données projet'!$B$88,BD84+BC85-BL84)))</f>
        <v>143.7999999999999</v>
      </c>
      <c r="BE85" s="13">
        <f>BD85*VLOOKUP('Données projet'!$B$11,Paramètres!$A$1:$I$89,3,0)*VLOOKUP('Données projet'!$B$11,Paramètres!$A$1:$I$89,5,0)</f>
        <v>125.62367999999992</v>
      </c>
      <c r="BF85" s="13">
        <f t="shared" si="91"/>
        <v>32.983113735523155</v>
      </c>
      <c r="BG85" s="20">
        <f t="shared" si="61"/>
        <v>276.24016575603599</v>
      </c>
      <c r="BH85" s="59">
        <f t="shared" si="62"/>
        <v>569.57349908936931</v>
      </c>
      <c r="BI85" s="59">
        <f ca="1">AVERAGE(OFFSET($BH$3,0,0,'Données projet'!$E$11+1,1))-AVERAGE(OFFSET($H$3,0,0,'Données projet'!$E$11+1,1))</f>
        <v>114.02623091248347</v>
      </c>
      <c r="BJ85" s="59">
        <f t="shared" si="92"/>
        <v>185.51554083721635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0.6969176833195716</v>
      </c>
      <c r="BQ85" s="21">
        <f>EXP(-LN(2)/25)*BQ84+(1-EXP(-LN(2)/25))/(LN(2)/25)*Calculateur!BL85*Calculateur!BN85*VLOOKUP('Données projet'!$B$11,Paramètres!$A$1:$I$89,3,0)*0.475*44/12</f>
        <v>2.6622370894226588</v>
      </c>
      <c r="BR85" s="21">
        <f>EXP(-LN(2)/2)*BR84+(1-EXP(-LN(2)/2))/(LN(2)/2)*BL85*BO85*VLOOKUP('Données projet'!$B$11,Paramètres!$A$1:$I$89,3,0)*0.475*44/12</f>
        <v>2.628456564191628E-7</v>
      </c>
      <c r="BS85" s="22">
        <f t="shared" si="63"/>
        <v>3.3591550355878868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5.6</v>
      </c>
      <c r="BY85" s="12">
        <f>IF('Données projet'!$A$114&gt;35,BY84+BX85-CG84,IF(A85&lt;'Données projet'!$A$114,$BV$205^A85,IF(A85='Données projet'!$A$114,'Données projet'!$B$114,BY84+BX85-CG84)))</f>
        <v>251.2000000000003</v>
      </c>
      <c r="BZ85" s="13">
        <f>BY85*VLOOKUP('Données projet'!$B$12,Paramètres!$A$1:$I$89,3,0)*VLOOKUP('Données projet'!$B$12,Paramètres!$A$1:$I$89,5,0)</f>
        <v>227.28576000000027</v>
      </c>
      <c r="CA85" s="13">
        <f t="shared" si="93"/>
        <v>55.695394520076427</v>
      </c>
      <c r="CB85" s="20">
        <f t="shared" si="64"/>
        <v>492.85884412246696</v>
      </c>
      <c r="CC85" s="59">
        <f t="shared" si="65"/>
        <v>786.19217745580022</v>
      </c>
      <c r="CD85" s="59">
        <f ca="1">AVERAGE(OFFSET($CC$3,0,0,'Données projet'!$E$12+1,1))-AVERAGE(OFFSET($H$3,0,0,'Données projet'!$E$12+1,1))</f>
        <v>237.22177246688199</v>
      </c>
      <c r="CE85" s="59">
        <f t="shared" si="94"/>
        <v>149.27472147904302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0.7345991395852508</v>
      </c>
      <c r="CM85" s="21">
        <f>EXP(-LN(2)/2)*CM84+(1-EXP(-LN(2)/2))/(LN(2)/2)*CG85*CJ85*VLOOKUP('Données projet'!$B$12,Paramètres!$A$1:$I$89,3,0)*0.475*44/12</f>
        <v>9.2228470063633133E-8</v>
      </c>
      <c r="CN85" s="22">
        <f t="shared" si="66"/>
        <v>0.73459923181372089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-5.6843418860808015E-13</v>
      </c>
      <c r="CU85" s="17">
        <f>CT85*VLOOKUP('Données projet'!$B$13,Paramètres!$A$1:$I$89,3,0)*VLOOKUP('Données projet'!$B$13,Paramètres!$A$1:$I$89,5,0)</f>
        <v>-3.177547114319168E-13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326.31232746914907</v>
      </c>
      <c r="CZ85" s="59">
        <f t="shared" si="96"/>
        <v>330.17137761430297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1.6310839396841053</v>
      </c>
      <c r="DG85" s="21">
        <f>EXP(-LN(2)/25)*DG84+(1-EXP(-LN(2)/25))/(LN(2)/25)*Calculateur!DB85*Calculateur!DD85*VLOOKUP('Données projet'!$B$13,Paramètres!$A$1:$I$89,3,0)*0.475*44/12</f>
        <v>7.1363371084260114</v>
      </c>
      <c r="DH85" s="21">
        <f>EXP(-LN(2)/2)*DH84+(1-EXP(-LN(2)/2))/(LN(2)/2)*DB85*DE85*VLOOKUP('Données projet'!$B$13,Paramètres!$A$1:$I$89,3,0)*0.475*44/12</f>
        <v>4.8461688116841378E-7</v>
      </c>
      <c r="DI85" s="22">
        <f t="shared" si="69"/>
        <v>8.7674215327269991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6.2527760746888816E-13</v>
      </c>
      <c r="DP85" s="17">
        <f>DO85*VLOOKUP('Données projet'!$B$14,Paramètres!$A$1:$I$89,3,0)*VLOOKUP('Données projet'!$B$14,Paramètres!$A$1:$I$89,5,0)</f>
        <v>3.9017322706058616E-13</v>
      </c>
      <c r="DQ85" s="13">
        <f t="shared" si="97"/>
        <v>5.0025007393608908E-12</v>
      </c>
      <c r="DR85" s="20">
        <f t="shared" si="70"/>
        <v>9.3922404915174053E-12</v>
      </c>
      <c r="DS85" s="59">
        <f t="shared" si="71"/>
        <v>293.33333333334269</v>
      </c>
      <c r="DT85" s="59">
        <f ca="1">AVERAGE(OFFSET($DS$3,0,0,'Données projet'!$E$14+1,1))-AVERAGE(OFFSET($H$3,0,0,'Données projet'!$E$14+1,1))</f>
        <v>209.93608079129638</v>
      </c>
      <c r="DU85" s="59">
        <f t="shared" si="98"/>
        <v>240.15652428700969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2.4828339039588885</v>
      </c>
      <c r="EB85" s="21">
        <f>EXP(-LN(2)/25)*EB84+(1-EXP(-LN(2)/25))/(LN(2)/25)*Calculateur!DW85*Calculateur!DY85*VLOOKUP('Données projet'!$B$14,Paramètres!$A$1:$I$89,3,0)*0.475*44/12</f>
        <v>4.9166399389930167</v>
      </c>
      <c r="EC85" s="21">
        <f>EXP(-LN(2)/2)*EC84+(1-EXP(-LN(2)/2))/(LN(2)/2)*DW85*DZ85*VLOOKUP('Données projet'!$B$14,Paramètres!$A$1:$I$89,3,0)*0.475*44/12</f>
        <v>3.0086659645609713E-7</v>
      </c>
      <c r="ED85" s="22">
        <f t="shared" si="72"/>
        <v>7.3994741438185017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-4.5474735088646412E-13</v>
      </c>
      <c r="EK85" s="17">
        <f>EJ85*VLOOKUP('Données projet'!$B$15,Paramètres!$A$1:$I$89,3,0)*VLOOKUP('Données projet'!$B$15,Paramètres!$A$1:$I$89,5,0)</f>
        <v>-2.7193891583010558E-13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216.94426559495264</v>
      </c>
      <c r="EP85" s="59">
        <f t="shared" si="100"/>
        <v>225.33715877618704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0</v>
      </c>
      <c r="EW85" s="21">
        <f>EXP(-LN(2)/25)*EW84+(1-EXP(-LN(2)/25))/(LN(2)/25)*Calculateur!ER85*Calculateur!ET85*VLOOKUP('Données projet'!$B$15,Paramètres!$A$1:$I$89,3,0)*0.475*44/12</f>
        <v>3.039036009505105</v>
      </c>
      <c r="EX85" s="21">
        <f>EXP(-LN(2)/2)*EX84+(1-EXP(-LN(2)/2))/(LN(2)/2)*ER85*EU85*VLOOKUP('Données projet'!$B$15,Paramètres!$A$1:$I$89,3,0)*0.475*44/12</f>
        <v>3.5359501650659697E-7</v>
      </c>
      <c r="EY85" s="22">
        <f t="shared" si="75"/>
        <v>3.0390363631001214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>
        <f>FE85*VLOOKUP('Données projet'!$B$16,Paramètres!$A$1:$I$89,3,0)*VLOOKUP('Données projet'!$B$16,Paramètres!$A$1:$I$89,5,0)</f>
        <v>0</v>
      </c>
      <c r="FG85" s="13" t="e">
        <f t="shared" si="101"/>
        <v>#NUM!</v>
      </c>
      <c r="FH85" s="20" t="e">
        <f t="shared" si="76"/>
        <v>#NUM!</v>
      </c>
      <c r="FI85" s="59" t="e">
        <f t="shared" si="77"/>
        <v>#NUM!</v>
      </c>
      <c r="FJ85" s="59">
        <f ca="1">AVERAGE(OFFSET($FI$3,0,0,'Données projet'!$E$16+1,1))-AVERAGE(OFFSET($H$3,0,0,'Données projet'!$E$16+1,1))</f>
        <v>168.08890945052406</v>
      </c>
      <c r="FK85" s="59">
        <f t="shared" si="102"/>
        <v>182.52462557642343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2.2182237607971702</v>
      </c>
      <c r="FR85" s="21">
        <f>EXP(-LN(2)/25)*FR84+(1-EXP(-LN(2)/25))/(LN(2)/25)*Calculateur!FM85*Calculateur!FO85*VLOOKUP('Données projet'!$B$16,Paramètres!$A$1:$I$89,3,0)*0.475*44/12</f>
        <v>2.9164313613339319</v>
      </c>
      <c r="FS85" s="21">
        <f>EXP(-LN(2)/2)*FS84+(1-EXP(-LN(2)/2))/(LN(2)/2)*FM85*FP85*VLOOKUP('Données projet'!$B$16,Paramètres!$A$1:$I$89,3,0)*0.475*44/12</f>
        <v>8.1147139878186151E-8</v>
      </c>
      <c r="FT85" s="22">
        <f t="shared" si="78"/>
        <v>5.1346552032782418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>
        <f>VLOOKUP(A85,'Données projet'!$A$243:$I$263,2,0)</f>
        <v>444</v>
      </c>
      <c r="FX85" s="12">
        <f>VLOOKUP(A85,'Données projet'!$A$243:$I$263,9,0)</f>
        <v>5.625</v>
      </c>
      <c r="FY85" s="12">
        <f t="array" ref="FY85">INDEX(FX:FX,MIN(IF(ISNUMBER(FX85:FX281),ROW(FX85:FX281),"")))</f>
        <v>5.625</v>
      </c>
      <c r="FZ85" s="12">
        <f>IF('Données projet'!$A$244&gt;35,FZ84+FY85-GH84,IF(A85&lt;'Données projet'!$A$244,$FW$205^A85,IF(A85='Données projet'!$A$244,'Données projet'!$B$244,FZ84+FY85-GH84)))</f>
        <v>443.99999999999994</v>
      </c>
      <c r="GA85" s="17">
        <f>FZ85*VLOOKUP('Données projet'!$B$17,Paramètres!$A$1:$I$89,3,0)*VLOOKUP('Données projet'!$B$17,Paramètres!$A$1:$I$89,5,0)</f>
        <v>253.96799999999999</v>
      </c>
      <c r="GB85" s="13">
        <f t="shared" si="103"/>
        <v>61.434848029666512</v>
      </c>
      <c r="GC85" s="20">
        <f t="shared" si="79"/>
        <v>549.32662698500246</v>
      </c>
      <c r="GD85" s="59">
        <f t="shared" si="80"/>
        <v>842.65996031833583</v>
      </c>
      <c r="GE85" s="59">
        <f ca="1">AVERAGE(OFFSET($GD$3,0,0,'Données projet'!$E$17+1,1))-AVERAGE(OFFSET($H$3,0,0,'Données projet'!$E$17+1,1))</f>
        <v>196.95560009657527</v>
      </c>
      <c r="GF85" s="59">
        <f t="shared" si="104"/>
        <v>168.90186968005662</v>
      </c>
      <c r="GG85" s="15">
        <f>IF(ISNA(VLOOKUP(A85,'Données projet'!$A$243:$I$263,3,0)),0,VLOOKUP(A85,'Données projet'!$A$243:$I$263,3,0))</f>
        <v>11</v>
      </c>
      <c r="GH85" s="15">
        <f>IF(ISNA(VLOOKUP(A85,'Données projet'!$A$243:$I$263,4,0)),0,VLOOKUP(A85,'Données projet'!$A$243:$I$263,4,0))</f>
        <v>444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0</v>
      </c>
      <c r="GM85" s="21">
        <f>EXP(-LN(2)/25)*GM84+(1-EXP(-LN(2)/25))/(LN(2)/25)*Calculateur!GH85*Calculateur!GJ85*VLOOKUP('Données projet'!$B$17,Paramètres!$A$1:$I$89,3,0)*0.475*44/12</f>
        <v>2.1832501025322402</v>
      </c>
      <c r="GN85" s="21">
        <f>EXP(-LN(2)/2)*GN84+(1-EXP(-LN(2)/2))/(LN(2)/2)*GH85*GK85*VLOOKUP('Données projet'!$B$17,Paramètres!$A$1:$I$89,3,0)*0.475*44/12</f>
        <v>1.9162264991141517E-7</v>
      </c>
      <c r="GO85" s="21">
        <f t="shared" si="81"/>
        <v>2.1832502941548899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17.5</v>
      </c>
      <c r="N86" s="13">
        <f>IF('Données projet'!$A$36&gt;35,N85+M86-V85,IF(A86&lt;'Données projet'!$A$36,$K$205^A86,IF(A86='Données projet'!$A$36,'Données projet'!$B$36,N85+M86-V85)))</f>
        <v>502.09999999999991</v>
      </c>
      <c r="O86" s="13">
        <f>N86*VLOOKUP('Données projet'!$B$9,Paramètres!$A$1:$I$89,3,0)*VLOOKUP('Données projet'!$B$9,Paramètres!$A$1:$I$89,5,0)</f>
        <v>234.98279999999997</v>
      </c>
      <c r="P86" s="13">
        <f t="shared" si="87"/>
        <v>57.358731763746825</v>
      </c>
      <c r="Q86" s="20">
        <f t="shared" si="54"/>
        <v>509.16150115519235</v>
      </c>
      <c r="R86" s="59">
        <f t="shared" si="55"/>
        <v>802.49483448852561</v>
      </c>
      <c r="S86" s="59">
        <f ca="1">AVERAGE(OFFSET($R$3,0,0,'Données projet'!$E$9+1,1))-AVERAGE(OFFSET($H$3,0,0,'Données projet'!$E$9+1,1))</f>
        <v>215.23235148064941</v>
      </c>
      <c r="T86" s="59">
        <f t="shared" si="88"/>
        <v>184.07239726900434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1.0973221814853225</v>
      </c>
      <c r="AA86" s="21">
        <f>EXP(-LN(2)/25)*AA85+(1-EXP(-LN(2)/25))/(LN(2)/25)*Calculateur!V86*Calculateur!X86*VLOOKUP('Données projet'!$B$9,Paramètres!$A$1:$I$89,3,0)*0.475*44/12</f>
        <v>1.8071253221171202</v>
      </c>
      <c r="AB86" s="21">
        <f>EXP(-LN(2)/2)*AB85+(1-EXP(-LN(2)/2))/(LN(2)/2)*V86*Y86*VLOOKUP('Données projet'!$B$9,Paramètres!$A$1:$I$89,3,0)*0.475*44/12</f>
        <v>1.0359881316185261E-7</v>
      </c>
      <c r="AC86" s="22">
        <f t="shared" si="57"/>
        <v>2.9044476072012557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5.6843418860808015E-14</v>
      </c>
      <c r="AJ86" s="13">
        <f>AI86*VLOOKUP('Données projet'!$B$10,Paramètres!$A$1:$I$89,3,0)*VLOOKUP('Données projet'!$B$10,Paramètres!$A$1:$I$89,5,0)</f>
        <v>4.1677594708744434E-14</v>
      </c>
      <c r="AK86" s="13">
        <f t="shared" si="89"/>
        <v>6.9326303456159188E-13</v>
      </c>
      <c r="AL86" s="20">
        <f t="shared" si="58"/>
        <v>1.2800215959791691E-12</v>
      </c>
      <c r="AM86" s="59">
        <f t="shared" si="59"/>
        <v>293.33333333333462</v>
      </c>
      <c r="AN86" s="59">
        <f ca="1">AVERAGE(OFFSET($AM$3,0,0,'Données projet'!$E$10+1,1))-AVERAGE(OFFSET($H$3,0,0,'Données projet'!$E$10+1,1))</f>
        <v>178.12968684094687</v>
      </c>
      <c r="AO86" s="59">
        <f t="shared" si="90"/>
        <v>219.36004077210373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1.7687054702897773</v>
      </c>
      <c r="AW86" s="21">
        <f>EXP(-LN(2)/2)*AW85+(1-EXP(-LN(2)/2))/(LN(2)/2)*AQ86*AT86*VLOOKUP('Données projet'!$B$10,Paramètres!$A$1:$I$89,3,0)*0.475*44/12</f>
        <v>1.0449799633818158E-7</v>
      </c>
      <c r="AX86" s="21">
        <f t="shared" si="60"/>
        <v>1.7687055747877736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1.9</v>
      </c>
      <c r="BD86" s="12">
        <f>IF('Données projet'!$A$88&gt;35,BD85+BC86-BL85,IF(A86&lt;'Données projet'!$A$88,$BA$205^A86,IF(A86='Données projet'!$A$88,'Données projet'!$B$88,BD85+BC86-BL85)))</f>
        <v>145.6999999999999</v>
      </c>
      <c r="BE86" s="13">
        <f>BD86*VLOOKUP('Données projet'!$B$11,Paramètres!$A$1:$I$89,3,0)*VLOOKUP('Données projet'!$B$11,Paramètres!$A$1:$I$89,5,0)</f>
        <v>127.28351999999994</v>
      </c>
      <c r="BF86" s="13">
        <f t="shared" si="91"/>
        <v>33.367891185494848</v>
      </c>
      <c r="BG86" s="20">
        <f t="shared" si="61"/>
        <v>279.80120781473676</v>
      </c>
      <c r="BH86" s="59">
        <f t="shared" si="62"/>
        <v>573.13454114807007</v>
      </c>
      <c r="BI86" s="59">
        <f ca="1">AVERAGE(OFFSET($BH$3,0,0,'Données projet'!$E$11+1,1))-AVERAGE(OFFSET($H$3,0,0,'Données projet'!$E$11+1,1))</f>
        <v>114.02623091248347</v>
      </c>
      <c r="BJ86" s="59">
        <f t="shared" si="92"/>
        <v>185.51554083721635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0.68325155262748871</v>
      </c>
      <c r="BQ86" s="21">
        <f>EXP(-LN(2)/25)*BQ85+(1-EXP(-LN(2)/25))/(LN(2)/25)*Calculateur!BL86*Calculateur!BN86*VLOOKUP('Données projet'!$B$11,Paramètres!$A$1:$I$89,3,0)*0.475*44/12</f>
        <v>2.5894380762114322</v>
      </c>
      <c r="BR86" s="21">
        <f>EXP(-LN(2)/2)*BR85+(1-EXP(-LN(2)/2))/(LN(2)/2)*BL86*BO86*VLOOKUP('Données projet'!$B$11,Paramètres!$A$1:$I$89,3,0)*0.475*44/12</f>
        <v>1.858599460594194E-7</v>
      </c>
      <c r="BS86" s="22">
        <f t="shared" si="63"/>
        <v>3.2726898146988672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5.6</v>
      </c>
      <c r="BY86" s="12">
        <f>IF('Données projet'!$A$114&gt;35,BY85+BX86-CG85,IF(A86&lt;'Données projet'!$A$114,$BV$205^A86,IF(A86='Données projet'!$A$114,'Données projet'!$B$114,BY85+BX86-CG85)))</f>
        <v>256.8000000000003</v>
      </c>
      <c r="BZ86" s="13">
        <f>BY86*VLOOKUP('Données projet'!$B$12,Paramètres!$A$1:$I$89,3,0)*VLOOKUP('Données projet'!$B$12,Paramètres!$A$1:$I$89,5,0)</f>
        <v>232.35264000000026</v>
      </c>
      <c r="CA86" s="13">
        <f t="shared" si="93"/>
        <v>56.791075613550355</v>
      </c>
      <c r="CB86" s="20">
        <f t="shared" si="64"/>
        <v>503.59197136026728</v>
      </c>
      <c r="CC86" s="59">
        <f t="shared" si="65"/>
        <v>796.92530469360054</v>
      </c>
      <c r="CD86" s="59">
        <f ca="1">AVERAGE(OFFSET($CC$3,0,0,'Données projet'!$E$12+1,1))-AVERAGE(OFFSET($H$3,0,0,'Données projet'!$E$12+1,1))</f>
        <v>237.22177246688199</v>
      </c>
      <c r="CE86" s="59">
        <f t="shared" si="94"/>
        <v>149.27472147904302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0.71451148748240234</v>
      </c>
      <c r="CM86" s="21">
        <f>EXP(-LN(2)/2)*CM85+(1-EXP(-LN(2)/2))/(LN(2)/2)*CG86*CJ86*VLOOKUP('Données projet'!$B$12,Paramètres!$A$1:$I$89,3,0)*0.475*44/12</f>
        <v>6.5215376600455482E-8</v>
      </c>
      <c r="CN86" s="22">
        <f t="shared" si="66"/>
        <v>0.714511552697779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-5.6843418860808015E-13</v>
      </c>
      <c r="CU86" s="17">
        <f>CT86*VLOOKUP('Données projet'!$B$13,Paramètres!$A$1:$I$89,3,0)*VLOOKUP('Données projet'!$B$13,Paramètres!$A$1:$I$89,5,0)</f>
        <v>-3.177547114319168E-13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326.31232746914907</v>
      </c>
      <c r="CZ86" s="59">
        <f t="shared" si="96"/>
        <v>330.17137761430297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1.5990993784898686</v>
      </c>
      <c r="DG86" s="21">
        <f>EXP(-LN(2)/25)*DG85+(1-EXP(-LN(2)/25))/(LN(2)/25)*Calculateur!DB86*Calculateur!DD86*VLOOKUP('Données projet'!$B$13,Paramètres!$A$1:$I$89,3,0)*0.475*44/12</f>
        <v>6.9411935949124439</v>
      </c>
      <c r="DH86" s="21">
        <f>EXP(-LN(2)/2)*DH85+(1-EXP(-LN(2)/2))/(LN(2)/2)*DB86*DE86*VLOOKUP('Données projet'!$B$13,Paramètres!$A$1:$I$89,3,0)*0.475*44/12</f>
        <v>3.4267588295166067E-7</v>
      </c>
      <c r="DI86" s="22">
        <f t="shared" si="69"/>
        <v>8.5402933160781949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6.2527760746888816E-13</v>
      </c>
      <c r="DP86" s="17">
        <f>DO86*VLOOKUP('Données projet'!$B$14,Paramètres!$A$1:$I$89,3,0)*VLOOKUP('Données projet'!$B$14,Paramètres!$A$1:$I$89,5,0)</f>
        <v>3.9017322706058616E-13</v>
      </c>
      <c r="DQ86" s="13">
        <f t="shared" si="97"/>
        <v>5.0025007393608908E-12</v>
      </c>
      <c r="DR86" s="20">
        <f t="shared" si="70"/>
        <v>9.3922404915174053E-12</v>
      </c>
      <c r="DS86" s="59">
        <f t="shared" si="71"/>
        <v>293.33333333334269</v>
      </c>
      <c r="DT86" s="59">
        <f ca="1">AVERAGE(OFFSET($DS$3,0,0,'Données projet'!$E$14+1,1))-AVERAGE(OFFSET($H$3,0,0,'Données projet'!$E$14+1,1))</f>
        <v>209.93608079129638</v>
      </c>
      <c r="DU86" s="59">
        <f t="shared" si="98"/>
        <v>240.15652428700969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2.4341470454814034</v>
      </c>
      <c r="EB86" s="21">
        <f>EXP(-LN(2)/25)*EB85+(1-EXP(-LN(2)/25))/(LN(2)/25)*Calculateur!DW86*Calculateur!DY86*VLOOKUP('Données projet'!$B$14,Paramètres!$A$1:$I$89,3,0)*0.475*44/12</f>
        <v>4.7821941613063954</v>
      </c>
      <c r="EC86" s="21">
        <f>EXP(-LN(2)/2)*EC85+(1-EXP(-LN(2)/2))/(LN(2)/2)*DW86*DZ86*VLOOKUP('Données projet'!$B$14,Paramètres!$A$1:$I$89,3,0)*0.475*44/12</f>
        <v>2.1274481058662277E-7</v>
      </c>
      <c r="ED86" s="22">
        <f t="shared" si="72"/>
        <v>7.2163414195326094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-4.5474735088646412E-13</v>
      </c>
      <c r="EK86" s="17">
        <f>EJ86*VLOOKUP('Données projet'!$B$15,Paramètres!$A$1:$I$89,3,0)*VLOOKUP('Données projet'!$B$15,Paramètres!$A$1:$I$89,5,0)</f>
        <v>-2.7193891583010558E-13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216.94426559495264</v>
      </c>
      <c r="EP86" s="59">
        <f t="shared" si="100"/>
        <v>225.33715877618704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0</v>
      </c>
      <c r="EW86" s="21">
        <f>EXP(-LN(2)/25)*EW85+(1-EXP(-LN(2)/25))/(LN(2)/25)*Calculateur!ER86*Calculateur!ET86*VLOOKUP('Données projet'!$B$15,Paramètres!$A$1:$I$89,3,0)*0.475*44/12</f>
        <v>2.95593341000923</v>
      </c>
      <c r="EX86" s="21">
        <f>EXP(-LN(2)/2)*EX85+(1-EXP(-LN(2)/2))/(LN(2)/2)*ER86*EU86*VLOOKUP('Données projet'!$B$15,Paramètres!$A$1:$I$89,3,0)*0.475*44/12</f>
        <v>2.5002943396558392E-7</v>
      </c>
      <c r="EY86" s="22">
        <f t="shared" si="75"/>
        <v>2.9559336600386641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>
        <f>FE86*VLOOKUP('Données projet'!$B$16,Paramètres!$A$1:$I$89,3,0)*VLOOKUP('Données projet'!$B$16,Paramètres!$A$1:$I$89,5,0)</f>
        <v>0</v>
      </c>
      <c r="FG86" s="13" t="e">
        <f t="shared" si="101"/>
        <v>#NUM!</v>
      </c>
      <c r="FH86" s="20" t="e">
        <f t="shared" si="76"/>
        <v>#NUM!</v>
      </c>
      <c r="FI86" s="59" t="e">
        <f t="shared" si="77"/>
        <v>#NUM!</v>
      </c>
      <c r="FJ86" s="59">
        <f ca="1">AVERAGE(OFFSET($FI$3,0,0,'Données projet'!$E$16+1,1))-AVERAGE(OFFSET($H$3,0,0,'Données projet'!$E$16+1,1))</f>
        <v>168.08890945052406</v>
      </c>
      <c r="FK86" s="59">
        <f t="shared" si="102"/>
        <v>182.52462557642343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2.1747257458308358</v>
      </c>
      <c r="FR86" s="21">
        <f>EXP(-LN(2)/25)*FR85+(1-EXP(-LN(2)/25))/(LN(2)/25)*Calculateur!FM86*Calculateur!FO86*VLOOKUP('Données projet'!$B$16,Paramètres!$A$1:$I$89,3,0)*0.475*44/12</f>
        <v>2.8366813923897958</v>
      </c>
      <c r="FS86" s="21">
        <f>EXP(-LN(2)/2)*FS85+(1-EXP(-LN(2)/2))/(LN(2)/2)*FM86*FP86*VLOOKUP('Données projet'!$B$16,Paramètres!$A$1:$I$89,3,0)*0.475*44/12</f>
        <v>5.737969288175874E-8</v>
      </c>
      <c r="FT86" s="22">
        <f t="shared" si="78"/>
        <v>5.0114071956003245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-5.6843418860808015E-14</v>
      </c>
      <c r="GA86" s="17">
        <f>FZ86*VLOOKUP('Données projet'!$B$17,Paramètres!$A$1:$I$89,3,0)*VLOOKUP('Données projet'!$B$17,Paramètres!$A$1:$I$89,5,0)</f>
        <v>-3.2514435588382188E-14</v>
      </c>
      <c r="GB86" s="13" t="e">
        <f t="shared" si="103"/>
        <v>#NUM!</v>
      </c>
      <c r="GC86" s="20" t="e">
        <f t="shared" si="79"/>
        <v>#NUM!</v>
      </c>
      <c r="GD86" s="59" t="e">
        <f t="shared" si="80"/>
        <v>#NUM!</v>
      </c>
      <c r="GE86" s="59">
        <f ca="1">AVERAGE(OFFSET($GD$3,0,0,'Données projet'!$E$17+1,1))-AVERAGE(OFFSET($H$3,0,0,'Données projet'!$E$17+1,1))</f>
        <v>196.95560009657527</v>
      </c>
      <c r="GF86" s="59">
        <f t="shared" si="104"/>
        <v>168.90186968005662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0</v>
      </c>
      <c r="GM86" s="21">
        <f>EXP(-LN(2)/25)*GM85+(1-EXP(-LN(2)/25))/(LN(2)/25)*Calculateur!GH86*Calculateur!GJ86*VLOOKUP('Données projet'!$B$17,Paramètres!$A$1:$I$89,3,0)*0.475*44/12</f>
        <v>2.1235490136663628</v>
      </c>
      <c r="GN86" s="21">
        <f>EXP(-LN(2)/2)*GN85+(1-EXP(-LN(2)/2))/(LN(2)/2)*GH86*GK86*VLOOKUP('Données projet'!$B$17,Paramètres!$A$1:$I$89,3,0)*0.475*44/12</f>
        <v>1.3549767518129745E-7</v>
      </c>
      <c r="GO86" s="21">
        <f t="shared" si="81"/>
        <v>2.1235491491640381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17.5</v>
      </c>
      <c r="N87" s="13">
        <f>IF('Données projet'!$A$36&gt;35,N86+M87-V86,IF(A87&lt;'Données projet'!$A$36,$K$205^A87,IF(A87='Données projet'!$A$36,'Données projet'!$B$36,N86+M87-V86)))</f>
        <v>519.59999999999991</v>
      </c>
      <c r="O87" s="13">
        <f>N87*VLOOKUP('Données projet'!$B$9,Paramètres!$A$1:$I$89,3,0)*VLOOKUP('Données projet'!$B$9,Paramètres!$A$1:$I$89,5,0)</f>
        <v>243.17279999999994</v>
      </c>
      <c r="P87" s="13">
        <f t="shared" si="87"/>
        <v>59.121651195612671</v>
      </c>
      <c r="Q87" s="20">
        <f t="shared" si="54"/>
        <v>526.49616916569187</v>
      </c>
      <c r="R87" s="59">
        <f t="shared" si="55"/>
        <v>819.82950249902524</v>
      </c>
      <c r="S87" s="59">
        <f ca="1">AVERAGE(OFFSET($R$3,0,0,'Données projet'!$E$9+1,1))-AVERAGE(OFFSET($H$3,0,0,'Données projet'!$E$9+1,1))</f>
        <v>215.23235148064941</v>
      </c>
      <c r="T87" s="59">
        <f t="shared" si="88"/>
        <v>184.07239726900434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1.0758043628068381</v>
      </c>
      <c r="AA87" s="21">
        <f>EXP(-LN(2)/25)*AA86+(1-EXP(-LN(2)/25))/(LN(2)/25)*Calculateur!V87*Calculateur!X87*VLOOKUP('Données projet'!$B$9,Paramètres!$A$1:$I$89,3,0)*0.475*44/12</f>
        <v>1.7577093851512371</v>
      </c>
      <c r="AB87" s="21">
        <f>EXP(-LN(2)/2)*AB86+(1-EXP(-LN(2)/2))/(LN(2)/2)*V87*Y87*VLOOKUP('Données projet'!$B$9,Paramètres!$A$1:$I$89,3,0)*0.475*44/12</f>
        <v>7.3255423309624135E-8</v>
      </c>
      <c r="AC87" s="22">
        <f t="shared" si="57"/>
        <v>2.8335138212134985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5.6843418860808015E-14</v>
      </c>
      <c r="AJ87" s="13">
        <f>AI87*VLOOKUP('Données projet'!$B$10,Paramètres!$A$1:$I$89,3,0)*VLOOKUP('Données projet'!$B$10,Paramètres!$A$1:$I$89,5,0)</f>
        <v>4.1677594708744434E-14</v>
      </c>
      <c r="AK87" s="13">
        <f t="shared" si="89"/>
        <v>6.9326303456159188E-13</v>
      </c>
      <c r="AL87" s="20">
        <f t="shared" si="58"/>
        <v>1.2800215959791691E-12</v>
      </c>
      <c r="AM87" s="59">
        <f t="shared" si="59"/>
        <v>293.33333333333462</v>
      </c>
      <c r="AN87" s="59">
        <f ca="1">AVERAGE(OFFSET($AM$3,0,0,'Données projet'!$E$10+1,1))-AVERAGE(OFFSET($H$3,0,0,'Données projet'!$E$10+1,1))</f>
        <v>178.12968684094687</v>
      </c>
      <c r="AO87" s="59">
        <f t="shared" si="90"/>
        <v>219.36004077210373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1.7203401261925251</v>
      </c>
      <c r="AW87" s="21">
        <f>EXP(-LN(2)/2)*AW86+(1-EXP(-LN(2)/2))/(LN(2)/2)*AQ87*AT87*VLOOKUP('Données projet'!$B$10,Paramètres!$A$1:$I$89,3,0)*0.475*44/12</f>
        <v>7.3891241831135208E-8</v>
      </c>
      <c r="AX87" s="21">
        <f t="shared" si="60"/>
        <v>1.7203402000837669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1.9</v>
      </c>
      <c r="BD87" s="12">
        <f>IF('Données projet'!$A$88&gt;35,BD86+BC87-BL86,IF(A87&lt;'Données projet'!$A$88,$BA$205^A87,IF(A87='Données projet'!$A$88,'Données projet'!$B$88,BD86+BC87-BL86)))</f>
        <v>147.59999999999991</v>
      </c>
      <c r="BE87" s="13">
        <f>BD87*VLOOKUP('Données projet'!$B$11,Paramètres!$A$1:$I$89,3,0)*VLOOKUP('Données projet'!$B$11,Paramètres!$A$1:$I$89,5,0)</f>
        <v>128.94335999999996</v>
      </c>
      <c r="BF87" s="13">
        <f t="shared" si="91"/>
        <v>33.752085002132162</v>
      </c>
      <c r="BG87" s="20">
        <f t="shared" si="61"/>
        <v>283.36123337871345</v>
      </c>
      <c r="BH87" s="59">
        <f t="shared" si="62"/>
        <v>576.69456671204671</v>
      </c>
      <c r="BI87" s="59">
        <f ca="1">AVERAGE(OFFSET($BH$3,0,0,'Données projet'!$E$11+1,1))-AVERAGE(OFFSET($H$3,0,0,'Données projet'!$E$11+1,1))</f>
        <v>114.02623091248347</v>
      </c>
      <c r="BJ87" s="59">
        <f t="shared" si="92"/>
        <v>185.51554083721635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0.66985340642276092</v>
      </c>
      <c r="BQ87" s="21">
        <f>EXP(-LN(2)/25)*BQ86+(1-EXP(-LN(2)/25))/(LN(2)/25)*Calculateur!BL87*Calculateur!BN87*VLOOKUP('Données projet'!$B$11,Paramètres!$A$1:$I$89,3,0)*0.475*44/12</f>
        <v>2.5186297558448003</v>
      </c>
      <c r="BR87" s="21">
        <f>EXP(-LN(2)/2)*BR86+(1-EXP(-LN(2)/2))/(LN(2)/2)*BL87*BO87*VLOOKUP('Données projet'!$B$11,Paramètres!$A$1:$I$89,3,0)*0.475*44/12</f>
        <v>1.314228282095814E-7</v>
      </c>
      <c r="BS87" s="22">
        <f t="shared" si="63"/>
        <v>3.1884832936903895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5.6</v>
      </c>
      <c r="BY87" s="12">
        <f>IF('Données projet'!$A$114&gt;35,BY86+BX87-CG86,IF(A87&lt;'Données projet'!$A$114,$BV$205^A87,IF(A87='Données projet'!$A$114,'Données projet'!$B$114,BY86+BX87-CG86)))</f>
        <v>262.40000000000032</v>
      </c>
      <c r="BZ87" s="13">
        <f>BY87*VLOOKUP('Données projet'!$B$12,Paramètres!$A$1:$I$89,3,0)*VLOOKUP('Données projet'!$B$12,Paramètres!$A$1:$I$89,5,0)</f>
        <v>237.41952000000029</v>
      </c>
      <c r="CA87" s="13">
        <f t="shared" si="93"/>
        <v>57.883978814320969</v>
      </c>
      <c r="CB87" s="20">
        <f t="shared" si="64"/>
        <v>514.32026043494284</v>
      </c>
      <c r="CC87" s="59">
        <f t="shared" si="65"/>
        <v>807.6535937682761</v>
      </c>
      <c r="CD87" s="59">
        <f ca="1">AVERAGE(OFFSET($CC$3,0,0,'Données projet'!$E$12+1,1))-AVERAGE(OFFSET($H$3,0,0,'Données projet'!$E$12+1,1))</f>
        <v>237.22177246688199</v>
      </c>
      <c r="CE87" s="59">
        <f t="shared" si="94"/>
        <v>149.27472147904302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0.69497313328266996</v>
      </c>
      <c r="CM87" s="21">
        <f>EXP(-LN(2)/2)*CM86+(1-EXP(-LN(2)/2))/(LN(2)/2)*CG87*CJ87*VLOOKUP('Données projet'!$B$12,Paramètres!$A$1:$I$89,3,0)*0.475*44/12</f>
        <v>4.6114235031816567E-8</v>
      </c>
      <c r="CN87" s="22">
        <f t="shared" si="66"/>
        <v>0.69497317939690495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-5.6843418860808015E-13</v>
      </c>
      <c r="CU87" s="17">
        <f>CT87*VLOOKUP('Données projet'!$B$13,Paramètres!$A$1:$I$89,3,0)*VLOOKUP('Données projet'!$B$13,Paramètres!$A$1:$I$89,5,0)</f>
        <v>-3.177547114319168E-13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326.31232746914907</v>
      </c>
      <c r="CZ87" s="59">
        <f t="shared" si="96"/>
        <v>330.17137761430297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1.567742015031995</v>
      </c>
      <c r="DG87" s="21">
        <f>EXP(-LN(2)/25)*DG86+(1-EXP(-LN(2)/25))/(LN(2)/25)*Calculateur!DB87*Calculateur!DD87*VLOOKUP('Données projet'!$B$13,Paramètres!$A$1:$I$89,3,0)*0.475*44/12</f>
        <v>6.751386291038056</v>
      </c>
      <c r="DH87" s="21">
        <f>EXP(-LN(2)/2)*DH86+(1-EXP(-LN(2)/2))/(LN(2)/2)*DB87*DE87*VLOOKUP('Données projet'!$B$13,Paramètres!$A$1:$I$89,3,0)*0.475*44/12</f>
        <v>2.4230844058420689E-7</v>
      </c>
      <c r="DI87" s="22">
        <f t="shared" si="69"/>
        <v>8.3191285483784903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6.2527760746888816E-13</v>
      </c>
      <c r="DP87" s="17">
        <f>DO87*VLOOKUP('Données projet'!$B$14,Paramètres!$A$1:$I$89,3,0)*VLOOKUP('Données projet'!$B$14,Paramètres!$A$1:$I$89,5,0)</f>
        <v>3.9017322706058616E-13</v>
      </c>
      <c r="DQ87" s="13">
        <f t="shared" si="97"/>
        <v>5.0025007393608908E-12</v>
      </c>
      <c r="DR87" s="20">
        <f t="shared" si="70"/>
        <v>9.3922404915174053E-12</v>
      </c>
      <c r="DS87" s="59">
        <f t="shared" si="71"/>
        <v>293.33333333334269</v>
      </c>
      <c r="DT87" s="59">
        <f ca="1">AVERAGE(OFFSET($DS$3,0,0,'Données projet'!$E$14+1,1))-AVERAGE(OFFSET($H$3,0,0,'Données projet'!$E$14+1,1))</f>
        <v>209.93608079129638</v>
      </c>
      <c r="DU87" s="59">
        <f t="shared" si="98"/>
        <v>240.15652428700969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2.3864149066026106</v>
      </c>
      <c r="EB87" s="21">
        <f>EXP(-LN(2)/25)*EB86+(1-EXP(-LN(2)/25))/(LN(2)/25)*Calculateur!DW87*Calculateur!DY87*VLOOKUP('Données projet'!$B$14,Paramètres!$A$1:$I$89,3,0)*0.475*44/12</f>
        <v>4.6514248104808109</v>
      </c>
      <c r="EC87" s="21">
        <f>EXP(-LN(2)/2)*EC86+(1-EXP(-LN(2)/2))/(LN(2)/2)*DW87*DZ87*VLOOKUP('Données projet'!$B$14,Paramètres!$A$1:$I$89,3,0)*0.475*44/12</f>
        <v>1.5043329822804856E-7</v>
      </c>
      <c r="ED87" s="22">
        <f t="shared" si="72"/>
        <v>7.0378398675167197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-4.5474735088646412E-13</v>
      </c>
      <c r="EK87" s="17">
        <f>EJ87*VLOOKUP('Données projet'!$B$15,Paramètres!$A$1:$I$89,3,0)*VLOOKUP('Données projet'!$B$15,Paramètres!$A$1:$I$89,5,0)</f>
        <v>-2.7193891583010558E-13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216.94426559495264</v>
      </c>
      <c r="EP87" s="59">
        <f t="shared" si="100"/>
        <v>225.33715877618704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</v>
      </c>
      <c r="EW87" s="21">
        <f>EXP(-LN(2)/25)*EW86+(1-EXP(-LN(2)/25))/(LN(2)/25)*Calculateur!ER87*Calculateur!ET87*VLOOKUP('Données projet'!$B$15,Paramètres!$A$1:$I$89,3,0)*0.475*44/12</f>
        <v>2.8751032554667453</v>
      </c>
      <c r="EX87" s="21">
        <f>EXP(-LN(2)/2)*EX86+(1-EXP(-LN(2)/2))/(LN(2)/2)*ER87*EU87*VLOOKUP('Données projet'!$B$15,Paramètres!$A$1:$I$89,3,0)*0.475*44/12</f>
        <v>1.7679750825329849E-7</v>
      </c>
      <c r="EY87" s="22">
        <f t="shared" si="75"/>
        <v>2.8751034322642535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>
        <f>FE87*VLOOKUP('Données projet'!$B$16,Paramètres!$A$1:$I$89,3,0)*VLOOKUP('Données projet'!$B$16,Paramètres!$A$1:$I$89,5,0)</f>
        <v>0</v>
      </c>
      <c r="FG87" s="13" t="e">
        <f t="shared" si="101"/>
        <v>#NUM!</v>
      </c>
      <c r="FH87" s="20" t="e">
        <f t="shared" si="76"/>
        <v>#NUM!</v>
      </c>
      <c r="FI87" s="59" t="e">
        <f t="shared" si="77"/>
        <v>#NUM!</v>
      </c>
      <c r="FJ87" s="59">
        <f ca="1">AVERAGE(OFFSET($FI$3,0,0,'Données projet'!$E$16+1,1))-AVERAGE(OFFSET($H$3,0,0,'Données projet'!$E$16+1,1))</f>
        <v>168.08890945052406</v>
      </c>
      <c r="FK87" s="59">
        <f t="shared" si="102"/>
        <v>182.52462557642343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2.1320807004068216</v>
      </c>
      <c r="FR87" s="21">
        <f>EXP(-LN(2)/25)*FR86+(1-EXP(-LN(2)/25))/(LN(2)/25)*Calculateur!FM87*Calculateur!FO87*VLOOKUP('Données projet'!$B$16,Paramètres!$A$1:$I$89,3,0)*0.475*44/12</f>
        <v>2.7591121905403058</v>
      </c>
      <c r="FS87" s="21">
        <f>EXP(-LN(2)/2)*FS86+(1-EXP(-LN(2)/2))/(LN(2)/2)*FM87*FP87*VLOOKUP('Données projet'!$B$16,Paramètres!$A$1:$I$89,3,0)*0.475*44/12</f>
        <v>4.0573569939093075E-8</v>
      </c>
      <c r="FT87" s="22">
        <f t="shared" si="78"/>
        <v>4.8911929315206981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-5.6843418860808015E-14</v>
      </c>
      <c r="GA87" s="17">
        <f>FZ87*VLOOKUP('Données projet'!$B$17,Paramètres!$A$1:$I$89,3,0)*VLOOKUP('Données projet'!$B$17,Paramètres!$A$1:$I$89,5,0)</f>
        <v>-3.2514435588382188E-14</v>
      </c>
      <c r="GB87" s="13" t="e">
        <f t="shared" si="103"/>
        <v>#NUM!</v>
      </c>
      <c r="GC87" s="20" t="e">
        <f t="shared" si="79"/>
        <v>#NUM!</v>
      </c>
      <c r="GD87" s="59" t="e">
        <f t="shared" si="80"/>
        <v>#NUM!</v>
      </c>
      <c r="GE87" s="59">
        <f ca="1">AVERAGE(OFFSET($GD$3,0,0,'Données projet'!$E$17+1,1))-AVERAGE(OFFSET($H$3,0,0,'Données projet'!$E$17+1,1))</f>
        <v>196.95560009657527</v>
      </c>
      <c r="GF87" s="59">
        <f t="shared" si="104"/>
        <v>168.90186968005662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0</v>
      </c>
      <c r="GM87" s="21">
        <f>EXP(-LN(2)/25)*GM86+(1-EXP(-LN(2)/25))/(LN(2)/25)*Calculateur!GH87*Calculateur!GJ87*VLOOKUP('Données projet'!$B$17,Paramètres!$A$1:$I$89,3,0)*0.475*44/12</f>
        <v>2.0654804542150669</v>
      </c>
      <c r="GN87" s="21">
        <f>EXP(-LN(2)/2)*GN86+(1-EXP(-LN(2)/2))/(LN(2)/2)*GH87*GK87*VLOOKUP('Données projet'!$B$17,Paramètres!$A$1:$I$89,3,0)*0.475*44/12</f>
        <v>9.5811324955707586E-8</v>
      </c>
      <c r="GO87" s="21">
        <f t="shared" si="81"/>
        <v>2.065480550026392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17.5</v>
      </c>
      <c r="N88" s="13">
        <f>IF('Données projet'!$A$36&gt;35,N87+M88-V87,IF(A88&lt;'Données projet'!$A$36,$K$205^A88,IF(A88='Données projet'!$A$36,'Données projet'!$B$36,N87+M88-V87)))</f>
        <v>537.09999999999991</v>
      </c>
      <c r="O88" s="13">
        <f>N88*VLOOKUP('Données projet'!$B$9,Paramètres!$A$1:$I$89,3,0)*VLOOKUP('Données projet'!$B$9,Paramètres!$A$1:$I$89,5,0)</f>
        <v>251.36279999999996</v>
      </c>
      <c r="P88" s="13">
        <f t="shared" si="87"/>
        <v>60.877671564837158</v>
      </c>
      <c r="Q88" s="20">
        <f t="shared" si="54"/>
        <v>543.81882130875795</v>
      </c>
      <c r="R88" s="59">
        <f t="shared" si="55"/>
        <v>837.15215464209132</v>
      </c>
      <c r="S88" s="59">
        <f ca="1">AVERAGE(OFFSET($R$3,0,0,'Données projet'!$E$9+1,1))-AVERAGE(OFFSET($H$3,0,0,'Données projet'!$E$9+1,1))</f>
        <v>215.23235148064941</v>
      </c>
      <c r="T88" s="59">
        <f t="shared" si="88"/>
        <v>184.07239726900434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1.0547084954280654</v>
      </c>
      <c r="AA88" s="21">
        <f>EXP(-LN(2)/25)*AA87+(1-EXP(-LN(2)/25))/(LN(2)/25)*Calculateur!V88*Calculateur!X88*VLOOKUP('Données projet'!$B$9,Paramètres!$A$1:$I$89,3,0)*0.475*44/12</f>
        <v>1.7096447295803572</v>
      </c>
      <c r="AB88" s="21">
        <f>EXP(-LN(2)/2)*AB87+(1-EXP(-LN(2)/2))/(LN(2)/2)*V88*Y88*VLOOKUP('Données projet'!$B$9,Paramètres!$A$1:$I$89,3,0)*0.475*44/12</f>
        <v>5.1799406580926307E-8</v>
      </c>
      <c r="AC88" s="22">
        <f t="shared" si="57"/>
        <v>2.7643532768078289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5.6843418860808015E-14</v>
      </c>
      <c r="AJ88" s="13">
        <f>AI88*VLOOKUP('Données projet'!$B$10,Paramètres!$A$1:$I$89,3,0)*VLOOKUP('Données projet'!$B$10,Paramètres!$A$1:$I$89,5,0)</f>
        <v>4.1677594708744434E-14</v>
      </c>
      <c r="AK88" s="13">
        <f t="shared" si="89"/>
        <v>6.9326303456159188E-13</v>
      </c>
      <c r="AL88" s="20">
        <f t="shared" si="58"/>
        <v>1.2800215959791691E-12</v>
      </c>
      <c r="AM88" s="59">
        <f t="shared" si="59"/>
        <v>293.33333333333462</v>
      </c>
      <c r="AN88" s="59">
        <f ca="1">AVERAGE(OFFSET($AM$3,0,0,'Données projet'!$E$10+1,1))-AVERAGE(OFFSET($H$3,0,0,'Données projet'!$E$10+1,1))</f>
        <v>178.12968684094687</v>
      </c>
      <c r="AO88" s="59">
        <f t="shared" si="90"/>
        <v>219.36004077210373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1.6732973349730351</v>
      </c>
      <c r="AW88" s="21">
        <f>EXP(-LN(2)/2)*AW87+(1-EXP(-LN(2)/2))/(LN(2)/2)*AQ88*AT88*VLOOKUP('Données projet'!$B$10,Paramètres!$A$1:$I$89,3,0)*0.475*44/12</f>
        <v>5.2248998169090791E-8</v>
      </c>
      <c r="AX88" s="21">
        <f t="shared" si="60"/>
        <v>1.6732973872220334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1.9</v>
      </c>
      <c r="BD88" s="12">
        <f>IF('Données projet'!$A$88&gt;35,BD87+BC88-BL87,IF(A88&lt;'Données projet'!$A$88,$BA$205^A88,IF(A88='Données projet'!$A$88,'Données projet'!$B$88,BD87+BC88-BL87)))</f>
        <v>149.49999999999991</v>
      </c>
      <c r="BE88" s="13">
        <f>BD88*VLOOKUP('Données projet'!$B$11,Paramètres!$A$1:$I$89,3,0)*VLOOKUP('Données projet'!$B$11,Paramètres!$A$1:$I$89,5,0)</f>
        <v>130.60319999999993</v>
      </c>
      <c r="BF88" s="13">
        <f t="shared" si="91"/>
        <v>34.135703567016392</v>
      </c>
      <c r="BG88" s="20">
        <f t="shared" si="61"/>
        <v>286.92025704588679</v>
      </c>
      <c r="BH88" s="59">
        <f t="shared" si="62"/>
        <v>580.2535903792201</v>
      </c>
      <c r="BI88" s="59">
        <f ca="1">AVERAGE(OFFSET($BH$3,0,0,'Données projet'!$E$11+1,1))-AVERAGE(OFFSET($H$3,0,0,'Données projet'!$E$11+1,1))</f>
        <v>114.02623091248347</v>
      </c>
      <c r="BJ88" s="59">
        <f t="shared" si="92"/>
        <v>185.51554083721635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0.65671798969304551</v>
      </c>
      <c r="BQ88" s="21">
        <f>EXP(-LN(2)/25)*BQ87+(1-EXP(-LN(2)/25))/(LN(2)/25)*Calculateur!BL88*Calculateur!BN88*VLOOKUP('Données projet'!$B$11,Paramètres!$A$1:$I$89,3,0)*0.475*44/12</f>
        <v>2.4497576927222418</v>
      </c>
      <c r="BR88" s="21">
        <f>EXP(-LN(2)/2)*BR87+(1-EXP(-LN(2)/2))/(LN(2)/2)*BL88*BO88*VLOOKUP('Données projet'!$B$11,Paramètres!$A$1:$I$89,3,0)*0.475*44/12</f>
        <v>9.2929973029709701E-8</v>
      </c>
      <c r="BS88" s="22">
        <f t="shared" si="63"/>
        <v>3.1064757753452605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5.6</v>
      </c>
      <c r="BY88" s="12">
        <f>IF('Données projet'!$A$114&gt;35,BY87+BX88-CG87,IF(A88&lt;'Données projet'!$A$114,$BV$205^A88,IF(A88='Données projet'!$A$114,'Données projet'!$B$114,BY87+BX88-CG87)))</f>
        <v>268.00000000000034</v>
      </c>
      <c r="BZ88" s="13">
        <f>BY88*VLOOKUP('Données projet'!$B$12,Paramètres!$A$1:$I$89,3,0)*VLOOKUP('Données projet'!$B$12,Paramètres!$A$1:$I$89,5,0)</f>
        <v>242.48640000000032</v>
      </c>
      <c r="CA88" s="13">
        <f t="shared" si="93"/>
        <v>58.974170235372526</v>
      </c>
      <c r="CB88" s="20">
        <f t="shared" si="64"/>
        <v>525.04382649327442</v>
      </c>
      <c r="CC88" s="59">
        <f t="shared" si="65"/>
        <v>818.37715982660779</v>
      </c>
      <c r="CD88" s="59">
        <f ca="1">AVERAGE(OFFSET($CC$3,0,0,'Données projet'!$E$12+1,1))-AVERAGE(OFFSET($H$3,0,0,'Données projet'!$E$12+1,1))</f>
        <v>237.22177246688199</v>
      </c>
      <c r="CE88" s="59">
        <f t="shared" si="94"/>
        <v>149.27472147904302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0.67596905640600669</v>
      </c>
      <c r="CM88" s="21">
        <f>EXP(-LN(2)/2)*CM87+(1-EXP(-LN(2)/2))/(LN(2)/2)*CG88*CJ88*VLOOKUP('Données projet'!$B$12,Paramètres!$A$1:$I$89,3,0)*0.475*44/12</f>
        <v>3.2607688300227741E-8</v>
      </c>
      <c r="CN88" s="22">
        <f t="shared" si="66"/>
        <v>0.67596908901369501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-5.6843418860808015E-13</v>
      </c>
      <c r="CU88" s="17">
        <f>CT88*VLOOKUP('Données projet'!$B$13,Paramètres!$A$1:$I$89,3,0)*VLOOKUP('Données projet'!$B$13,Paramètres!$A$1:$I$89,5,0)</f>
        <v>-3.177547114319168E-13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326.31232746914907</v>
      </c>
      <c r="CZ88" s="59">
        <f t="shared" si="96"/>
        <v>330.17137761430297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1.536999550345427</v>
      </c>
      <c r="DG88" s="21">
        <f>EXP(-LN(2)/25)*DG87+(1-EXP(-LN(2)/25))/(LN(2)/25)*Calculateur!DB88*Calculateur!DD88*VLOOKUP('Données projet'!$B$13,Paramètres!$A$1:$I$89,3,0)*0.475*44/12</f>
        <v>6.5667692778696454</v>
      </c>
      <c r="DH88" s="21">
        <f>EXP(-LN(2)/2)*DH87+(1-EXP(-LN(2)/2))/(LN(2)/2)*DB88*DE88*VLOOKUP('Données projet'!$B$13,Paramètres!$A$1:$I$89,3,0)*0.475*44/12</f>
        <v>1.7133794147583033E-7</v>
      </c>
      <c r="DI88" s="22">
        <f t="shared" si="69"/>
        <v>8.1037689995530133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6.2527760746888816E-13</v>
      </c>
      <c r="DP88" s="17">
        <f>DO88*VLOOKUP('Données projet'!$B$14,Paramètres!$A$1:$I$89,3,0)*VLOOKUP('Données projet'!$B$14,Paramètres!$A$1:$I$89,5,0)</f>
        <v>3.9017322706058616E-13</v>
      </c>
      <c r="DQ88" s="13">
        <f t="shared" si="97"/>
        <v>5.0025007393608908E-12</v>
      </c>
      <c r="DR88" s="20">
        <f t="shared" si="70"/>
        <v>9.3922404915174053E-12</v>
      </c>
      <c r="DS88" s="59">
        <f t="shared" si="71"/>
        <v>293.33333333334269</v>
      </c>
      <c r="DT88" s="59">
        <f ca="1">AVERAGE(OFFSET($DS$3,0,0,'Données projet'!$E$14+1,1))-AVERAGE(OFFSET($H$3,0,0,'Données projet'!$E$14+1,1))</f>
        <v>209.93608079129638</v>
      </c>
      <c r="DU88" s="59">
        <f t="shared" si="98"/>
        <v>240.15652428700969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2.3396187658535008</v>
      </c>
      <c r="EB88" s="21">
        <f>EXP(-LN(2)/25)*EB87+(1-EXP(-LN(2)/25))/(LN(2)/25)*Calculateur!DW88*Calculateur!DY88*VLOOKUP('Données projet'!$B$14,Paramètres!$A$1:$I$89,3,0)*0.475*44/12</f>
        <v>4.5242313544304134</v>
      </c>
      <c r="EC88" s="21">
        <f>EXP(-LN(2)/2)*EC87+(1-EXP(-LN(2)/2))/(LN(2)/2)*DW88*DZ88*VLOOKUP('Données projet'!$B$14,Paramètres!$A$1:$I$89,3,0)*0.475*44/12</f>
        <v>1.0637240529331138E-7</v>
      </c>
      <c r="ED88" s="22">
        <f t="shared" si="72"/>
        <v>6.8638502266563188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-4.5474735088646412E-13</v>
      </c>
      <c r="EK88" s="17">
        <f>EJ88*VLOOKUP('Données projet'!$B$15,Paramètres!$A$1:$I$89,3,0)*VLOOKUP('Données projet'!$B$15,Paramètres!$A$1:$I$89,5,0)</f>
        <v>-2.7193891583010558E-13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216.94426559495264</v>
      </c>
      <c r="EP88" s="59">
        <f t="shared" si="100"/>
        <v>225.33715877618704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0</v>
      </c>
      <c r="EW88" s="21">
        <f>EXP(-LN(2)/25)*EW87+(1-EXP(-LN(2)/25))/(LN(2)/25)*Calculateur!ER88*Calculateur!ET88*VLOOKUP('Données projet'!$B$15,Paramètres!$A$1:$I$89,3,0)*0.475*44/12</f>
        <v>2.796483405750898</v>
      </c>
      <c r="EX88" s="21">
        <f>EXP(-LN(2)/2)*EX87+(1-EXP(-LN(2)/2))/(LN(2)/2)*ER88*EU88*VLOOKUP('Données projet'!$B$15,Paramètres!$A$1:$I$89,3,0)*0.475*44/12</f>
        <v>1.2501471698279196E-7</v>
      </c>
      <c r="EY88" s="22">
        <f t="shared" si="75"/>
        <v>2.7964835307656148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>
        <f>FE88*VLOOKUP('Données projet'!$B$16,Paramètres!$A$1:$I$89,3,0)*VLOOKUP('Données projet'!$B$16,Paramètres!$A$1:$I$89,5,0)</f>
        <v>0</v>
      </c>
      <c r="FG88" s="13" t="e">
        <f t="shared" si="101"/>
        <v>#NUM!</v>
      </c>
      <c r="FH88" s="20" t="e">
        <f t="shared" si="76"/>
        <v>#NUM!</v>
      </c>
      <c r="FI88" s="59" t="e">
        <f t="shared" si="77"/>
        <v>#NUM!</v>
      </c>
      <c r="FJ88" s="59">
        <f ca="1">AVERAGE(OFFSET($FI$3,0,0,'Données projet'!$E$16+1,1))-AVERAGE(OFFSET($H$3,0,0,'Données projet'!$E$16+1,1))</f>
        <v>168.08890945052406</v>
      </c>
      <c r="FK88" s="59">
        <f t="shared" si="102"/>
        <v>182.52462557642343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2.0902718983126634</v>
      </c>
      <c r="FR88" s="21">
        <f>EXP(-LN(2)/25)*FR87+(1-EXP(-LN(2)/25))/(LN(2)/25)*Calculateur!FM88*Calculateur!FO88*VLOOKUP('Données projet'!$B$16,Paramètres!$A$1:$I$89,3,0)*0.475*44/12</f>
        <v>2.683664122594577</v>
      </c>
      <c r="FS88" s="21">
        <f>EXP(-LN(2)/2)*FS87+(1-EXP(-LN(2)/2))/(LN(2)/2)*FM88*FP88*VLOOKUP('Données projet'!$B$16,Paramètres!$A$1:$I$89,3,0)*0.475*44/12</f>
        <v>2.868984644087937E-8</v>
      </c>
      <c r="FT88" s="22">
        <f t="shared" si="78"/>
        <v>4.7739360495970864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-5.6843418860808015E-14</v>
      </c>
      <c r="GA88" s="17">
        <f>FZ88*VLOOKUP('Données projet'!$B$17,Paramètres!$A$1:$I$89,3,0)*VLOOKUP('Données projet'!$B$17,Paramètres!$A$1:$I$89,5,0)</f>
        <v>-3.2514435588382188E-14</v>
      </c>
      <c r="GB88" s="13" t="e">
        <f t="shared" si="103"/>
        <v>#NUM!</v>
      </c>
      <c r="GC88" s="20" t="e">
        <f t="shared" si="79"/>
        <v>#NUM!</v>
      </c>
      <c r="GD88" s="59" t="e">
        <f t="shared" si="80"/>
        <v>#NUM!</v>
      </c>
      <c r="GE88" s="59">
        <f ca="1">AVERAGE(OFFSET($GD$3,0,0,'Données projet'!$E$17+1,1))-AVERAGE(OFFSET($H$3,0,0,'Données projet'!$E$17+1,1))</f>
        <v>196.95560009657527</v>
      </c>
      <c r="GF88" s="59">
        <f t="shared" si="104"/>
        <v>168.90186968005662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0</v>
      </c>
      <c r="GM88" s="21">
        <f>EXP(-LN(2)/25)*GM87+(1-EXP(-LN(2)/25))/(LN(2)/25)*Calculateur!GH88*Calculateur!GJ88*VLOOKUP('Données projet'!$B$17,Paramètres!$A$1:$I$89,3,0)*0.475*44/12</f>
        <v>2.0089997825756596</v>
      </c>
      <c r="GN88" s="21">
        <f>EXP(-LN(2)/2)*GN87+(1-EXP(-LN(2)/2))/(LN(2)/2)*GH88*GK88*VLOOKUP('Données projet'!$B$17,Paramètres!$A$1:$I$89,3,0)*0.475*44/12</f>
        <v>6.7748837590648724E-8</v>
      </c>
      <c r="GO88" s="21">
        <f t="shared" si="81"/>
        <v>2.0089998503244972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17.5</v>
      </c>
      <c r="N89" s="13">
        <f>IF('Données projet'!$A$36&gt;35,N88+M89-V88,IF(A89&lt;'Données projet'!$A$36,$K$205^A89,IF(A89='Données projet'!$A$36,'Données projet'!$B$36,N88+M89-V88)))</f>
        <v>554.59999999999991</v>
      </c>
      <c r="O89" s="13">
        <f>N89*VLOOKUP('Données projet'!$B$9,Paramètres!$A$1:$I$89,3,0)*VLOOKUP('Données projet'!$B$9,Paramètres!$A$1:$I$89,5,0)</f>
        <v>259.55279999999993</v>
      </c>
      <c r="P89" s="13">
        <f t="shared" si="87"/>
        <v>62.627043439399927</v>
      </c>
      <c r="Q89" s="20">
        <f t="shared" si="54"/>
        <v>561.12989399028811</v>
      </c>
      <c r="R89" s="59">
        <f t="shared" si="55"/>
        <v>854.46322732362137</v>
      </c>
      <c r="S89" s="59">
        <f ca="1">AVERAGE(OFFSET($R$3,0,0,'Données projet'!$E$9+1,1))-AVERAGE(OFFSET($H$3,0,0,'Données projet'!$E$9+1,1))</f>
        <v>215.23235148064941</v>
      </c>
      <c r="T89" s="59">
        <f t="shared" si="88"/>
        <v>184.07239726900434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1.0340263051413818</v>
      </c>
      <c r="AA89" s="21">
        <f>EXP(-LN(2)/25)*AA88+(1-EXP(-LN(2)/25))/(LN(2)/25)*Calculateur!V89*Calculateur!X89*VLOOKUP('Données projet'!$B$9,Paramètres!$A$1:$I$89,3,0)*0.475*44/12</f>
        <v>1.6628944045436733</v>
      </c>
      <c r="AB89" s="21">
        <f>EXP(-LN(2)/2)*AB88+(1-EXP(-LN(2)/2))/(LN(2)/2)*V89*Y89*VLOOKUP('Données projet'!$B$9,Paramètres!$A$1:$I$89,3,0)*0.475*44/12</f>
        <v>3.6627711654812067E-8</v>
      </c>
      <c r="AC89" s="22">
        <f t="shared" si="57"/>
        <v>2.6969207463127667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5.6843418860808015E-14</v>
      </c>
      <c r="AJ89" s="13">
        <f>AI89*VLOOKUP('Données projet'!$B$10,Paramètres!$A$1:$I$89,3,0)*VLOOKUP('Données projet'!$B$10,Paramètres!$A$1:$I$89,5,0)</f>
        <v>4.1677594708744434E-14</v>
      </c>
      <c r="AK89" s="13">
        <f t="shared" si="89"/>
        <v>6.9326303456159188E-13</v>
      </c>
      <c r="AL89" s="20">
        <f t="shared" si="58"/>
        <v>1.2800215959791691E-12</v>
      </c>
      <c r="AM89" s="59">
        <f t="shared" si="59"/>
        <v>293.33333333333462</v>
      </c>
      <c r="AN89" s="59">
        <f ca="1">AVERAGE(OFFSET($AM$3,0,0,'Données projet'!$E$10+1,1))-AVERAGE(OFFSET($H$3,0,0,'Données projet'!$E$10+1,1))</f>
        <v>178.12968684094687</v>
      </c>
      <c r="AO89" s="59">
        <f t="shared" si="90"/>
        <v>219.36004077210373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1.6275409313533149</v>
      </c>
      <c r="AW89" s="21">
        <f>EXP(-LN(2)/2)*AW88+(1-EXP(-LN(2)/2))/(LN(2)/2)*AQ89*AT89*VLOOKUP('Données projet'!$B$10,Paramètres!$A$1:$I$89,3,0)*0.475*44/12</f>
        <v>3.6945620915567604E-8</v>
      </c>
      <c r="AX89" s="21">
        <f t="shared" si="60"/>
        <v>1.6275409682989359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1.9</v>
      </c>
      <c r="BD89" s="12">
        <f>IF('Données projet'!$A$88&gt;35,BD88+BC89-BL88,IF(A89&lt;'Données projet'!$A$88,$BA$205^A89,IF(A89='Données projet'!$A$88,'Données projet'!$B$88,BD88+BC89-BL88)))</f>
        <v>151.39999999999992</v>
      </c>
      <c r="BE89" s="13">
        <f>BD89*VLOOKUP('Données projet'!$B$11,Paramètres!$A$1:$I$89,3,0)*VLOOKUP('Données projet'!$B$11,Paramètres!$A$1:$I$89,5,0)</f>
        <v>132.26303999999996</v>
      </c>
      <c r="BF89" s="13">
        <f t="shared" si="91"/>
        <v>34.518755036434833</v>
      </c>
      <c r="BG89" s="20">
        <f t="shared" si="61"/>
        <v>290.47829302179059</v>
      </c>
      <c r="BH89" s="59">
        <f t="shared" si="62"/>
        <v>583.81162635512396</v>
      </c>
      <c r="BI89" s="59">
        <f ca="1">AVERAGE(OFFSET($BH$3,0,0,'Données projet'!$E$11+1,1))-AVERAGE(OFFSET($H$3,0,0,'Données projet'!$E$11+1,1))</f>
        <v>114.02623091248347</v>
      </c>
      <c r="BJ89" s="59">
        <f t="shared" si="92"/>
        <v>185.51554083721635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0.64384015047358678</v>
      </c>
      <c r="BQ89" s="21">
        <f>EXP(-LN(2)/25)*BQ88+(1-EXP(-LN(2)/25))/(LN(2)/25)*Calculateur!BL89*Calculateur!BN89*VLOOKUP('Données projet'!$B$11,Paramètres!$A$1:$I$89,3,0)*0.475*44/12</f>
        <v>2.382768939787594</v>
      </c>
      <c r="BR89" s="21">
        <f>EXP(-LN(2)/2)*BR88+(1-EXP(-LN(2)/2))/(LN(2)/2)*BL89*BO89*VLOOKUP('Données projet'!$B$11,Paramètres!$A$1:$I$89,3,0)*0.475*44/12</f>
        <v>6.5711414104790699E-8</v>
      </c>
      <c r="BS89" s="22">
        <f t="shared" si="63"/>
        <v>3.0266091559725949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5.6</v>
      </c>
      <c r="BY89" s="12">
        <f>IF('Données projet'!$A$114&gt;35,BY88+BX89-CG88,IF(A89&lt;'Données projet'!$A$114,$BV$205^A89,IF(A89='Données projet'!$A$114,'Données projet'!$B$114,BY88+BX89-CG88)))</f>
        <v>273.60000000000036</v>
      </c>
      <c r="BZ89" s="13">
        <f>BY89*VLOOKUP('Données projet'!$B$12,Paramètres!$A$1:$I$89,3,0)*VLOOKUP('Données projet'!$B$12,Paramètres!$A$1:$I$89,5,0)</f>
        <v>247.55328000000031</v>
      </c>
      <c r="CA89" s="13">
        <f t="shared" si="93"/>
        <v>60.061713068870304</v>
      </c>
      <c r="CB89" s="20">
        <f t="shared" si="64"/>
        <v>535.76277959494962</v>
      </c>
      <c r="CC89" s="59">
        <f t="shared" si="65"/>
        <v>829.09611292828299</v>
      </c>
      <c r="CD89" s="59">
        <f ca="1">AVERAGE(OFFSET($CC$3,0,0,'Données projet'!$E$12+1,1))-AVERAGE(OFFSET($H$3,0,0,'Données projet'!$E$12+1,1))</f>
        <v>237.22177246688199</v>
      </c>
      <c r="CE89" s="59">
        <f t="shared" si="94"/>
        <v>149.27472147904302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0.65748464701091669</v>
      </c>
      <c r="CM89" s="21">
        <f>EXP(-LN(2)/2)*CM88+(1-EXP(-LN(2)/2))/(LN(2)/2)*CG89*CJ89*VLOOKUP('Données projet'!$B$12,Paramètres!$A$1:$I$89,3,0)*0.475*44/12</f>
        <v>2.3057117515908283E-8</v>
      </c>
      <c r="CN89" s="22">
        <f t="shared" si="66"/>
        <v>0.65748467006803424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-5.6843418860808015E-13</v>
      </c>
      <c r="CU89" s="17">
        <f>CT89*VLOOKUP('Données projet'!$B$13,Paramètres!$A$1:$I$89,3,0)*VLOOKUP('Données projet'!$B$13,Paramètres!$A$1:$I$89,5,0)</f>
        <v>-3.177547114319168E-13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326.31232746914907</v>
      </c>
      <c r="CZ89" s="59">
        <f t="shared" si="96"/>
        <v>330.17137761430297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1.5068599266403107</v>
      </c>
      <c r="DG89" s="21">
        <f>EXP(-LN(2)/25)*DG88+(1-EXP(-LN(2)/25))/(LN(2)/25)*Calculateur!DB89*Calculateur!DD89*VLOOKUP('Données projet'!$B$13,Paramètres!$A$1:$I$89,3,0)*0.475*44/12</f>
        <v>6.3872006266349119</v>
      </c>
      <c r="DH89" s="21">
        <f>EXP(-LN(2)/2)*DH88+(1-EXP(-LN(2)/2))/(LN(2)/2)*DB89*DE89*VLOOKUP('Données projet'!$B$13,Paramètres!$A$1:$I$89,3,0)*0.475*44/12</f>
        <v>1.2115422029210345E-7</v>
      </c>
      <c r="DI89" s="22">
        <f t="shared" si="69"/>
        <v>7.8940606744294426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6.2527760746888816E-13</v>
      </c>
      <c r="DP89" s="17">
        <f>DO89*VLOOKUP('Données projet'!$B$14,Paramètres!$A$1:$I$89,3,0)*VLOOKUP('Données projet'!$B$14,Paramètres!$A$1:$I$89,5,0)</f>
        <v>3.9017322706058616E-13</v>
      </c>
      <c r="DQ89" s="13">
        <f t="shared" si="97"/>
        <v>5.0025007393608908E-12</v>
      </c>
      <c r="DR89" s="20">
        <f t="shared" si="70"/>
        <v>9.3922404915174053E-12</v>
      </c>
      <c r="DS89" s="59">
        <f t="shared" si="71"/>
        <v>293.33333333334269</v>
      </c>
      <c r="DT89" s="59">
        <f ca="1">AVERAGE(OFFSET($DS$3,0,0,'Données projet'!$E$14+1,1))-AVERAGE(OFFSET($H$3,0,0,'Données projet'!$E$14+1,1))</f>
        <v>209.93608079129638</v>
      </c>
      <c r="DU89" s="59">
        <f t="shared" si="98"/>
        <v>240.15652428700969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2.2937402688816535</v>
      </c>
      <c r="EB89" s="21">
        <f>EXP(-LN(2)/25)*EB88+(1-EXP(-LN(2)/25))/(LN(2)/25)*Calculateur!DW89*Calculateur!DY89*VLOOKUP('Données projet'!$B$14,Paramètres!$A$1:$I$89,3,0)*0.475*44/12</f>
        <v>4.4005160101245266</v>
      </c>
      <c r="EC89" s="21">
        <f>EXP(-LN(2)/2)*EC88+(1-EXP(-LN(2)/2))/(LN(2)/2)*DW89*DZ89*VLOOKUP('Données projet'!$B$14,Paramètres!$A$1:$I$89,3,0)*0.475*44/12</f>
        <v>7.5216649114024282E-8</v>
      </c>
      <c r="ED89" s="22">
        <f t="shared" si="72"/>
        <v>6.6942563542228291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-4.5474735088646412E-13</v>
      </c>
      <c r="EK89" s="17">
        <f>EJ89*VLOOKUP('Données projet'!$B$15,Paramètres!$A$1:$I$89,3,0)*VLOOKUP('Données projet'!$B$15,Paramètres!$A$1:$I$89,5,0)</f>
        <v>-2.7193891583010558E-13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216.94426559495264</v>
      </c>
      <c r="EP89" s="59">
        <f t="shared" si="100"/>
        <v>225.33715877618704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0</v>
      </c>
      <c r="EW89" s="21">
        <f>EXP(-LN(2)/25)*EW88+(1-EXP(-LN(2)/25))/(LN(2)/25)*Calculateur!ER89*Calculateur!ET89*VLOOKUP('Données projet'!$B$15,Paramètres!$A$1:$I$89,3,0)*0.475*44/12</f>
        <v>2.7200134199599688</v>
      </c>
      <c r="EX89" s="21">
        <f>EXP(-LN(2)/2)*EX88+(1-EXP(-LN(2)/2))/(LN(2)/2)*ER89*EU89*VLOOKUP('Données projet'!$B$15,Paramètres!$A$1:$I$89,3,0)*0.475*44/12</f>
        <v>8.8398754126649244E-8</v>
      </c>
      <c r="EY89" s="22">
        <f t="shared" si="75"/>
        <v>2.7200135083587229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>
        <f>FE89*VLOOKUP('Données projet'!$B$16,Paramètres!$A$1:$I$89,3,0)*VLOOKUP('Données projet'!$B$16,Paramètres!$A$1:$I$89,5,0)</f>
        <v>0</v>
      </c>
      <c r="FG89" s="13" t="e">
        <f t="shared" si="101"/>
        <v>#NUM!</v>
      </c>
      <c r="FH89" s="20" t="e">
        <f t="shared" si="76"/>
        <v>#NUM!</v>
      </c>
      <c r="FI89" s="59" t="e">
        <f t="shared" si="77"/>
        <v>#NUM!</v>
      </c>
      <c r="FJ89" s="59">
        <f ca="1">AVERAGE(OFFSET($FI$3,0,0,'Données projet'!$E$16+1,1))-AVERAGE(OFFSET($H$3,0,0,'Données projet'!$E$16+1,1))</f>
        <v>168.08890945052406</v>
      </c>
      <c r="FK89" s="59">
        <f t="shared" si="102"/>
        <v>182.52462557642343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2.04928294132672</v>
      </c>
      <c r="FR89" s="21">
        <f>EXP(-LN(2)/25)*FR88+(1-EXP(-LN(2)/25))/(LN(2)/25)*Calculateur!FM89*Calculateur!FO89*VLOOKUP('Données projet'!$B$16,Paramètres!$A$1:$I$89,3,0)*0.475*44/12</f>
        <v>2.6102791860344658</v>
      </c>
      <c r="FS89" s="21">
        <f>EXP(-LN(2)/2)*FS88+(1-EXP(-LN(2)/2))/(LN(2)/2)*FM89*FP89*VLOOKUP('Données projet'!$B$16,Paramètres!$A$1:$I$89,3,0)*0.475*44/12</f>
        <v>2.0286784969546538E-8</v>
      </c>
      <c r="FT89" s="22">
        <f t="shared" si="78"/>
        <v>4.6595621476479705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-5.6843418860808015E-14</v>
      </c>
      <c r="GA89" s="17">
        <f>FZ89*VLOOKUP('Données projet'!$B$17,Paramètres!$A$1:$I$89,3,0)*VLOOKUP('Données projet'!$B$17,Paramètres!$A$1:$I$89,5,0)</f>
        <v>-3.2514435588382188E-14</v>
      </c>
      <c r="GB89" s="13" t="e">
        <f t="shared" si="103"/>
        <v>#NUM!</v>
      </c>
      <c r="GC89" s="20" t="e">
        <f t="shared" si="79"/>
        <v>#NUM!</v>
      </c>
      <c r="GD89" s="59" t="e">
        <f t="shared" si="80"/>
        <v>#NUM!</v>
      </c>
      <c r="GE89" s="59">
        <f ca="1">AVERAGE(OFFSET($GD$3,0,0,'Données projet'!$E$17+1,1))-AVERAGE(OFFSET($H$3,0,0,'Données projet'!$E$17+1,1))</f>
        <v>196.95560009657527</v>
      </c>
      <c r="GF89" s="59">
        <f t="shared" si="104"/>
        <v>168.90186968005662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0</v>
      </c>
      <c r="GM89" s="21">
        <f>EXP(-LN(2)/25)*GM88+(1-EXP(-LN(2)/25))/(LN(2)/25)*Calculateur!GH89*Calculateur!GJ89*VLOOKUP('Données projet'!$B$17,Paramètres!$A$1:$I$89,3,0)*0.475*44/12</f>
        <v>1.9540635778724211</v>
      </c>
      <c r="GN89" s="21">
        <f>EXP(-LN(2)/2)*GN88+(1-EXP(-LN(2)/2))/(LN(2)/2)*GH89*GK89*VLOOKUP('Données projet'!$B$17,Paramètres!$A$1:$I$89,3,0)*0.475*44/12</f>
        <v>4.7905662477853793E-8</v>
      </c>
      <c r="GO89" s="21">
        <f t="shared" si="81"/>
        <v>1.9540636257780837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17.5</v>
      </c>
      <c r="N90" s="13">
        <f>IF('Données projet'!$A$36&gt;35,N89+M90-V89,IF(A90&lt;'Données projet'!$A$36,$K$205^A90,IF(A90='Données projet'!$A$36,'Données projet'!$B$36,N89+M90-V89)))</f>
        <v>572.09999999999991</v>
      </c>
      <c r="O90" s="13">
        <f>N90*VLOOKUP('Données projet'!$B$9,Paramètres!$A$1:$I$89,3,0)*VLOOKUP('Données projet'!$B$9,Paramètres!$A$1:$I$89,5,0)</f>
        <v>267.74279999999993</v>
      </c>
      <c r="P90" s="13">
        <f t="shared" si="87"/>
        <v>64.370000676259949</v>
      </c>
      <c r="Q90" s="20">
        <f t="shared" si="54"/>
        <v>578.42979451115264</v>
      </c>
      <c r="R90" s="59">
        <f t="shared" si="55"/>
        <v>871.76312784448601</v>
      </c>
      <c r="S90" s="59">
        <f ca="1">AVERAGE(OFFSET($R$3,0,0,'Données projet'!$E$9+1,1))-AVERAGE(OFFSET($H$3,0,0,'Données projet'!$E$9+1,1))</f>
        <v>215.23235148064941</v>
      </c>
      <c r="T90" s="59">
        <f t="shared" si="88"/>
        <v>184.07239726900434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1.0137496799913297</v>
      </c>
      <c r="AA90" s="21">
        <f>EXP(-LN(2)/25)*AA89+(1-EXP(-LN(2)/25))/(LN(2)/25)*Calculateur!V90*Calculateur!X90*VLOOKUP('Données projet'!$B$9,Paramètres!$A$1:$I$89,3,0)*0.475*44/12</f>
        <v>1.6174224696036104</v>
      </c>
      <c r="AB90" s="21">
        <f>EXP(-LN(2)/2)*AB89+(1-EXP(-LN(2)/2))/(LN(2)/2)*V90*Y90*VLOOKUP('Données projet'!$B$9,Paramètres!$A$1:$I$89,3,0)*0.475*44/12</f>
        <v>2.5899703290463154E-8</v>
      </c>
      <c r="AC90" s="22">
        <f t="shared" si="57"/>
        <v>2.6311721754946436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5.6843418860808015E-14</v>
      </c>
      <c r="AJ90" s="13">
        <f>AI90*VLOOKUP('Données projet'!$B$10,Paramètres!$A$1:$I$89,3,0)*VLOOKUP('Données projet'!$B$10,Paramètres!$A$1:$I$89,5,0)</f>
        <v>4.1677594708744434E-14</v>
      </c>
      <c r="AK90" s="13">
        <f t="shared" si="89"/>
        <v>6.9326303456159188E-13</v>
      </c>
      <c r="AL90" s="20">
        <f t="shared" si="58"/>
        <v>1.2800215959791691E-12</v>
      </c>
      <c r="AM90" s="59">
        <f t="shared" si="59"/>
        <v>293.33333333333462</v>
      </c>
      <c r="AN90" s="59">
        <f ca="1">AVERAGE(OFFSET($AM$3,0,0,'Données projet'!$E$10+1,1))-AVERAGE(OFFSET($H$3,0,0,'Données projet'!$E$10+1,1))</f>
        <v>178.12968684094687</v>
      </c>
      <c r="AO90" s="59">
        <f t="shared" si="90"/>
        <v>219.36004077210373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1.5830357389968006</v>
      </c>
      <c r="AW90" s="21">
        <f>EXP(-LN(2)/2)*AW89+(1-EXP(-LN(2)/2))/(LN(2)/2)*AQ90*AT90*VLOOKUP('Données projet'!$B$10,Paramètres!$A$1:$I$89,3,0)*0.475*44/12</f>
        <v>2.6124499084545396E-8</v>
      </c>
      <c r="AX90" s="21">
        <f t="shared" si="60"/>
        <v>1.5830357651212996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1.9</v>
      </c>
      <c r="BD90" s="12">
        <f>IF('Données projet'!$A$88&gt;35,BD89+BC90-BL89,IF(A90&lt;'Données projet'!$A$88,$BA$205^A90,IF(A90='Données projet'!$A$88,'Données projet'!$B$88,BD89+BC90-BL89)))</f>
        <v>153.29999999999993</v>
      </c>
      <c r="BE90" s="13">
        <f>BD90*VLOOKUP('Données projet'!$B$11,Paramètres!$A$1:$I$89,3,0)*VLOOKUP('Données projet'!$B$11,Paramètres!$A$1:$I$89,5,0)</f>
        <v>133.92287999999996</v>
      </c>
      <c r="BF90" s="13">
        <f t="shared" si="91"/>
        <v>34.901247350186097</v>
      </c>
      <c r="BG90" s="20">
        <f t="shared" si="61"/>
        <v>294.03535513490738</v>
      </c>
      <c r="BH90" s="59">
        <f t="shared" si="62"/>
        <v>587.36868846824063</v>
      </c>
      <c r="BI90" s="59">
        <f ca="1">AVERAGE(OFFSET($BH$3,0,0,'Données projet'!$E$11+1,1))-AVERAGE(OFFSET($H$3,0,0,'Données projet'!$E$11+1,1))</f>
        <v>114.02623091248347</v>
      </c>
      <c r="BJ90" s="59">
        <f t="shared" si="92"/>
        <v>185.51554083721635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0.63121483782651522</v>
      </c>
      <c r="BQ90" s="21">
        <f>EXP(-LN(2)/25)*BQ89+(1-EXP(-LN(2)/25))/(LN(2)/25)*Calculateur!BL90*Calculateur!BN90*VLOOKUP('Données projet'!$B$11,Paramètres!$A$1:$I$89,3,0)*0.475*44/12</f>
        <v>2.3176119978247294</v>
      </c>
      <c r="BR90" s="21">
        <f>EXP(-LN(2)/2)*BR89+(1-EXP(-LN(2)/2))/(LN(2)/2)*BL90*BO90*VLOOKUP('Données projet'!$B$11,Paramètres!$A$1:$I$89,3,0)*0.475*44/12</f>
        <v>4.646498651485485E-8</v>
      </c>
      <c r="BS90" s="22">
        <f t="shared" si="63"/>
        <v>2.9488268821162311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5.6</v>
      </c>
      <c r="BY90" s="12">
        <f>IF('Données projet'!$A$114&gt;35,BY89+BX90-CG89,IF(A90&lt;'Données projet'!$A$114,$BV$205^A90,IF(A90='Données projet'!$A$114,'Données projet'!$B$114,BY89+BX90-CG89)))</f>
        <v>279.20000000000039</v>
      </c>
      <c r="BZ90" s="13">
        <f>BY90*VLOOKUP('Données projet'!$B$12,Paramètres!$A$1:$I$89,3,0)*VLOOKUP('Données projet'!$B$12,Paramètres!$A$1:$I$89,5,0)</f>
        <v>252.62016000000034</v>
      </c>
      <c r="CA90" s="13">
        <f t="shared" si="93"/>
        <v>61.146667772298876</v>
      </c>
      <c r="CB90" s="20">
        <f t="shared" si="64"/>
        <v>546.47722503675448</v>
      </c>
      <c r="CC90" s="59">
        <f t="shared" si="65"/>
        <v>839.81055837008785</v>
      </c>
      <c r="CD90" s="59">
        <f ca="1">AVERAGE(OFFSET($CC$3,0,0,'Données projet'!$E$12+1,1))-AVERAGE(OFFSET($H$3,0,0,'Données projet'!$E$12+1,1))</f>
        <v>237.22177246688199</v>
      </c>
      <c r="CE90" s="59">
        <f t="shared" si="94"/>
        <v>149.27472147904302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0.63950569476278829</v>
      </c>
      <c r="CM90" s="21">
        <f>EXP(-LN(2)/2)*CM89+(1-EXP(-LN(2)/2))/(LN(2)/2)*CG90*CJ90*VLOOKUP('Données projet'!$B$12,Paramètres!$A$1:$I$89,3,0)*0.475*44/12</f>
        <v>1.630384415011387E-8</v>
      </c>
      <c r="CN90" s="22">
        <f t="shared" si="66"/>
        <v>0.63950571106663245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-5.6843418860808015E-13</v>
      </c>
      <c r="CU90" s="17">
        <f>CT90*VLOOKUP('Données projet'!$B$13,Paramètres!$A$1:$I$89,3,0)*VLOOKUP('Données projet'!$B$13,Paramètres!$A$1:$I$89,5,0)</f>
        <v>-3.177547114319168E-13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326.31232746914907</v>
      </c>
      <c r="CZ90" s="59">
        <f t="shared" si="96"/>
        <v>330.17137761430297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1.4773113225726964</v>
      </c>
      <c r="DG90" s="21">
        <f>EXP(-LN(2)/25)*DG89+(1-EXP(-LN(2)/25))/(LN(2)/25)*Calculateur!DB90*Calculateur!DD90*VLOOKUP('Données projet'!$B$13,Paramètres!$A$1:$I$89,3,0)*0.475*44/12</f>
        <v>6.2125422896112976</v>
      </c>
      <c r="DH90" s="21">
        <f>EXP(-LN(2)/2)*DH89+(1-EXP(-LN(2)/2))/(LN(2)/2)*DB90*DE90*VLOOKUP('Données projet'!$B$13,Paramètres!$A$1:$I$89,3,0)*0.475*44/12</f>
        <v>8.5668970737915167E-8</v>
      </c>
      <c r="DI90" s="22">
        <f t="shared" si="69"/>
        <v>7.6898536978529641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6.2527760746888816E-13</v>
      </c>
      <c r="DP90" s="17">
        <f>DO90*VLOOKUP('Données projet'!$B$14,Paramètres!$A$1:$I$89,3,0)*VLOOKUP('Données projet'!$B$14,Paramètres!$A$1:$I$89,5,0)</f>
        <v>3.9017322706058616E-13</v>
      </c>
      <c r="DQ90" s="13">
        <f t="shared" si="97"/>
        <v>5.0025007393608908E-12</v>
      </c>
      <c r="DR90" s="20">
        <f t="shared" si="70"/>
        <v>9.3922404915174053E-12</v>
      </c>
      <c r="DS90" s="59">
        <f t="shared" si="71"/>
        <v>293.33333333334269</v>
      </c>
      <c r="DT90" s="59">
        <f ca="1">AVERAGE(OFFSET($DS$3,0,0,'Données projet'!$E$14+1,1))-AVERAGE(OFFSET($H$3,0,0,'Données projet'!$E$14+1,1))</f>
        <v>209.93608079129638</v>
      </c>
      <c r="DU90" s="59">
        <f t="shared" si="98"/>
        <v>240.15652428700969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2.2487614212523042</v>
      </c>
      <c r="EB90" s="21">
        <f>EXP(-LN(2)/25)*EB89+(1-EXP(-LN(2)/25))/(LN(2)/25)*Calculateur!DW90*Calculateur!DY90*VLOOKUP('Données projet'!$B$14,Paramètres!$A$1:$I$89,3,0)*0.475*44/12</f>
        <v>4.2801836684145922</v>
      </c>
      <c r="EC90" s="21">
        <f>EXP(-LN(2)/2)*EC89+(1-EXP(-LN(2)/2))/(LN(2)/2)*DW90*DZ90*VLOOKUP('Données projet'!$B$14,Paramètres!$A$1:$I$89,3,0)*0.475*44/12</f>
        <v>5.3186202646655692E-8</v>
      </c>
      <c r="ED90" s="22">
        <f t="shared" si="72"/>
        <v>6.5289451428530993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-4.5474735088646412E-13</v>
      </c>
      <c r="EK90" s="17">
        <f>EJ90*VLOOKUP('Données projet'!$B$15,Paramètres!$A$1:$I$89,3,0)*VLOOKUP('Données projet'!$B$15,Paramètres!$A$1:$I$89,5,0)</f>
        <v>-2.7193891583010558E-13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216.94426559495264</v>
      </c>
      <c r="EP90" s="59">
        <f t="shared" si="100"/>
        <v>225.33715877618704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0</v>
      </c>
      <c r="EW90" s="21">
        <f>EXP(-LN(2)/25)*EW89+(1-EXP(-LN(2)/25))/(LN(2)/25)*Calculateur!ER90*Calculateur!ET90*VLOOKUP('Données projet'!$B$15,Paramètres!$A$1:$I$89,3,0)*0.475*44/12</f>
        <v>2.6456345099518743</v>
      </c>
      <c r="EX90" s="21">
        <f>EXP(-LN(2)/2)*EX89+(1-EXP(-LN(2)/2))/(LN(2)/2)*ER90*EU90*VLOOKUP('Données projet'!$B$15,Paramètres!$A$1:$I$89,3,0)*0.475*44/12</f>
        <v>6.250735849139598E-8</v>
      </c>
      <c r="EY90" s="22">
        <f t="shared" si="75"/>
        <v>2.6456345724592327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>
        <f>FE90*VLOOKUP('Données projet'!$B$16,Paramètres!$A$1:$I$89,3,0)*VLOOKUP('Données projet'!$B$16,Paramètres!$A$1:$I$89,5,0)</f>
        <v>0</v>
      </c>
      <c r="FG90" s="13" t="e">
        <f t="shared" si="101"/>
        <v>#NUM!</v>
      </c>
      <c r="FH90" s="20" t="e">
        <f t="shared" si="76"/>
        <v>#NUM!</v>
      </c>
      <c r="FI90" s="59" t="e">
        <f t="shared" si="77"/>
        <v>#NUM!</v>
      </c>
      <c r="FJ90" s="59">
        <f ca="1">AVERAGE(OFFSET($FI$3,0,0,'Données projet'!$E$16+1,1))-AVERAGE(OFFSET($H$3,0,0,'Données projet'!$E$16+1,1))</f>
        <v>168.08890945052406</v>
      </c>
      <c r="FK90" s="59">
        <f t="shared" si="102"/>
        <v>182.52462557642343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2.009097752786476</v>
      </c>
      <c r="FR90" s="21">
        <f>EXP(-LN(2)/25)*FR89+(1-EXP(-LN(2)/25))/(LN(2)/25)*Calculateur!FM90*Calculateur!FO90*VLOOKUP('Données projet'!$B$16,Paramètres!$A$1:$I$89,3,0)*0.475*44/12</f>
        <v>2.5389009644237368</v>
      </c>
      <c r="FS90" s="21">
        <f>EXP(-LN(2)/2)*FS89+(1-EXP(-LN(2)/2))/(LN(2)/2)*FM90*FP90*VLOOKUP('Données projet'!$B$16,Paramètres!$A$1:$I$89,3,0)*0.475*44/12</f>
        <v>1.4344923220439685E-8</v>
      </c>
      <c r="FT90" s="22">
        <f t="shared" si="78"/>
        <v>4.5479987315551362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-5.6843418860808015E-14</v>
      </c>
      <c r="GA90" s="17">
        <f>FZ90*VLOOKUP('Données projet'!$B$17,Paramètres!$A$1:$I$89,3,0)*VLOOKUP('Données projet'!$B$17,Paramètres!$A$1:$I$89,5,0)</f>
        <v>-3.2514435588382188E-14</v>
      </c>
      <c r="GB90" s="13" t="e">
        <f t="shared" si="103"/>
        <v>#NUM!</v>
      </c>
      <c r="GC90" s="20" t="e">
        <f t="shared" si="79"/>
        <v>#NUM!</v>
      </c>
      <c r="GD90" s="59" t="e">
        <f t="shared" si="80"/>
        <v>#NUM!</v>
      </c>
      <c r="GE90" s="59">
        <f ca="1">AVERAGE(OFFSET($GD$3,0,0,'Données projet'!$E$17+1,1))-AVERAGE(OFFSET($H$3,0,0,'Données projet'!$E$17+1,1))</f>
        <v>196.95560009657527</v>
      </c>
      <c r="GF90" s="59">
        <f t="shared" si="104"/>
        <v>168.90186968005662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0</v>
      </c>
      <c r="GM90" s="21">
        <f>EXP(-LN(2)/25)*GM89+(1-EXP(-LN(2)/25))/(LN(2)/25)*Calculateur!GH90*Calculateur!GJ90*VLOOKUP('Données projet'!$B$17,Paramètres!$A$1:$I$89,3,0)*0.475*44/12</f>
        <v>1.9006296065757622</v>
      </c>
      <c r="GN90" s="21">
        <f>EXP(-LN(2)/2)*GN89+(1-EXP(-LN(2)/2))/(LN(2)/2)*GH90*GK90*VLOOKUP('Données projet'!$B$17,Paramètres!$A$1:$I$89,3,0)*0.475*44/12</f>
        <v>3.3874418795324362E-8</v>
      </c>
      <c r="GO90" s="21">
        <f t="shared" si="81"/>
        <v>1.900629640450181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17.5</v>
      </c>
      <c r="N91" s="13">
        <f>IF('Données projet'!$A$36&gt;35,N90+M91-V90,IF(A91&lt;'Données projet'!$A$36,$K$205^A91,IF(A91='Données projet'!$A$36,'Données projet'!$B$36,N90+M91-V90)))</f>
        <v>589.59999999999991</v>
      </c>
      <c r="O91" s="13">
        <f>N91*VLOOKUP('Données projet'!$B$9,Paramètres!$A$1:$I$89,3,0)*VLOOKUP('Données projet'!$B$9,Paramètres!$A$1:$I$89,5,0)</f>
        <v>275.93279999999999</v>
      </c>
      <c r="P91" s="13">
        <f t="shared" si="87"/>
        <v>66.106762012556132</v>
      </c>
      <c r="Q91" s="20">
        <f t="shared" si="54"/>
        <v>595.7189038385352</v>
      </c>
      <c r="R91" s="59">
        <f t="shared" si="55"/>
        <v>889.05223717186846</v>
      </c>
      <c r="S91" s="59">
        <f ca="1">AVERAGE(OFFSET($R$3,0,0,'Données projet'!$E$9+1,1))-AVERAGE(OFFSET($H$3,0,0,'Données projet'!$E$9+1,1))</f>
        <v>215.23235148064941</v>
      </c>
      <c r="T91" s="59">
        <f t="shared" si="88"/>
        <v>184.07239726900434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0.99387066709294991</v>
      </c>
      <c r="AA91" s="21">
        <f>EXP(-LN(2)/25)*AA90+(1-EXP(-LN(2)/25))/(LN(2)/25)*Calculateur!V91*Calculateur!X91*VLOOKUP('Données projet'!$B$9,Paramètres!$A$1:$I$89,3,0)*0.475*44/12</f>
        <v>1.5731939671157487</v>
      </c>
      <c r="AB91" s="21">
        <f>EXP(-LN(2)/2)*AB90+(1-EXP(-LN(2)/2))/(LN(2)/2)*V91*Y91*VLOOKUP('Données projet'!$B$9,Paramètres!$A$1:$I$89,3,0)*0.475*44/12</f>
        <v>1.8313855827406034E-8</v>
      </c>
      <c r="AC91" s="22">
        <f t="shared" si="57"/>
        <v>2.5670646525225544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5.6843418860808015E-14</v>
      </c>
      <c r="AJ91" s="13">
        <f>AI91*VLOOKUP('Données projet'!$B$10,Paramètres!$A$1:$I$89,3,0)*VLOOKUP('Données projet'!$B$10,Paramètres!$A$1:$I$89,5,0)</f>
        <v>4.1677594708744434E-14</v>
      </c>
      <c r="AK91" s="13">
        <f t="shared" si="89"/>
        <v>6.9326303456159188E-13</v>
      </c>
      <c r="AL91" s="20">
        <f t="shared" si="58"/>
        <v>1.2800215959791691E-12</v>
      </c>
      <c r="AM91" s="59">
        <f t="shared" si="59"/>
        <v>293.33333333333462</v>
      </c>
      <c r="AN91" s="59">
        <f ca="1">AVERAGE(OFFSET($AM$3,0,0,'Données projet'!$E$10+1,1))-AVERAGE(OFFSET($H$3,0,0,'Données projet'!$E$10+1,1))</f>
        <v>178.12968684094687</v>
      </c>
      <c r="AO91" s="59">
        <f t="shared" si="90"/>
        <v>219.36004077210373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1.5397475434657018</v>
      </c>
      <c r="AW91" s="21">
        <f>EXP(-LN(2)/2)*AW90+(1-EXP(-LN(2)/2))/(LN(2)/2)*AQ91*AT91*VLOOKUP('Données projet'!$B$10,Paramètres!$A$1:$I$89,3,0)*0.475*44/12</f>
        <v>1.8472810457783802E-8</v>
      </c>
      <c r="AX91" s="21">
        <f t="shared" si="60"/>
        <v>1.5397475619385121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1.9</v>
      </c>
      <c r="BD91" s="12">
        <f>IF('Données projet'!$A$88&gt;35,BD90+BC91-BL90,IF(A91&lt;'Données projet'!$A$88,$BA$205^A91,IF(A91='Données projet'!$A$88,'Données projet'!$B$88,BD90+BC91-BL90)))</f>
        <v>155.19999999999993</v>
      </c>
      <c r="BE91" s="13">
        <f>BD91*VLOOKUP('Données projet'!$B$11,Paramètres!$A$1:$I$89,3,0)*VLOOKUP('Données projet'!$B$11,Paramètres!$A$1:$I$89,5,0)</f>
        <v>135.58271999999994</v>
      </c>
      <c r="BF91" s="13">
        <f t="shared" si="91"/>
        <v>35.283188239937161</v>
      </c>
      <c r="BG91" s="20">
        <f t="shared" si="61"/>
        <v>297.59145685122377</v>
      </c>
      <c r="BH91" s="59">
        <f t="shared" si="62"/>
        <v>590.92479018455708</v>
      </c>
      <c r="BI91" s="59">
        <f ca="1">AVERAGE(OFFSET($BH$3,0,0,'Données projet'!$E$11+1,1))-AVERAGE(OFFSET($H$3,0,0,'Données projet'!$E$11+1,1))</f>
        <v>114.02623091248347</v>
      </c>
      <c r="BJ91" s="59">
        <f t="shared" si="92"/>
        <v>185.51554083721635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0.61883709985977242</v>
      </c>
      <c r="BQ91" s="21">
        <f>EXP(-LN(2)/25)*BQ90+(1-EXP(-LN(2)/25))/(LN(2)/25)*Calculateur!BL91*Calculateur!BN91*VLOOKUP('Données projet'!$B$11,Paramètres!$A$1:$I$89,3,0)*0.475*44/12</f>
        <v>2.254236775866294</v>
      </c>
      <c r="BR91" s="21">
        <f>EXP(-LN(2)/2)*BR90+(1-EXP(-LN(2)/2))/(LN(2)/2)*BL91*BO91*VLOOKUP('Données projet'!$B$11,Paramètres!$A$1:$I$89,3,0)*0.475*44/12</f>
        <v>3.285570705239535E-8</v>
      </c>
      <c r="BS91" s="22">
        <f t="shared" si="63"/>
        <v>2.8730739085817736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5.6</v>
      </c>
      <c r="BY91" s="12">
        <f>IF('Données projet'!$A$114&gt;35,BY90+BX91-CG90,IF(A91&lt;'Données projet'!$A$114,$BV$205^A91,IF(A91='Données projet'!$A$114,'Données projet'!$B$114,BY90+BX91-CG90)))</f>
        <v>284.80000000000041</v>
      </c>
      <c r="BZ91" s="13">
        <f>BY91*VLOOKUP('Données projet'!$B$12,Paramètres!$A$1:$I$89,3,0)*VLOOKUP('Données projet'!$B$12,Paramètres!$A$1:$I$89,5,0)</f>
        <v>257.68704000000037</v>
      </c>
      <c r="CA91" s="13">
        <f t="shared" si="93"/>
        <v>62.229092239243457</v>
      </c>
      <c r="CB91" s="20">
        <f t="shared" si="64"/>
        <v>557.18726365001623</v>
      </c>
      <c r="CC91" s="59">
        <f t="shared" si="65"/>
        <v>850.52059698334961</v>
      </c>
      <c r="CD91" s="59">
        <f ca="1">AVERAGE(OFFSET($CC$3,0,0,'Données projet'!$E$12+1,1))-AVERAGE(OFFSET($H$3,0,0,'Données projet'!$E$12+1,1))</f>
        <v>237.22177246688199</v>
      </c>
      <c r="CE91" s="59">
        <f t="shared" si="94"/>
        <v>149.27472147904302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0.62201837790935699</v>
      </c>
      <c r="CM91" s="21">
        <f>EXP(-LN(2)/2)*CM90+(1-EXP(-LN(2)/2))/(LN(2)/2)*CG91*CJ91*VLOOKUP('Données projet'!$B$12,Paramètres!$A$1:$I$89,3,0)*0.475*44/12</f>
        <v>1.1528558757954142E-8</v>
      </c>
      <c r="CN91" s="22">
        <f t="shared" si="66"/>
        <v>0.62201838943791576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-5.6843418860808015E-13</v>
      </c>
      <c r="CU91" s="17">
        <f>CT91*VLOOKUP('Données projet'!$B$13,Paramètres!$A$1:$I$89,3,0)*VLOOKUP('Données projet'!$B$13,Paramètres!$A$1:$I$89,5,0)</f>
        <v>-3.177547114319168E-13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326.31232746914907</v>
      </c>
      <c r="CZ91" s="59">
        <f t="shared" si="96"/>
        <v>330.17137761430297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1.4483421486079793</v>
      </c>
      <c r="DG91" s="21">
        <f>EXP(-LN(2)/25)*DG90+(1-EXP(-LN(2)/25))/(LN(2)/25)*Calculateur!DB91*Calculateur!DD91*VLOOKUP('Données projet'!$B$13,Paramètres!$A$1:$I$89,3,0)*0.475*44/12</f>
        <v>6.0426599939984769</v>
      </c>
      <c r="DH91" s="21">
        <f>EXP(-LN(2)/2)*DH90+(1-EXP(-LN(2)/2))/(LN(2)/2)*DB91*DE91*VLOOKUP('Données projet'!$B$13,Paramètres!$A$1:$I$89,3,0)*0.475*44/12</f>
        <v>6.0577110146051723E-8</v>
      </c>
      <c r="DI91" s="22">
        <f t="shared" si="69"/>
        <v>7.4910022031835668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6.2527760746888816E-13</v>
      </c>
      <c r="DP91" s="17">
        <f>DO91*VLOOKUP('Données projet'!$B$14,Paramètres!$A$1:$I$89,3,0)*VLOOKUP('Données projet'!$B$14,Paramètres!$A$1:$I$89,5,0)</f>
        <v>3.9017322706058616E-13</v>
      </c>
      <c r="DQ91" s="13">
        <f t="shared" si="97"/>
        <v>5.0025007393608908E-12</v>
      </c>
      <c r="DR91" s="20">
        <f t="shared" si="70"/>
        <v>9.3922404915174053E-12</v>
      </c>
      <c r="DS91" s="59">
        <f t="shared" si="71"/>
        <v>293.33333333334269</v>
      </c>
      <c r="DT91" s="59">
        <f ca="1">AVERAGE(OFFSET($DS$3,0,0,'Données projet'!$E$14+1,1))-AVERAGE(OFFSET($H$3,0,0,'Données projet'!$E$14+1,1))</f>
        <v>209.93608079129638</v>
      </c>
      <c r="DU91" s="59">
        <f t="shared" si="98"/>
        <v>240.15652428700969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2.2046645813905781</v>
      </c>
      <c r="EB91" s="21">
        <f>EXP(-LN(2)/25)*EB90+(1-EXP(-LN(2)/25))/(LN(2)/25)*Calculateur!DW91*Calculateur!DY91*VLOOKUP('Données projet'!$B$14,Paramètres!$A$1:$I$89,3,0)*0.475*44/12</f>
        <v>4.1631418209167181</v>
      </c>
      <c r="EC91" s="21">
        <f>EXP(-LN(2)/2)*EC90+(1-EXP(-LN(2)/2))/(LN(2)/2)*DW91*DZ91*VLOOKUP('Données projet'!$B$14,Paramètres!$A$1:$I$89,3,0)*0.475*44/12</f>
        <v>3.7608324557012141E-8</v>
      </c>
      <c r="ED91" s="22">
        <f t="shared" si="72"/>
        <v>6.3678064399156211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-4.5474735088646412E-13</v>
      </c>
      <c r="EK91" s="17">
        <f>EJ91*VLOOKUP('Données projet'!$B$15,Paramètres!$A$1:$I$89,3,0)*VLOOKUP('Données projet'!$B$15,Paramètres!$A$1:$I$89,5,0)</f>
        <v>-2.7193891583010558E-13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216.94426559495264</v>
      </c>
      <c r="EP91" s="59">
        <f t="shared" si="100"/>
        <v>225.33715877618704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0</v>
      </c>
      <c r="EW91" s="21">
        <f>EXP(-LN(2)/25)*EW90+(1-EXP(-LN(2)/25))/(LN(2)/25)*Calculateur!ER91*Calculateur!ET91*VLOOKUP('Données projet'!$B$15,Paramètres!$A$1:$I$89,3,0)*0.475*44/12</f>
        <v>2.5732894951493681</v>
      </c>
      <c r="EX91" s="21">
        <f>EXP(-LN(2)/2)*EX90+(1-EXP(-LN(2)/2))/(LN(2)/2)*ER91*EU91*VLOOKUP('Données projet'!$B$15,Paramètres!$A$1:$I$89,3,0)*0.475*44/12</f>
        <v>4.4199377063324622E-8</v>
      </c>
      <c r="EY91" s="22">
        <f t="shared" si="75"/>
        <v>2.5732895393487452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>
        <f>FE91*VLOOKUP('Données projet'!$B$16,Paramètres!$A$1:$I$89,3,0)*VLOOKUP('Données projet'!$B$16,Paramètres!$A$1:$I$89,5,0)</f>
        <v>0</v>
      </c>
      <c r="FG91" s="13" t="e">
        <f t="shared" si="101"/>
        <v>#NUM!</v>
      </c>
      <c r="FH91" s="20" t="e">
        <f t="shared" si="76"/>
        <v>#NUM!</v>
      </c>
      <c r="FI91" s="59" t="e">
        <f t="shared" si="77"/>
        <v>#NUM!</v>
      </c>
      <c r="FJ91" s="59">
        <f ca="1">AVERAGE(OFFSET($FI$3,0,0,'Données projet'!$E$16+1,1))-AVERAGE(OFFSET($H$3,0,0,'Données projet'!$E$16+1,1))</f>
        <v>168.08890945052406</v>
      </c>
      <c r="FK91" s="59">
        <f t="shared" si="102"/>
        <v>182.52462557642343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1.9697005712829614</v>
      </c>
      <c r="FR91" s="21">
        <f>EXP(-LN(2)/25)*FR90+(1-EXP(-LN(2)/25))/(LN(2)/25)*Calculateur!FM91*Calculateur!FO91*VLOOKUP('Données projet'!$B$16,Paramètres!$A$1:$I$89,3,0)*0.475*44/12</f>
        <v>2.4694745840365706</v>
      </c>
      <c r="FS91" s="21">
        <f>EXP(-LN(2)/2)*FS90+(1-EXP(-LN(2)/2))/(LN(2)/2)*FM91*FP91*VLOOKUP('Données projet'!$B$16,Paramètres!$A$1:$I$89,3,0)*0.475*44/12</f>
        <v>1.0143392484773269E-8</v>
      </c>
      <c r="FT91" s="22">
        <f t="shared" si="78"/>
        <v>4.4391751654629248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-5.6843418860808015E-14</v>
      </c>
      <c r="GA91" s="17">
        <f>FZ91*VLOOKUP('Données projet'!$B$17,Paramètres!$A$1:$I$89,3,0)*VLOOKUP('Données projet'!$B$17,Paramètres!$A$1:$I$89,5,0)</f>
        <v>-3.2514435588382188E-14</v>
      </c>
      <c r="GB91" s="13" t="e">
        <f t="shared" si="103"/>
        <v>#NUM!</v>
      </c>
      <c r="GC91" s="20" t="e">
        <f t="shared" si="79"/>
        <v>#NUM!</v>
      </c>
      <c r="GD91" s="59" t="e">
        <f t="shared" si="80"/>
        <v>#NUM!</v>
      </c>
      <c r="GE91" s="59">
        <f ca="1">AVERAGE(OFFSET($GD$3,0,0,'Données projet'!$E$17+1,1))-AVERAGE(OFFSET($H$3,0,0,'Données projet'!$E$17+1,1))</f>
        <v>196.95560009657527</v>
      </c>
      <c r="GF91" s="59">
        <f t="shared" si="104"/>
        <v>168.90186968005662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0</v>
      </c>
      <c r="GM91" s="21">
        <f>EXP(-LN(2)/25)*GM90+(1-EXP(-LN(2)/25))/(LN(2)/25)*Calculateur!GH91*Calculateur!GJ91*VLOOKUP('Données projet'!$B$17,Paramètres!$A$1:$I$89,3,0)*0.475*44/12</f>
        <v>1.8486567900341808</v>
      </c>
      <c r="GN91" s="21">
        <f>EXP(-LN(2)/2)*GN90+(1-EXP(-LN(2)/2))/(LN(2)/2)*GH91*GK91*VLOOKUP('Données projet'!$B$17,Paramètres!$A$1:$I$89,3,0)*0.475*44/12</f>
        <v>2.3952831238926897E-8</v>
      </c>
      <c r="GO91" s="21">
        <f t="shared" si="81"/>
        <v>1.8486568139870121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17.5</v>
      </c>
      <c r="N92" s="13">
        <f>IF('Données projet'!$A$36&gt;35,N91+M92-V91,IF(A92&lt;'Données projet'!$A$36,$K$205^A92,IF(A92='Données projet'!$A$36,'Données projet'!$B$36,N91+M92-V91)))</f>
        <v>607.09999999999991</v>
      </c>
      <c r="O92" s="13">
        <f>N92*VLOOKUP('Données projet'!$B$9,Paramètres!$A$1:$I$89,3,0)*VLOOKUP('Données projet'!$B$9,Paramètres!$A$1:$I$89,5,0)</f>
        <v>284.12279999999993</v>
      </c>
      <c r="P92" s="13">
        <f t="shared" si="87"/>
        <v>67.837532462585557</v>
      </c>
      <c r="Q92" s="20">
        <f t="shared" si="54"/>
        <v>612.99757903900297</v>
      </c>
      <c r="R92" s="59">
        <f t="shared" si="55"/>
        <v>906.33091237233634</v>
      </c>
      <c r="S92" s="59">
        <f ca="1">AVERAGE(OFFSET($R$3,0,0,'Données projet'!$E$9+1,1))-AVERAGE(OFFSET($H$3,0,0,'Données projet'!$E$9+1,1))</f>
        <v>215.23235148064941</v>
      </c>
      <c r="T92" s="59">
        <f t="shared" si="88"/>
        <v>184.07239726900434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0.9743814695125067</v>
      </c>
      <c r="AA92" s="21">
        <f>EXP(-LN(2)/25)*AA91+(1-EXP(-LN(2)/25))/(LN(2)/25)*Calculateur!V92*Calculateur!X92*VLOOKUP('Données projet'!$B$9,Paramètres!$A$1:$I$89,3,0)*0.475*44/12</f>
        <v>1.5301748953542933</v>
      </c>
      <c r="AB92" s="21">
        <f>EXP(-LN(2)/2)*AB91+(1-EXP(-LN(2)/2))/(LN(2)/2)*V92*Y92*VLOOKUP('Données projet'!$B$9,Paramètres!$A$1:$I$89,3,0)*0.475*44/12</f>
        <v>1.2949851645231577E-8</v>
      </c>
      <c r="AC92" s="22">
        <f t="shared" si="57"/>
        <v>2.5045563778166517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5.6843418860808015E-14</v>
      </c>
      <c r="AJ92" s="13">
        <f>AI92*VLOOKUP('Données projet'!$B$10,Paramètres!$A$1:$I$89,3,0)*VLOOKUP('Données projet'!$B$10,Paramètres!$A$1:$I$89,5,0)</f>
        <v>4.1677594708744434E-14</v>
      </c>
      <c r="AK92" s="13">
        <f t="shared" si="89"/>
        <v>6.9326303456159188E-13</v>
      </c>
      <c r="AL92" s="20">
        <f t="shared" si="58"/>
        <v>1.2800215959791691E-12</v>
      </c>
      <c r="AM92" s="59">
        <f t="shared" si="59"/>
        <v>293.33333333333462</v>
      </c>
      <c r="AN92" s="59">
        <f ca="1">AVERAGE(OFFSET($AM$3,0,0,'Données projet'!$E$10+1,1))-AVERAGE(OFFSET($H$3,0,0,'Données projet'!$E$10+1,1))</f>
        <v>178.12968684094687</v>
      </c>
      <c r="AO92" s="59">
        <f t="shared" si="90"/>
        <v>219.36004077210373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1.4976430659178279</v>
      </c>
      <c r="AW92" s="21">
        <f>EXP(-LN(2)/2)*AW91+(1-EXP(-LN(2)/2))/(LN(2)/2)*AQ92*AT92*VLOOKUP('Données projet'!$B$10,Paramètres!$A$1:$I$89,3,0)*0.475*44/12</f>
        <v>1.3062249542272698E-8</v>
      </c>
      <c r="AX92" s="21">
        <f t="shared" si="60"/>
        <v>1.4976430789800774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1.9</v>
      </c>
      <c r="BD92" s="12">
        <f>IF('Données projet'!$A$88&gt;35,BD91+BC92-BL91,IF(A92&lt;'Données projet'!$A$88,$BA$205^A92,IF(A92='Données projet'!$A$88,'Données projet'!$B$88,BD91+BC92-BL91)))</f>
        <v>157.09999999999994</v>
      </c>
      <c r="BE92" s="13">
        <f>BD92*VLOOKUP('Données projet'!$B$11,Paramètres!$A$1:$I$89,3,0)*VLOOKUP('Données projet'!$B$11,Paramètres!$A$1:$I$89,5,0)</f>
        <v>137.24255999999997</v>
      </c>
      <c r="BF92" s="13">
        <f t="shared" si="91"/>
        <v>35.664585237158747</v>
      </c>
      <c r="BG92" s="20">
        <f t="shared" si="61"/>
        <v>301.14661128805142</v>
      </c>
      <c r="BH92" s="59">
        <f t="shared" si="62"/>
        <v>594.47994462138467</v>
      </c>
      <c r="BI92" s="59">
        <f ca="1">AVERAGE(OFFSET($BH$3,0,0,'Données projet'!$E$11+1,1))-AVERAGE(OFFSET($H$3,0,0,'Données projet'!$E$11+1,1))</f>
        <v>114.02623091248347</v>
      </c>
      <c r="BJ92" s="59">
        <f t="shared" si="92"/>
        <v>185.51554083721635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0.60670208178488283</v>
      </c>
      <c r="BQ92" s="21">
        <f>EXP(-LN(2)/25)*BQ91+(1-EXP(-LN(2)/25))/(LN(2)/25)*Calculateur!BL92*Calculateur!BN92*VLOOKUP('Données projet'!$B$11,Paramètres!$A$1:$I$89,3,0)*0.475*44/12</f>
        <v>2.1925945526850703</v>
      </c>
      <c r="BR92" s="21">
        <f>EXP(-LN(2)/2)*BR91+(1-EXP(-LN(2)/2))/(LN(2)/2)*BL92*BO92*VLOOKUP('Données projet'!$B$11,Paramètres!$A$1:$I$89,3,0)*0.475*44/12</f>
        <v>2.3232493257427425E-8</v>
      </c>
      <c r="BS92" s="22">
        <f t="shared" si="63"/>
        <v>2.7992966577024463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5.6</v>
      </c>
      <c r="BY92" s="12">
        <f>IF('Données projet'!$A$114&gt;35,BY91+BX92-CG91,IF(A92&lt;'Données projet'!$A$114,$BV$205^A92,IF(A92='Données projet'!$A$114,'Données projet'!$B$114,BY91+BX92-CG91)))</f>
        <v>290.40000000000043</v>
      </c>
      <c r="BZ92" s="13">
        <f>BY92*VLOOKUP('Données projet'!$B$12,Paramètres!$A$1:$I$89,3,0)*VLOOKUP('Données projet'!$B$12,Paramètres!$A$1:$I$89,5,0)</f>
        <v>262.75392000000039</v>
      </c>
      <c r="CA92" s="13">
        <f t="shared" si="93"/>
        <v>63.309041956360382</v>
      </c>
      <c r="CB92" s="20">
        <f t="shared" si="64"/>
        <v>567.89299207399495</v>
      </c>
      <c r="CC92" s="59">
        <f t="shared" si="65"/>
        <v>861.2263254073282</v>
      </c>
      <c r="CD92" s="59">
        <f ca="1">AVERAGE(OFFSET($CC$3,0,0,'Données projet'!$E$12+1,1))-AVERAGE(OFFSET($H$3,0,0,'Données projet'!$E$12+1,1))</f>
        <v>237.22177246688199</v>
      </c>
      <c r="CE92" s="59">
        <f t="shared" si="94"/>
        <v>149.27472147904302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0.6050092526549008</v>
      </c>
      <c r="CM92" s="21">
        <f>EXP(-LN(2)/2)*CM91+(1-EXP(-LN(2)/2))/(LN(2)/2)*CG92*CJ92*VLOOKUP('Données projet'!$B$12,Paramètres!$A$1:$I$89,3,0)*0.475*44/12</f>
        <v>8.1519220750569352E-9</v>
      </c>
      <c r="CN92" s="22">
        <f t="shared" si="66"/>
        <v>0.60500926080682282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-5.6843418860808015E-13</v>
      </c>
      <c r="CU92" s="17">
        <f>CT92*VLOOKUP('Données projet'!$B$13,Paramètres!$A$1:$I$89,3,0)*VLOOKUP('Données projet'!$B$13,Paramètres!$A$1:$I$89,5,0)</f>
        <v>-3.177547114319168E-13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326.31232746914907</v>
      </c>
      <c r="CZ92" s="59">
        <f t="shared" si="96"/>
        <v>330.17137761430297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1.4199410424752588</v>
      </c>
      <c r="DG92" s="21">
        <f>EXP(-LN(2)/25)*DG91+(1-EXP(-LN(2)/25))/(LN(2)/25)*Calculateur!DB92*Calculateur!DD92*VLOOKUP('Données projet'!$B$13,Paramètres!$A$1:$I$89,3,0)*0.475*44/12</f>
        <v>5.8774231386929099</v>
      </c>
      <c r="DH92" s="21">
        <f>EXP(-LN(2)/2)*DH91+(1-EXP(-LN(2)/2))/(LN(2)/2)*DB92*DE92*VLOOKUP('Données projet'!$B$13,Paramètres!$A$1:$I$89,3,0)*0.475*44/12</f>
        <v>4.2834485368957583E-8</v>
      </c>
      <c r="DI92" s="22">
        <f t="shared" si="69"/>
        <v>7.2973642240026537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6.2527760746888816E-13</v>
      </c>
      <c r="DP92" s="17">
        <f>DO92*VLOOKUP('Données projet'!$B$14,Paramètres!$A$1:$I$89,3,0)*VLOOKUP('Données projet'!$B$14,Paramètres!$A$1:$I$89,5,0)</f>
        <v>3.9017322706058616E-13</v>
      </c>
      <c r="DQ92" s="13">
        <f t="shared" si="97"/>
        <v>5.0025007393608908E-12</v>
      </c>
      <c r="DR92" s="20">
        <f t="shared" si="70"/>
        <v>9.3922404915174053E-12</v>
      </c>
      <c r="DS92" s="59">
        <f t="shared" si="71"/>
        <v>293.33333333334269</v>
      </c>
      <c r="DT92" s="59">
        <f ca="1">AVERAGE(OFFSET($DS$3,0,0,'Données projet'!$E$14+1,1))-AVERAGE(OFFSET($H$3,0,0,'Données projet'!$E$14+1,1))</f>
        <v>209.93608079129638</v>
      </c>
      <c r="DU92" s="59">
        <f t="shared" si="98"/>
        <v>240.15652428700969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2.1614324536621243</v>
      </c>
      <c r="EB92" s="21">
        <f>EXP(-LN(2)/25)*EB91+(1-EXP(-LN(2)/25))/(LN(2)/25)*Calculateur!DW92*Calculateur!DY92*VLOOKUP('Données projet'!$B$14,Paramètres!$A$1:$I$89,3,0)*0.475*44/12</f>
        <v>4.0493004888936373</v>
      </c>
      <c r="EC92" s="21">
        <f>EXP(-LN(2)/2)*EC91+(1-EXP(-LN(2)/2))/(LN(2)/2)*DW92*DZ92*VLOOKUP('Données projet'!$B$14,Paramètres!$A$1:$I$89,3,0)*0.475*44/12</f>
        <v>2.6593101323327846E-8</v>
      </c>
      <c r="ED92" s="22">
        <f t="shared" si="72"/>
        <v>6.2107329691488626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-4.5474735088646412E-13</v>
      </c>
      <c r="EK92" s="17">
        <f>EJ92*VLOOKUP('Données projet'!$B$15,Paramètres!$A$1:$I$89,3,0)*VLOOKUP('Données projet'!$B$15,Paramètres!$A$1:$I$89,5,0)</f>
        <v>-2.7193891583010558E-13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216.94426559495264</v>
      </c>
      <c r="EP92" s="59">
        <f t="shared" si="100"/>
        <v>225.33715877618704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0</v>
      </c>
      <c r="EW92" s="21">
        <f>EXP(-LN(2)/25)*EW91+(1-EXP(-LN(2)/25))/(LN(2)/25)*Calculateur!ER92*Calculateur!ET92*VLOOKUP('Données projet'!$B$15,Paramètres!$A$1:$I$89,3,0)*0.475*44/12</f>
        <v>2.5029227585810956</v>
      </c>
      <c r="EX92" s="21">
        <f>EXP(-LN(2)/2)*EX91+(1-EXP(-LN(2)/2))/(LN(2)/2)*ER92*EU92*VLOOKUP('Données projet'!$B$15,Paramètres!$A$1:$I$89,3,0)*0.475*44/12</f>
        <v>3.125367924569799E-8</v>
      </c>
      <c r="EY92" s="22">
        <f t="shared" si="75"/>
        <v>2.5029227898347748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>
        <f>FE92*VLOOKUP('Données projet'!$B$16,Paramètres!$A$1:$I$89,3,0)*VLOOKUP('Données projet'!$B$16,Paramètres!$A$1:$I$89,5,0)</f>
        <v>0</v>
      </c>
      <c r="FG92" s="13" t="e">
        <f t="shared" si="101"/>
        <v>#NUM!</v>
      </c>
      <c r="FH92" s="20" t="e">
        <f t="shared" si="76"/>
        <v>#NUM!</v>
      </c>
      <c r="FI92" s="59" t="e">
        <f t="shared" si="77"/>
        <v>#NUM!</v>
      </c>
      <c r="FJ92" s="59">
        <f ca="1">AVERAGE(OFFSET($FI$3,0,0,'Données projet'!$E$16+1,1))-AVERAGE(OFFSET($H$3,0,0,'Données projet'!$E$16+1,1))</f>
        <v>168.08890945052406</v>
      </c>
      <c r="FK92" s="59">
        <f t="shared" si="102"/>
        <v>182.52462557642343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1.9310759444788228</v>
      </c>
      <c r="FR92" s="21">
        <f>EXP(-LN(2)/25)*FR91+(1-EXP(-LN(2)/25))/(LN(2)/25)*Calculateur!FM92*Calculateur!FO92*VLOOKUP('Données projet'!$B$16,Paramètres!$A$1:$I$89,3,0)*0.475*44/12</f>
        <v>2.4019466716720661</v>
      </c>
      <c r="FS92" s="21">
        <f>EXP(-LN(2)/2)*FS91+(1-EXP(-LN(2)/2))/(LN(2)/2)*FM92*FP92*VLOOKUP('Données projet'!$B$16,Paramètres!$A$1:$I$89,3,0)*0.475*44/12</f>
        <v>7.1724616102198425E-9</v>
      </c>
      <c r="FT92" s="22">
        <f t="shared" si="78"/>
        <v>4.3330226233233509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-5.6843418860808015E-14</v>
      </c>
      <c r="GA92" s="17">
        <f>FZ92*VLOOKUP('Données projet'!$B$17,Paramètres!$A$1:$I$89,3,0)*VLOOKUP('Données projet'!$B$17,Paramètres!$A$1:$I$89,5,0)</f>
        <v>-3.2514435588382188E-14</v>
      </c>
      <c r="GB92" s="13" t="e">
        <f t="shared" si="103"/>
        <v>#NUM!</v>
      </c>
      <c r="GC92" s="20" t="e">
        <f t="shared" si="79"/>
        <v>#NUM!</v>
      </c>
      <c r="GD92" s="59" t="e">
        <f t="shared" si="80"/>
        <v>#NUM!</v>
      </c>
      <c r="GE92" s="59">
        <f ca="1">AVERAGE(OFFSET($GD$3,0,0,'Données projet'!$E$17+1,1))-AVERAGE(OFFSET($H$3,0,0,'Données projet'!$E$17+1,1))</f>
        <v>196.95560009657527</v>
      </c>
      <c r="GF92" s="59">
        <f t="shared" si="104"/>
        <v>168.90186968005662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0</v>
      </c>
      <c r="GM92" s="21">
        <f>EXP(-LN(2)/25)*GM91+(1-EXP(-LN(2)/25))/(LN(2)/25)*Calculateur!GH92*Calculateur!GJ92*VLOOKUP('Données projet'!$B$17,Paramètres!$A$1:$I$89,3,0)*0.475*44/12</f>
        <v>1.7981051728940607</v>
      </c>
      <c r="GN92" s="21">
        <f>EXP(-LN(2)/2)*GN91+(1-EXP(-LN(2)/2))/(LN(2)/2)*GH92*GK92*VLOOKUP('Données projet'!$B$17,Paramètres!$A$1:$I$89,3,0)*0.475*44/12</f>
        <v>1.6937209397662181E-8</v>
      </c>
      <c r="GO92" s="21">
        <f t="shared" si="81"/>
        <v>1.7981051898312701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624.6</v>
      </c>
      <c r="L93" s="12">
        <f>VLOOKUP(A93,'Données projet'!$A$35:$I$55,9,0)</f>
        <v>17.5</v>
      </c>
      <c r="M93" s="12">
        <f t="array" ref="M93">INDEX(L:L,MIN(IF(ISNUMBER(L93:L289),ROW(L93:L289),"")))</f>
        <v>17.5</v>
      </c>
      <c r="N93" s="13">
        <f>IF('Données projet'!$A$36&gt;35,N92+M93-V92,IF(A93&lt;'Données projet'!$A$36,$K$205^A93,IF(A93='Données projet'!$A$36,'Données projet'!$B$36,N92+M93-V92)))</f>
        <v>624.59999999999991</v>
      </c>
      <c r="O93" s="13">
        <f>N93*VLOOKUP('Données projet'!$B$9,Paramètres!$A$1:$I$89,3,0)*VLOOKUP('Données projet'!$B$9,Paramètres!$A$1:$I$89,5,0)</f>
        <v>292.31279999999998</v>
      </c>
      <c r="P93" s="13">
        <f t="shared" si="87"/>
        <v>69.562504549179678</v>
      </c>
      <c r="Q93" s="20">
        <f t="shared" si="54"/>
        <v>630.26615542315449</v>
      </c>
      <c r="R93" s="59">
        <f t="shared" si="55"/>
        <v>923.59948875648774</v>
      </c>
      <c r="S93" s="59">
        <f ca="1">AVERAGE(OFFSET($R$3,0,0,'Données projet'!$E$9+1,1))-AVERAGE(OFFSET($H$3,0,0,'Données projet'!$E$9+1,1))</f>
        <v>215.23235148064941</v>
      </c>
      <c r="T93" s="59">
        <f t="shared" si="88"/>
        <v>184.07239726900434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83.4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0.95527444320937926</v>
      </c>
      <c r="AA93" s="21">
        <f>EXP(-LN(2)/25)*AA92+(1-EXP(-LN(2)/25))/(LN(2)/25)*Calculateur!V93*Calculateur!X93*VLOOKUP('Données projet'!$B$9,Paramètres!$A$1:$I$89,3,0)*0.475*44/12</f>
        <v>1.4883321823724296</v>
      </c>
      <c r="AB93" s="21">
        <f>EXP(-LN(2)/2)*AB92+(1-EXP(-LN(2)/2))/(LN(2)/2)*V93*Y93*VLOOKUP('Données projet'!$B$9,Paramètres!$A$1:$I$89,3,0)*0.475*44/12</f>
        <v>9.1569279137030168E-9</v>
      </c>
      <c r="AC93" s="22">
        <f t="shared" si="57"/>
        <v>2.4436066347387371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5.6843418860808015E-14</v>
      </c>
      <c r="AJ93" s="13">
        <f>AI93*VLOOKUP('Données projet'!$B$10,Paramètres!$A$1:$I$89,3,0)*VLOOKUP('Données projet'!$B$10,Paramètres!$A$1:$I$89,5,0)</f>
        <v>4.1677594708744434E-14</v>
      </c>
      <c r="AK93" s="13">
        <f t="shared" si="89"/>
        <v>6.9326303456159188E-13</v>
      </c>
      <c r="AL93" s="20">
        <f t="shared" si="58"/>
        <v>1.2800215959791691E-12</v>
      </c>
      <c r="AM93" s="59">
        <f t="shared" si="59"/>
        <v>293.33333333333462</v>
      </c>
      <c r="AN93" s="59">
        <f ca="1">AVERAGE(OFFSET($AM$3,0,0,'Données projet'!$E$10+1,1))-AVERAGE(OFFSET($H$3,0,0,'Données projet'!$E$10+1,1))</f>
        <v>178.12968684094687</v>
      </c>
      <c r="AO93" s="59">
        <f t="shared" si="90"/>
        <v>219.36004077210373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1.4566899375226789</v>
      </c>
      <c r="AW93" s="21">
        <f>EXP(-LN(2)/2)*AW92+(1-EXP(-LN(2)/2))/(LN(2)/2)*AQ93*AT93*VLOOKUP('Données projet'!$B$10,Paramètres!$A$1:$I$89,3,0)*0.475*44/12</f>
        <v>9.236405228891901E-9</v>
      </c>
      <c r="AX93" s="21">
        <f t="shared" si="60"/>
        <v>1.4566899467590841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159</v>
      </c>
      <c r="BB93" s="12">
        <f>VLOOKUP(A93,'Données projet'!$A$87:$I$107,9,0)</f>
        <v>1.9</v>
      </c>
      <c r="BC93" s="12">
        <f t="array" ref="BC93">INDEX(BB:BB,MIN(IF(ISNUMBER(BB93:BB289),ROW(BB93:BB289),"")))</f>
        <v>1.9</v>
      </c>
      <c r="BD93" s="12">
        <f>IF('Données projet'!$A$88&gt;35,BD92+BC93-BL92,IF(A93&lt;'Données projet'!$A$88,$BA$205^A93,IF(A93='Données projet'!$A$88,'Données projet'!$B$88,BD92+BC93-BL92)))</f>
        <v>158.99999999999994</v>
      </c>
      <c r="BE93" s="13">
        <f>BD93*VLOOKUP('Données projet'!$B$11,Paramètres!$A$1:$I$89,3,0)*VLOOKUP('Données projet'!$B$11,Paramètres!$A$1:$I$89,5,0)</f>
        <v>138.90239999999997</v>
      </c>
      <c r="BF93" s="13">
        <f t="shared" si="91"/>
        <v>36.045445680666425</v>
      </c>
      <c r="BG93" s="20">
        <f t="shared" si="61"/>
        <v>304.70083122716062</v>
      </c>
      <c r="BH93" s="59">
        <f t="shared" si="62"/>
        <v>598.03416456049399</v>
      </c>
      <c r="BI93" s="59">
        <f ca="1">AVERAGE(OFFSET($BH$3,0,0,'Données projet'!$E$11+1,1))-AVERAGE(OFFSET($H$3,0,0,'Données projet'!$E$11+1,1))</f>
        <v>114.02623091248347</v>
      </c>
      <c r="BJ93" s="59">
        <f t="shared" si="92"/>
        <v>185.51554083721635</v>
      </c>
      <c r="BK93" s="15">
        <f>IF(ISNA(VLOOKUP(A93,'Données projet'!$A$87:$I$107,3,0)),0,VLOOKUP(A93,'Données projet'!$A$87:$I$107,3,0))</f>
        <v>8</v>
      </c>
      <c r="BL93" s="15">
        <f>IF(ISNA(VLOOKUP(A93,'Données projet'!$A$87:$I$107,4,0)),0,VLOOKUP(A93,'Données projet'!$A$87:$I$107,4,0))</f>
        <v>159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0.59480502401281155</v>
      </c>
      <c r="BQ93" s="21">
        <f>EXP(-LN(2)/25)*BQ92+(1-EXP(-LN(2)/25))/(LN(2)/25)*Calculateur!BL93*Calculateur!BN93*VLOOKUP('Données projet'!$B$11,Paramètres!$A$1:$I$89,3,0)*0.475*44/12</f>
        <v>2.1326379393383608</v>
      </c>
      <c r="BR93" s="21">
        <f>EXP(-LN(2)/2)*BR92+(1-EXP(-LN(2)/2))/(LN(2)/2)*BL93*BO93*VLOOKUP('Données projet'!$B$11,Paramètres!$A$1:$I$89,3,0)*0.475*44/12</f>
        <v>1.6427853526197675E-8</v>
      </c>
      <c r="BS93" s="22">
        <f t="shared" si="63"/>
        <v>2.7274429797790258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296</v>
      </c>
      <c r="BW93" s="12">
        <f>VLOOKUP(A93,'Données projet'!$A$113:$I$133,9,0)</f>
        <v>5.6</v>
      </c>
      <c r="BX93" s="12">
        <f t="array" ref="BX93">INDEX(BW:BW,MIN(IF(ISNUMBER(BW93:BW289),ROW(BW93:BW289),"")))</f>
        <v>5.6</v>
      </c>
      <c r="BY93" s="12">
        <f>IF('Données projet'!$A$114&gt;35,BY92+BX93-CG92,IF(A93&lt;'Données projet'!$A$114,$BV$205^A93,IF(A93='Données projet'!$A$114,'Données projet'!$B$114,BY92+BX93-CG92)))</f>
        <v>296.00000000000045</v>
      </c>
      <c r="BZ93" s="13">
        <f>BY93*VLOOKUP('Données projet'!$B$12,Paramètres!$A$1:$I$89,3,0)*VLOOKUP('Données projet'!$B$12,Paramètres!$A$1:$I$89,5,0)</f>
        <v>267.82080000000042</v>
      </c>
      <c r="CA93" s="13">
        <f t="shared" si="93"/>
        <v>64.38657014789743</v>
      </c>
      <c r="CB93" s="20">
        <f t="shared" si="64"/>
        <v>578.59450300758874</v>
      </c>
      <c r="CC93" s="59">
        <f t="shared" si="65"/>
        <v>871.92783634092211</v>
      </c>
      <c r="CD93" s="59">
        <f ca="1">AVERAGE(OFFSET($CC$3,0,0,'Données projet'!$E$12+1,1))-AVERAGE(OFFSET($H$3,0,0,'Données projet'!$E$12+1,1))</f>
        <v>237.22177246688199</v>
      </c>
      <c r="CE93" s="59">
        <f t="shared" si="94"/>
        <v>149.27472147904302</v>
      </c>
      <c r="CF93" s="15">
        <f>IF(ISNA(VLOOKUP(A93,'Données projet'!$A$113:$I$133,3,0)),0,VLOOKUP(A93,'Données projet'!$A$113:$I$133,3,0))</f>
        <v>7</v>
      </c>
      <c r="CG93" s="15">
        <f>IF(ISNA(VLOOKUP(A93,'Données projet'!$A$113:$I$133,4,0)),0,VLOOKUP(A93,'Données projet'!$A$113:$I$133,4,0))</f>
        <v>42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0.58846524282499868</v>
      </c>
      <c r="CM93" s="21">
        <f>EXP(-LN(2)/2)*CM92+(1-EXP(-LN(2)/2))/(LN(2)/2)*CG93*CJ93*VLOOKUP('Données projet'!$B$12,Paramètres!$A$1:$I$89,3,0)*0.475*44/12</f>
        <v>5.7642793789770708E-9</v>
      </c>
      <c r="CN93" s="22">
        <f t="shared" si="66"/>
        <v>0.58846524858927807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-5.6843418860808015E-13</v>
      </c>
      <c r="CU93" s="17">
        <f>CT93*VLOOKUP('Données projet'!$B$13,Paramètres!$A$1:$I$89,3,0)*VLOOKUP('Données projet'!$B$13,Paramètres!$A$1:$I$89,5,0)</f>
        <v>-3.177547114319168E-13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326.31232746914907</v>
      </c>
      <c r="CZ93" s="59">
        <f t="shared" si="96"/>
        <v>330.17137761430297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1.3920968647108367</v>
      </c>
      <c r="DG93" s="21">
        <f>EXP(-LN(2)/25)*DG92+(1-EXP(-LN(2)/25))/(LN(2)/25)*Calculateur!DB93*Calculateur!DD93*VLOOKUP('Données projet'!$B$13,Paramètres!$A$1:$I$89,3,0)*0.475*44/12</f>
        <v>5.7167046938851023</v>
      </c>
      <c r="DH93" s="21">
        <f>EXP(-LN(2)/2)*DH92+(1-EXP(-LN(2)/2))/(LN(2)/2)*DB93*DE93*VLOOKUP('Données projet'!$B$13,Paramètres!$A$1:$I$89,3,0)*0.475*44/12</f>
        <v>3.0288555073025861E-8</v>
      </c>
      <c r="DI93" s="22">
        <f t="shared" si="69"/>
        <v>7.1088015888844938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6.2527760746888816E-13</v>
      </c>
      <c r="DP93" s="17">
        <f>DO93*VLOOKUP('Données projet'!$B$14,Paramètres!$A$1:$I$89,3,0)*VLOOKUP('Données projet'!$B$14,Paramètres!$A$1:$I$89,5,0)</f>
        <v>3.9017322706058616E-13</v>
      </c>
      <c r="DQ93" s="13">
        <f t="shared" si="97"/>
        <v>5.0025007393608908E-12</v>
      </c>
      <c r="DR93" s="20">
        <f t="shared" si="70"/>
        <v>9.3922404915174053E-12</v>
      </c>
      <c r="DS93" s="59">
        <f t="shared" si="71"/>
        <v>293.33333333334269</v>
      </c>
      <c r="DT93" s="59">
        <f ca="1">AVERAGE(OFFSET($DS$3,0,0,'Données projet'!$E$14+1,1))-AVERAGE(OFFSET($H$3,0,0,'Données projet'!$E$14+1,1))</f>
        <v>209.93608079129638</v>
      </c>
      <c r="DU93" s="59">
        <f t="shared" si="98"/>
        <v>240.15652428700969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2.119048081589431</v>
      </c>
      <c r="EB93" s="21">
        <f>EXP(-LN(2)/25)*EB92+(1-EXP(-LN(2)/25))/(LN(2)/25)*Calculateur!DW93*Calculateur!DY93*VLOOKUP('Données projet'!$B$14,Paramètres!$A$1:$I$89,3,0)*0.475*44/12</f>
        <v>3.9385721540813829</v>
      </c>
      <c r="EC93" s="21">
        <f>EXP(-LN(2)/2)*EC92+(1-EXP(-LN(2)/2))/(LN(2)/2)*DW93*DZ93*VLOOKUP('Données projet'!$B$14,Paramètres!$A$1:$I$89,3,0)*0.475*44/12</f>
        <v>1.880416227850607E-8</v>
      </c>
      <c r="ED93" s="22">
        <f t="shared" si="72"/>
        <v>6.0576202544749771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-4.5474735088646412E-13</v>
      </c>
      <c r="EK93" s="17">
        <f>EJ93*VLOOKUP('Données projet'!$B$15,Paramètres!$A$1:$I$89,3,0)*VLOOKUP('Données projet'!$B$15,Paramètres!$A$1:$I$89,5,0)</f>
        <v>-2.7193891583010558E-13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216.94426559495264</v>
      </c>
      <c r="EP93" s="59">
        <f t="shared" si="100"/>
        <v>225.33715877618704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0</v>
      </c>
      <c r="EW93" s="21">
        <f>EXP(-LN(2)/25)*EW92+(1-EXP(-LN(2)/25))/(LN(2)/25)*Calculateur!ER93*Calculateur!ET93*VLOOKUP('Données projet'!$B$15,Paramètres!$A$1:$I$89,3,0)*0.475*44/12</f>
        <v>2.434480204124708</v>
      </c>
      <c r="EX93" s="21">
        <f>EXP(-LN(2)/2)*EX92+(1-EXP(-LN(2)/2))/(LN(2)/2)*ER93*EU93*VLOOKUP('Données projet'!$B$15,Paramètres!$A$1:$I$89,3,0)*0.475*44/12</f>
        <v>2.2099688531662311E-8</v>
      </c>
      <c r="EY93" s="22">
        <f t="shared" si="75"/>
        <v>2.4344802262243967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>
        <f>FE93*VLOOKUP('Données projet'!$B$16,Paramètres!$A$1:$I$89,3,0)*VLOOKUP('Données projet'!$B$16,Paramètres!$A$1:$I$89,5,0)</f>
        <v>0</v>
      </c>
      <c r="FG93" s="13" t="e">
        <f t="shared" si="101"/>
        <v>#NUM!</v>
      </c>
      <c r="FH93" s="20" t="e">
        <f t="shared" si="76"/>
        <v>#NUM!</v>
      </c>
      <c r="FI93" s="59" t="e">
        <f t="shared" si="77"/>
        <v>#NUM!</v>
      </c>
      <c r="FJ93" s="59">
        <f ca="1">AVERAGE(OFFSET($FI$3,0,0,'Données projet'!$E$16+1,1))-AVERAGE(OFFSET($H$3,0,0,'Données projet'!$E$16+1,1))</f>
        <v>168.08890945052406</v>
      </c>
      <c r="FK93" s="59">
        <f t="shared" si="102"/>
        <v>182.52462557642343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1.8932087230476171</v>
      </c>
      <c r="FR93" s="21">
        <f>EXP(-LN(2)/25)*FR92+(1-EXP(-LN(2)/25))/(LN(2)/25)*Calculateur!FM93*Calculateur!FO93*VLOOKUP('Données projet'!$B$16,Paramètres!$A$1:$I$89,3,0)*0.475*44/12</f>
        <v>2.3362653136223077</v>
      </c>
      <c r="FS93" s="21">
        <f>EXP(-LN(2)/2)*FS92+(1-EXP(-LN(2)/2))/(LN(2)/2)*FM93*FP93*VLOOKUP('Données projet'!$B$16,Paramètres!$A$1:$I$89,3,0)*0.475*44/12</f>
        <v>5.0716962423866344E-9</v>
      </c>
      <c r="FT93" s="22">
        <f t="shared" si="78"/>
        <v>4.2294740417416206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-5.6843418860808015E-14</v>
      </c>
      <c r="GA93" s="17">
        <f>FZ93*VLOOKUP('Données projet'!$B$17,Paramètres!$A$1:$I$89,3,0)*VLOOKUP('Données projet'!$B$17,Paramètres!$A$1:$I$89,5,0)</f>
        <v>-3.2514435588382188E-14</v>
      </c>
      <c r="GB93" s="13" t="e">
        <f t="shared" si="103"/>
        <v>#NUM!</v>
      </c>
      <c r="GC93" s="20" t="e">
        <f t="shared" si="79"/>
        <v>#NUM!</v>
      </c>
      <c r="GD93" s="59" t="e">
        <f t="shared" si="80"/>
        <v>#NUM!</v>
      </c>
      <c r="GE93" s="59">
        <f ca="1">AVERAGE(OFFSET($GD$3,0,0,'Données projet'!$E$17+1,1))-AVERAGE(OFFSET($H$3,0,0,'Données projet'!$E$17+1,1))</f>
        <v>196.95560009657527</v>
      </c>
      <c r="GF93" s="59">
        <f t="shared" si="104"/>
        <v>168.90186968005662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0</v>
      </c>
      <c r="GM93" s="21">
        <f>EXP(-LN(2)/25)*GM92+(1-EXP(-LN(2)/25))/(LN(2)/25)*Calculateur!GH93*Calculateur!GJ93*VLOOKUP('Données projet'!$B$17,Paramètres!$A$1:$I$89,3,0)*0.475*44/12</f>
        <v>1.7489358923830312</v>
      </c>
      <c r="GN93" s="21">
        <f>EXP(-LN(2)/2)*GN92+(1-EXP(-LN(2)/2))/(LN(2)/2)*GH93*GK93*VLOOKUP('Données projet'!$B$17,Paramètres!$A$1:$I$89,3,0)*0.475*44/12</f>
        <v>1.1976415619463448E-8</v>
      </c>
      <c r="GO93" s="21">
        <f t="shared" si="81"/>
        <v>1.7489359043594468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18.5</v>
      </c>
      <c r="N94" s="13">
        <f>IF('Données projet'!$A$36&gt;35,N93+M94-V93,IF(A94&lt;'Données projet'!$A$36,$K$205^A94,IF(A94='Données projet'!$A$36,'Données projet'!$B$36,N93+M94-V93)))</f>
        <v>559.69999999999993</v>
      </c>
      <c r="O94" s="13">
        <f>N94*VLOOKUP('Données projet'!$B$9,Paramètres!$A$1:$I$89,3,0)*VLOOKUP('Données projet'!$B$9,Paramètres!$A$1:$I$89,5,0)</f>
        <v>261.93959999999998</v>
      </c>
      <c r="P94" s="13">
        <f t="shared" si="87"/>
        <v>63.135643285567426</v>
      </c>
      <c r="Q94" s="20">
        <f t="shared" si="54"/>
        <v>566.1727153890298</v>
      </c>
      <c r="R94" s="59">
        <f t="shared" si="55"/>
        <v>859.50604872236318</v>
      </c>
      <c r="S94" s="59">
        <f ca="1">AVERAGE(OFFSET($R$3,0,0,'Données projet'!$E$9+1,1))-AVERAGE(OFFSET($H$3,0,0,'Données projet'!$E$9+1,1))</f>
        <v>215.23235148064941</v>
      </c>
      <c r="T94" s="59">
        <f t="shared" si="88"/>
        <v>184.07239726900434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0.93654209403792077</v>
      </c>
      <c r="AA94" s="21">
        <f>EXP(-LN(2)/25)*AA93+(1-EXP(-LN(2)/25))/(LN(2)/25)*Calculateur!V94*Calculateur!X94*VLOOKUP('Données projet'!$B$9,Paramètres!$A$1:$I$89,3,0)*0.475*44/12</f>
        <v>1.4476336605774676</v>
      </c>
      <c r="AB94" s="21">
        <f>EXP(-LN(2)/2)*AB93+(1-EXP(-LN(2)/2))/(LN(2)/2)*V94*Y94*VLOOKUP('Données projet'!$B$9,Paramètres!$A$1:$I$89,3,0)*0.475*44/12</f>
        <v>6.4749258226157884E-9</v>
      </c>
      <c r="AC94" s="22">
        <f t="shared" si="57"/>
        <v>2.3841757610903143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5.6843418860808015E-14</v>
      </c>
      <c r="AJ94" s="13">
        <f>AI94*VLOOKUP('Données projet'!$B$10,Paramètres!$A$1:$I$89,3,0)*VLOOKUP('Données projet'!$B$10,Paramètres!$A$1:$I$89,5,0)</f>
        <v>4.1677594708744434E-14</v>
      </c>
      <c r="AK94" s="13">
        <f t="shared" si="89"/>
        <v>6.9326303456159188E-13</v>
      </c>
      <c r="AL94" s="20">
        <f t="shared" si="58"/>
        <v>1.2800215959791691E-12</v>
      </c>
      <c r="AM94" s="59">
        <f t="shared" si="59"/>
        <v>293.33333333333462</v>
      </c>
      <c r="AN94" s="59">
        <f ca="1">AVERAGE(OFFSET($AM$3,0,0,'Données projet'!$E$10+1,1))-AVERAGE(OFFSET($H$3,0,0,'Données projet'!$E$10+1,1))</f>
        <v>178.12968684094687</v>
      </c>
      <c r="AO94" s="59">
        <f t="shared" si="90"/>
        <v>219.36004077210373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1.4168566745771267</v>
      </c>
      <c r="AW94" s="21">
        <f>EXP(-LN(2)/2)*AW93+(1-EXP(-LN(2)/2))/(LN(2)/2)*AQ94*AT94*VLOOKUP('Données projet'!$B$10,Paramètres!$A$1:$I$89,3,0)*0.475*44/12</f>
        <v>6.5311247711363489E-9</v>
      </c>
      <c r="AX94" s="21">
        <f t="shared" si="60"/>
        <v>1.4168566811082515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-5.6843418860808015E-14</v>
      </c>
      <c r="BE94" s="13">
        <f>BD94*VLOOKUP('Données projet'!$B$11,Paramètres!$A$1:$I$89,3,0)*VLOOKUP('Données projet'!$B$11,Paramètres!$A$1:$I$89,5,0)</f>
        <v>-4.9658410716801891E-14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114.02623091248347</v>
      </c>
      <c r="BJ94" s="59">
        <f t="shared" si="92"/>
        <v>185.51554083721635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0.58314126028716196</v>
      </c>
      <c r="BQ94" s="21">
        <f>EXP(-LN(2)/25)*BQ93+(1-EXP(-LN(2)/25))/(LN(2)/25)*Calculateur!BL94*Calculateur!BN94*VLOOKUP('Données projet'!$B$11,Paramètres!$A$1:$I$89,3,0)*0.475*44/12</f>
        <v>2.0743208427365984</v>
      </c>
      <c r="BR94" s="21">
        <f>EXP(-LN(2)/2)*BR93+(1-EXP(-LN(2)/2))/(LN(2)/2)*BL94*BO94*VLOOKUP('Données projet'!$B$11,Paramètres!$A$1:$I$89,3,0)*0.475*44/12</f>
        <v>1.1616246628713713E-8</v>
      </c>
      <c r="BS94" s="22">
        <f t="shared" si="63"/>
        <v>2.657462114640007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4.9000000000000004</v>
      </c>
      <c r="BY94" s="12">
        <f>IF('Données projet'!$A$114&gt;35,BY93+BX94-CG93,IF(A94&lt;'Données projet'!$A$114,$BV$205^A94,IF(A94='Données projet'!$A$114,'Données projet'!$B$114,BY93+BX94-CG93)))</f>
        <v>258.90000000000043</v>
      </c>
      <c r="BZ94" s="13">
        <f>BY94*VLOOKUP('Données projet'!$B$12,Paramètres!$A$1:$I$89,3,0)*VLOOKUP('Données projet'!$B$12,Paramètres!$A$1:$I$89,5,0)</f>
        <v>234.25272000000038</v>
      </c>
      <c r="CA94" s="13">
        <f t="shared" si="93"/>
        <v>57.2012362311714</v>
      </c>
      <c r="CB94" s="20">
        <f t="shared" si="64"/>
        <v>507.61564043595746</v>
      </c>
      <c r="CC94" s="59">
        <f t="shared" si="65"/>
        <v>800.94897376929077</v>
      </c>
      <c r="CD94" s="59">
        <f ca="1">AVERAGE(OFFSET($CC$3,0,0,'Données projet'!$E$12+1,1))-AVERAGE(OFFSET($H$3,0,0,'Données projet'!$E$12+1,1))</f>
        <v>237.22177246688199</v>
      </c>
      <c r="CE94" s="59">
        <f t="shared" si="94"/>
        <v>149.27472147904302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0.57237362981390694</v>
      </c>
      <c r="CM94" s="21">
        <f>EXP(-LN(2)/2)*CM93+(1-EXP(-LN(2)/2))/(LN(2)/2)*CG94*CJ94*VLOOKUP('Données projet'!$B$12,Paramètres!$A$1:$I$89,3,0)*0.475*44/12</f>
        <v>4.0759610375284676E-9</v>
      </c>
      <c r="CN94" s="22">
        <f t="shared" si="66"/>
        <v>0.57237363388986795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-5.6843418860808015E-13</v>
      </c>
      <c r="CU94" s="17">
        <f>CT94*VLOOKUP('Données projet'!$B$13,Paramètres!$A$1:$I$89,3,0)*VLOOKUP('Données projet'!$B$13,Paramètres!$A$1:$I$89,5,0)</f>
        <v>-3.177547114319168E-13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326.31232746914907</v>
      </c>
      <c r="CZ94" s="59">
        <f t="shared" si="96"/>
        <v>330.17137761430297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1.3647986942891035</v>
      </c>
      <c r="DG94" s="21">
        <f>EXP(-LN(2)/25)*DG93+(1-EXP(-LN(2)/25))/(LN(2)/25)*Calculateur!DB94*Calculateur!DD94*VLOOKUP('Données projet'!$B$13,Paramètres!$A$1:$I$89,3,0)*0.475*44/12</f>
        <v>5.5603811034023796</v>
      </c>
      <c r="DH94" s="21">
        <f>EXP(-LN(2)/2)*DH93+(1-EXP(-LN(2)/2))/(LN(2)/2)*DB94*DE94*VLOOKUP('Données projet'!$B$13,Paramètres!$A$1:$I$89,3,0)*0.475*44/12</f>
        <v>2.1417242684478792E-8</v>
      </c>
      <c r="DI94" s="22">
        <f t="shared" si="69"/>
        <v>6.9251798191087257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6.2527760746888816E-13</v>
      </c>
      <c r="DP94" s="17">
        <f>DO94*VLOOKUP('Données projet'!$B$14,Paramètres!$A$1:$I$89,3,0)*VLOOKUP('Données projet'!$B$14,Paramètres!$A$1:$I$89,5,0)</f>
        <v>3.9017322706058616E-13</v>
      </c>
      <c r="DQ94" s="13">
        <f t="shared" si="97"/>
        <v>5.0025007393608908E-12</v>
      </c>
      <c r="DR94" s="20">
        <f t="shared" si="70"/>
        <v>9.3922404915174053E-12</v>
      </c>
      <c r="DS94" s="59">
        <f t="shared" si="71"/>
        <v>293.33333333334269</v>
      </c>
      <c r="DT94" s="59">
        <f ca="1">AVERAGE(OFFSET($DS$3,0,0,'Données projet'!$E$14+1,1))-AVERAGE(OFFSET($H$3,0,0,'Données projet'!$E$14+1,1))</f>
        <v>209.93608079129638</v>
      </c>
      <c r="DU94" s="59">
        <f t="shared" si="98"/>
        <v>240.15652428700969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2.0774948412011689</v>
      </c>
      <c r="EB94" s="21">
        <f>EXP(-LN(2)/25)*EB93+(1-EXP(-LN(2)/25))/(LN(2)/25)*Calculateur!DW94*Calculateur!DY94*VLOOKUP('Données projet'!$B$14,Paramètres!$A$1:$I$89,3,0)*0.475*44/12</f>
        <v>3.8308716914075198</v>
      </c>
      <c r="EC94" s="21">
        <f>EXP(-LN(2)/2)*EC93+(1-EXP(-LN(2)/2))/(LN(2)/2)*DW94*DZ94*VLOOKUP('Données projet'!$B$14,Paramètres!$A$1:$I$89,3,0)*0.475*44/12</f>
        <v>1.3296550661663923E-8</v>
      </c>
      <c r="ED94" s="22">
        <f t="shared" si="72"/>
        <v>5.9083665459052392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-4.5474735088646412E-13</v>
      </c>
      <c r="EK94" s="17">
        <f>EJ94*VLOOKUP('Données projet'!$B$15,Paramètres!$A$1:$I$89,3,0)*VLOOKUP('Données projet'!$B$15,Paramètres!$A$1:$I$89,5,0)</f>
        <v>-2.7193891583010558E-13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216.94426559495264</v>
      </c>
      <c r="EP94" s="59">
        <f t="shared" si="100"/>
        <v>225.33715877618704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0</v>
      </c>
      <c r="EW94" s="21">
        <f>EXP(-LN(2)/25)*EW93+(1-EXP(-LN(2)/25))/(LN(2)/25)*Calculateur!ER94*Calculateur!ET94*VLOOKUP('Données projet'!$B$15,Paramètres!$A$1:$I$89,3,0)*0.475*44/12</f>
        <v>2.3679092149191678</v>
      </c>
      <c r="EX94" s="21">
        <f>EXP(-LN(2)/2)*EX93+(1-EXP(-LN(2)/2))/(LN(2)/2)*ER94*EU94*VLOOKUP('Données projet'!$B$15,Paramètres!$A$1:$I$89,3,0)*0.475*44/12</f>
        <v>1.5626839622848995E-8</v>
      </c>
      <c r="EY94" s="22">
        <f t="shared" si="75"/>
        <v>2.3679092305460077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>
        <f>FE94*VLOOKUP('Données projet'!$B$16,Paramètres!$A$1:$I$89,3,0)*VLOOKUP('Données projet'!$B$16,Paramètres!$A$1:$I$89,5,0)</f>
        <v>0</v>
      </c>
      <c r="FG94" s="13" t="e">
        <f t="shared" si="101"/>
        <v>#NUM!</v>
      </c>
      <c r="FH94" s="20" t="e">
        <f t="shared" si="76"/>
        <v>#NUM!</v>
      </c>
      <c r="FI94" s="59" t="e">
        <f t="shared" si="77"/>
        <v>#NUM!</v>
      </c>
      <c r="FJ94" s="59">
        <f ca="1">AVERAGE(OFFSET($FI$3,0,0,'Données projet'!$E$16+1,1))-AVERAGE(OFFSET($H$3,0,0,'Données projet'!$E$16+1,1))</f>
        <v>168.08890945052406</v>
      </c>
      <c r="FK94" s="59">
        <f t="shared" si="102"/>
        <v>182.52462557642343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1.856084054731953</v>
      </c>
      <c r="FR94" s="21">
        <f>EXP(-LN(2)/25)*FR93+(1-EXP(-LN(2)/25))/(LN(2)/25)*Calculateur!FM94*Calculateur!FO94*VLOOKUP('Données projet'!$B$16,Paramètres!$A$1:$I$89,3,0)*0.475*44/12</f>
        <v>2.2723800157624523</v>
      </c>
      <c r="FS94" s="21">
        <f>EXP(-LN(2)/2)*FS93+(1-EXP(-LN(2)/2))/(LN(2)/2)*FM94*FP94*VLOOKUP('Données projet'!$B$16,Paramètres!$A$1:$I$89,3,0)*0.475*44/12</f>
        <v>3.5862308051099212E-9</v>
      </c>
      <c r="FT94" s="22">
        <f t="shared" si="78"/>
        <v>4.128464074080636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-5.6843418860808015E-14</v>
      </c>
      <c r="GA94" s="17">
        <f>FZ94*VLOOKUP('Données projet'!$B$17,Paramètres!$A$1:$I$89,3,0)*VLOOKUP('Données projet'!$B$17,Paramètres!$A$1:$I$89,5,0)</f>
        <v>-3.2514435588382188E-14</v>
      </c>
      <c r="GB94" s="13" t="e">
        <f t="shared" si="103"/>
        <v>#NUM!</v>
      </c>
      <c r="GC94" s="20" t="e">
        <f t="shared" si="79"/>
        <v>#NUM!</v>
      </c>
      <c r="GD94" s="59" t="e">
        <f t="shared" si="80"/>
        <v>#NUM!</v>
      </c>
      <c r="GE94" s="59">
        <f ca="1">AVERAGE(OFFSET($GD$3,0,0,'Données projet'!$E$17+1,1))-AVERAGE(OFFSET($H$3,0,0,'Données projet'!$E$17+1,1))</f>
        <v>196.95560009657527</v>
      </c>
      <c r="GF94" s="59">
        <f t="shared" si="104"/>
        <v>168.90186968005662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0</v>
      </c>
      <c r="GM94" s="21">
        <f>EXP(-LN(2)/25)*GM93+(1-EXP(-LN(2)/25))/(LN(2)/25)*Calculateur!GH94*Calculateur!GJ94*VLOOKUP('Données projet'!$B$17,Paramètres!$A$1:$I$89,3,0)*0.475*44/12</f>
        <v>1.7011111484332759</v>
      </c>
      <c r="GN94" s="21">
        <f>EXP(-LN(2)/2)*GN93+(1-EXP(-LN(2)/2))/(LN(2)/2)*GH94*GK94*VLOOKUP('Données projet'!$B$17,Paramètres!$A$1:$I$89,3,0)*0.475*44/12</f>
        <v>8.4686046988310905E-9</v>
      </c>
      <c r="GO94" s="21">
        <f t="shared" si="81"/>
        <v>1.7011111569018806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18.5</v>
      </c>
      <c r="N95" s="13">
        <f>IF('Données projet'!$A$36&gt;35,N94+M95-V94,IF(A95&lt;'Données projet'!$A$36,$K$205^A95,IF(A95='Données projet'!$A$36,'Données projet'!$B$36,N94+M95-V94)))</f>
        <v>578.19999999999993</v>
      </c>
      <c r="O95" s="13">
        <f>N95*VLOOKUP('Données projet'!$B$9,Paramètres!$A$1:$I$89,3,0)*VLOOKUP('Données projet'!$B$9,Paramètres!$A$1:$I$89,5,0)</f>
        <v>270.59759999999994</v>
      </c>
      <c r="P95" s="13">
        <f t="shared" si="87"/>
        <v>64.976078766498532</v>
      </c>
      <c r="Q95" s="20">
        <f t="shared" si="54"/>
        <v>584.45749051831808</v>
      </c>
      <c r="R95" s="59">
        <f t="shared" si="55"/>
        <v>877.79082385165134</v>
      </c>
      <c r="S95" s="59">
        <f ca="1">AVERAGE(OFFSET($R$3,0,0,'Données projet'!$E$9+1,1))-AVERAGE(OFFSET($H$3,0,0,'Données projet'!$E$9+1,1))</f>
        <v>215.23235148064941</v>
      </c>
      <c r="T95" s="59">
        <f t="shared" si="88"/>
        <v>184.07239726900434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0.91817707480810984</v>
      </c>
      <c r="AA95" s="21">
        <f>EXP(-LN(2)/25)*AA94+(1-EXP(-LN(2)/25))/(LN(2)/25)*Calculateur!V95*Calculateur!X95*VLOOKUP('Données projet'!$B$9,Paramètres!$A$1:$I$89,3,0)*0.475*44/12</f>
        <v>1.4080480420012311</v>
      </c>
      <c r="AB95" s="21">
        <f>EXP(-LN(2)/2)*AB94+(1-EXP(-LN(2)/2))/(LN(2)/2)*V95*Y95*VLOOKUP('Données projet'!$B$9,Paramètres!$A$1:$I$89,3,0)*0.475*44/12</f>
        <v>4.5784639568515084E-9</v>
      </c>
      <c r="AC95" s="22">
        <f t="shared" si="57"/>
        <v>2.3262251213878047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5.6843418860808015E-14</v>
      </c>
      <c r="AJ95" s="13">
        <f>AI95*VLOOKUP('Données projet'!$B$10,Paramètres!$A$1:$I$89,3,0)*VLOOKUP('Données projet'!$B$10,Paramètres!$A$1:$I$89,5,0)</f>
        <v>4.1677594708744434E-14</v>
      </c>
      <c r="AK95" s="13">
        <f t="shared" si="89"/>
        <v>6.9326303456159188E-13</v>
      </c>
      <c r="AL95" s="20">
        <f t="shared" si="58"/>
        <v>1.2800215959791691E-12</v>
      </c>
      <c r="AM95" s="59">
        <f t="shared" si="59"/>
        <v>293.33333333333462</v>
      </c>
      <c r="AN95" s="59">
        <f ca="1">AVERAGE(OFFSET($AM$3,0,0,'Données projet'!$E$10+1,1))-AVERAGE(OFFSET($H$3,0,0,'Données projet'!$E$10+1,1))</f>
        <v>178.12968684094687</v>
      </c>
      <c r="AO95" s="59">
        <f t="shared" si="90"/>
        <v>219.36004077210373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1.3781126543015609</v>
      </c>
      <c r="AW95" s="21">
        <f>EXP(-LN(2)/2)*AW94+(1-EXP(-LN(2)/2))/(LN(2)/2)*AQ95*AT95*VLOOKUP('Données projet'!$B$10,Paramètres!$A$1:$I$89,3,0)*0.475*44/12</f>
        <v>4.6182026144459505E-9</v>
      </c>
      <c r="AX95" s="21">
        <f t="shared" si="60"/>
        <v>1.3781126589197636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-5.6843418860808015E-14</v>
      </c>
      <c r="BE95" s="13">
        <f>BD95*VLOOKUP('Données projet'!$B$11,Paramètres!$A$1:$I$89,3,0)*VLOOKUP('Données projet'!$B$11,Paramètres!$A$1:$I$89,5,0)</f>
        <v>-4.9658410716801891E-14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114.02623091248347</v>
      </c>
      <c r="BJ95" s="59">
        <f t="shared" si="92"/>
        <v>185.51554083721635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0.57170621585397885</v>
      </c>
      <c r="BQ95" s="21">
        <f>EXP(-LN(2)/25)*BQ94+(1-EXP(-LN(2)/25))/(LN(2)/25)*Calculateur!BL95*Calculateur!BN95*VLOOKUP('Données projet'!$B$11,Paramètres!$A$1:$I$89,3,0)*0.475*44/12</f>
        <v>2.017598430208174</v>
      </c>
      <c r="BR95" s="21">
        <f>EXP(-LN(2)/2)*BR94+(1-EXP(-LN(2)/2))/(LN(2)/2)*BL95*BO95*VLOOKUP('Données projet'!$B$11,Paramètres!$A$1:$I$89,3,0)*0.475*44/12</f>
        <v>8.2139267630988374E-9</v>
      </c>
      <c r="BS95" s="22">
        <f t="shared" si="63"/>
        <v>2.5893046542760798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4.9000000000000004</v>
      </c>
      <c r="BY95" s="12">
        <f>IF('Données projet'!$A$114&gt;35,BY94+BX95-CG94,IF(A95&lt;'Données projet'!$A$114,$BV$205^A95,IF(A95='Données projet'!$A$114,'Données projet'!$B$114,BY94+BX95-CG94)))</f>
        <v>263.80000000000041</v>
      </c>
      <c r="BZ95" s="13">
        <f>BY95*VLOOKUP('Données projet'!$B$12,Paramètres!$A$1:$I$89,3,0)*VLOOKUP('Données projet'!$B$12,Paramètres!$A$1:$I$89,5,0)</f>
        <v>238.68624000000034</v>
      </c>
      <c r="CA95" s="13">
        <f t="shared" si="93"/>
        <v>58.156778382060978</v>
      </c>
      <c r="CB95" s="20">
        <f t="shared" si="64"/>
        <v>517.00159034875685</v>
      </c>
      <c r="CC95" s="59">
        <f t="shared" si="65"/>
        <v>810.33492368209022</v>
      </c>
      <c r="CD95" s="59">
        <f ca="1">AVERAGE(OFFSET($CC$3,0,0,'Données projet'!$E$12+1,1))-AVERAGE(OFFSET($H$3,0,0,'Données projet'!$E$12+1,1))</f>
        <v>237.22177246688199</v>
      </c>
      <c r="CE95" s="59">
        <f t="shared" si="94"/>
        <v>149.27472147904302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0.55672204280682469</v>
      </c>
      <c r="CM95" s="21">
        <f>EXP(-LN(2)/2)*CM94+(1-EXP(-LN(2)/2))/(LN(2)/2)*CG95*CJ95*VLOOKUP('Données projet'!$B$12,Paramètres!$A$1:$I$89,3,0)*0.475*44/12</f>
        <v>2.8821396894885354E-9</v>
      </c>
      <c r="CN95" s="22">
        <f t="shared" si="66"/>
        <v>0.55672204568896433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-5.6843418860808015E-13</v>
      </c>
      <c r="CU95" s="17">
        <f>CT95*VLOOKUP('Données projet'!$B$13,Paramètres!$A$1:$I$89,3,0)*VLOOKUP('Données projet'!$B$13,Paramètres!$A$1:$I$89,5,0)</f>
        <v>-3.177547114319168E-13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326.31232746914907</v>
      </c>
      <c r="CZ95" s="59">
        <f t="shared" si="96"/>
        <v>330.17137761430297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1.3380358243391006</v>
      </c>
      <c r="DG95" s="21">
        <f>EXP(-LN(2)/25)*DG94+(1-EXP(-LN(2)/25))/(LN(2)/25)*Calculateur!DB95*Calculateur!DD95*VLOOKUP('Données projet'!$B$13,Paramètres!$A$1:$I$89,3,0)*0.475*44/12</f>
        <v>5.4083321897221079</v>
      </c>
      <c r="DH95" s="21">
        <f>EXP(-LN(2)/2)*DH94+(1-EXP(-LN(2)/2))/(LN(2)/2)*DB95*DE95*VLOOKUP('Données projet'!$B$13,Paramètres!$A$1:$I$89,3,0)*0.475*44/12</f>
        <v>1.5144277536512931E-8</v>
      </c>
      <c r="DI95" s="22">
        <f t="shared" si="69"/>
        <v>6.7463680292054864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6.2527760746888816E-13</v>
      </c>
      <c r="DP95" s="17">
        <f>DO95*VLOOKUP('Données projet'!$B$14,Paramètres!$A$1:$I$89,3,0)*VLOOKUP('Données projet'!$B$14,Paramètres!$A$1:$I$89,5,0)</f>
        <v>3.9017322706058616E-13</v>
      </c>
      <c r="DQ95" s="13">
        <f t="shared" si="97"/>
        <v>5.0025007393608908E-12</v>
      </c>
      <c r="DR95" s="20">
        <f t="shared" si="70"/>
        <v>9.3922404915174053E-12</v>
      </c>
      <c r="DS95" s="59">
        <f t="shared" si="71"/>
        <v>293.33333333334269</v>
      </c>
      <c r="DT95" s="59">
        <f ca="1">AVERAGE(OFFSET($DS$3,0,0,'Données projet'!$E$14+1,1))-AVERAGE(OFFSET($H$3,0,0,'Données projet'!$E$14+1,1))</f>
        <v>209.93608079129638</v>
      </c>
      <c r="DU95" s="59">
        <f t="shared" si="98"/>
        <v>240.15652428700969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2.0367564345119469</v>
      </c>
      <c r="EB95" s="21">
        <f>EXP(-LN(2)/25)*EB94+(1-EXP(-LN(2)/25))/(LN(2)/25)*Calculateur!DW95*Calculateur!DY95*VLOOKUP('Données projet'!$B$14,Paramètres!$A$1:$I$89,3,0)*0.475*44/12</f>
        <v>3.7261163035491944</v>
      </c>
      <c r="EC95" s="21">
        <f>EXP(-LN(2)/2)*EC94+(1-EXP(-LN(2)/2))/(LN(2)/2)*DW95*DZ95*VLOOKUP('Données projet'!$B$14,Paramètres!$A$1:$I$89,3,0)*0.475*44/12</f>
        <v>9.4020811392530352E-9</v>
      </c>
      <c r="ED95" s="22">
        <f t="shared" si="72"/>
        <v>5.7628727474632218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-4.5474735088646412E-13</v>
      </c>
      <c r="EK95" s="17">
        <f>EJ95*VLOOKUP('Données projet'!$B$15,Paramètres!$A$1:$I$89,3,0)*VLOOKUP('Données projet'!$B$15,Paramètres!$A$1:$I$89,5,0)</f>
        <v>-2.7193891583010558E-13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216.94426559495264</v>
      </c>
      <c r="EP95" s="59">
        <f t="shared" si="100"/>
        <v>225.33715877618704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0</v>
      </c>
      <c r="EW95" s="21">
        <f>EXP(-LN(2)/25)*EW94+(1-EXP(-LN(2)/25))/(LN(2)/25)*Calculateur!ER95*Calculateur!ET95*VLOOKUP('Données projet'!$B$15,Paramètres!$A$1:$I$89,3,0)*0.475*44/12</f>
        <v>2.3031586129142694</v>
      </c>
      <c r="EX95" s="21">
        <f>EXP(-LN(2)/2)*EX94+(1-EXP(-LN(2)/2))/(LN(2)/2)*ER95*EU95*VLOOKUP('Données projet'!$B$15,Paramètres!$A$1:$I$89,3,0)*0.475*44/12</f>
        <v>1.1049844265831155E-8</v>
      </c>
      <c r="EY95" s="22">
        <f t="shared" si="75"/>
        <v>2.3031586239641135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>
        <f>FE95*VLOOKUP('Données projet'!$B$16,Paramètres!$A$1:$I$89,3,0)*VLOOKUP('Données projet'!$B$16,Paramètres!$A$1:$I$89,5,0)</f>
        <v>0</v>
      </c>
      <c r="FG95" s="13" t="e">
        <f t="shared" si="101"/>
        <v>#NUM!</v>
      </c>
      <c r="FH95" s="20" t="e">
        <f t="shared" si="76"/>
        <v>#NUM!</v>
      </c>
      <c r="FI95" s="59" t="e">
        <f t="shared" si="77"/>
        <v>#NUM!</v>
      </c>
      <c r="FJ95" s="59">
        <f ca="1">AVERAGE(OFFSET($FI$3,0,0,'Données projet'!$E$16+1,1))-AVERAGE(OFFSET($H$3,0,0,'Données projet'!$E$16+1,1))</f>
        <v>168.08890945052406</v>
      </c>
      <c r="FK95" s="59">
        <f t="shared" si="102"/>
        <v>182.52462557642343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1.8196873785181473</v>
      </c>
      <c r="FR95" s="21">
        <f>EXP(-LN(2)/25)*FR94+(1-EXP(-LN(2)/25))/(LN(2)/25)*Calculateur!FM95*Calculateur!FO95*VLOOKUP('Données projet'!$B$16,Paramètres!$A$1:$I$89,3,0)*0.475*44/12</f>
        <v>2.2102416647321568</v>
      </c>
      <c r="FS95" s="21">
        <f>EXP(-LN(2)/2)*FS94+(1-EXP(-LN(2)/2))/(LN(2)/2)*FM95*FP95*VLOOKUP('Données projet'!$B$16,Paramètres!$A$1:$I$89,3,0)*0.475*44/12</f>
        <v>2.5358481211933172E-9</v>
      </c>
      <c r="FT95" s="22">
        <f t="shared" si="78"/>
        <v>4.0299290457861519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-5.6843418860808015E-14</v>
      </c>
      <c r="GA95" s="17">
        <f>FZ95*VLOOKUP('Données projet'!$B$17,Paramètres!$A$1:$I$89,3,0)*VLOOKUP('Données projet'!$B$17,Paramètres!$A$1:$I$89,5,0)</f>
        <v>-3.2514435588382188E-14</v>
      </c>
      <c r="GB95" s="13" t="e">
        <f t="shared" si="103"/>
        <v>#NUM!</v>
      </c>
      <c r="GC95" s="20" t="e">
        <f t="shared" si="79"/>
        <v>#NUM!</v>
      </c>
      <c r="GD95" s="59" t="e">
        <f t="shared" si="80"/>
        <v>#NUM!</v>
      </c>
      <c r="GE95" s="59">
        <f ca="1">AVERAGE(OFFSET($GD$3,0,0,'Données projet'!$E$17+1,1))-AVERAGE(OFFSET($H$3,0,0,'Données projet'!$E$17+1,1))</f>
        <v>196.95560009657527</v>
      </c>
      <c r="GF95" s="59">
        <f t="shared" si="104"/>
        <v>168.90186968005662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0</v>
      </c>
      <c r="GM95" s="21">
        <f>EXP(-LN(2)/25)*GM94+(1-EXP(-LN(2)/25))/(LN(2)/25)*Calculateur!GH95*Calculateur!GJ95*VLOOKUP('Données projet'!$B$17,Paramètres!$A$1:$I$89,3,0)*0.475*44/12</f>
        <v>1.6545941746218207</v>
      </c>
      <c r="GN95" s="21">
        <f>EXP(-LN(2)/2)*GN94+(1-EXP(-LN(2)/2))/(LN(2)/2)*GH95*GK95*VLOOKUP('Données projet'!$B$17,Paramètres!$A$1:$I$89,3,0)*0.475*44/12</f>
        <v>5.9882078097317241E-9</v>
      </c>
      <c r="GO95" s="21">
        <f t="shared" si="81"/>
        <v>1.6545941806100284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18.5</v>
      </c>
      <c r="N96" s="13">
        <f>IF('Données projet'!$A$36&gt;35,N95+M96-V95,IF(A96&lt;'Données projet'!$A$36,$K$205^A96,IF(A96='Données projet'!$A$36,'Données projet'!$B$36,N95+M96-V95)))</f>
        <v>596.69999999999993</v>
      </c>
      <c r="O96" s="13">
        <f>N96*VLOOKUP('Données projet'!$B$9,Paramètres!$A$1:$I$89,3,0)*VLOOKUP('Données projet'!$B$9,Paramètres!$A$1:$I$89,5,0)</f>
        <v>279.25559999999996</v>
      </c>
      <c r="P96" s="13">
        <f t="shared" si="87"/>
        <v>66.809671397146161</v>
      </c>
      <c r="Q96" s="20">
        <f t="shared" si="54"/>
        <v>602.73034768336277</v>
      </c>
      <c r="R96" s="59">
        <f t="shared" si="55"/>
        <v>896.06368101669614</v>
      </c>
      <c r="S96" s="59">
        <f ca="1">AVERAGE(OFFSET($R$3,0,0,'Données projet'!$E$9+1,1))-AVERAGE(OFFSET($H$3,0,0,'Données projet'!$E$9+1,1))</f>
        <v>215.23235148064941</v>
      </c>
      <c r="T96" s="59">
        <f t="shared" si="88"/>
        <v>184.07239726900434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0.90017218240383978</v>
      </c>
      <c r="AA96" s="21">
        <f>EXP(-LN(2)/25)*AA95+(1-EXP(-LN(2)/25))/(LN(2)/25)*Calculateur!V96*Calculateur!X96*VLOOKUP('Données projet'!$B$9,Paramètres!$A$1:$I$89,3,0)*0.475*44/12</f>
        <v>1.369544894246679</v>
      </c>
      <c r="AB96" s="21">
        <f>EXP(-LN(2)/2)*AB95+(1-EXP(-LN(2)/2))/(LN(2)/2)*V96*Y96*VLOOKUP('Données projet'!$B$9,Paramètres!$A$1:$I$89,3,0)*0.475*44/12</f>
        <v>3.2374629113078942E-9</v>
      </c>
      <c r="AC96" s="22">
        <f t="shared" si="57"/>
        <v>2.2697170798879815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5.6843418860808015E-14</v>
      </c>
      <c r="AJ96" s="13">
        <f>AI96*VLOOKUP('Données projet'!$B$10,Paramètres!$A$1:$I$89,3,0)*VLOOKUP('Données projet'!$B$10,Paramètres!$A$1:$I$89,5,0)</f>
        <v>4.1677594708744434E-14</v>
      </c>
      <c r="AK96" s="13">
        <f t="shared" si="89"/>
        <v>6.9326303456159188E-13</v>
      </c>
      <c r="AL96" s="20">
        <f t="shared" si="58"/>
        <v>1.2800215959791691E-12</v>
      </c>
      <c r="AM96" s="59">
        <f t="shared" si="59"/>
        <v>293.33333333333462</v>
      </c>
      <c r="AN96" s="59">
        <f ca="1">AVERAGE(OFFSET($AM$3,0,0,'Données projet'!$E$10+1,1))-AVERAGE(OFFSET($H$3,0,0,'Données projet'!$E$10+1,1))</f>
        <v>178.12968684094687</v>
      </c>
      <c r="AO96" s="59">
        <f t="shared" si="90"/>
        <v>219.36004077210373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1.3404280912978901</v>
      </c>
      <c r="AW96" s="21">
        <f>EXP(-LN(2)/2)*AW95+(1-EXP(-LN(2)/2))/(LN(2)/2)*AQ96*AT96*VLOOKUP('Données projet'!$B$10,Paramètres!$A$1:$I$89,3,0)*0.475*44/12</f>
        <v>3.2655623855681745E-9</v>
      </c>
      <c r="AX96" s="21">
        <f t="shared" si="60"/>
        <v>1.3404280945634526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-5.6843418860808015E-14</v>
      </c>
      <c r="BE96" s="13">
        <f>BD96*VLOOKUP('Données projet'!$B$11,Paramètres!$A$1:$I$89,3,0)*VLOOKUP('Données projet'!$B$11,Paramètres!$A$1:$I$89,5,0)</f>
        <v>-4.9658410716801891E-14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114.02623091248347</v>
      </c>
      <c r="BJ96" s="59">
        <f t="shared" si="92"/>
        <v>185.51554083721635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0.56049540566744205</v>
      </c>
      <c r="BQ96" s="21">
        <f>EXP(-LN(2)/25)*BQ95+(1-EXP(-LN(2)/25))/(LN(2)/25)*Calculateur!BL96*Calculateur!BN96*VLOOKUP('Données projet'!$B$11,Paramètres!$A$1:$I$89,3,0)*0.475*44/12</f>
        <v>1.9624270950332412</v>
      </c>
      <c r="BR96" s="21">
        <f>EXP(-LN(2)/2)*BR95+(1-EXP(-LN(2)/2))/(LN(2)/2)*BL96*BO96*VLOOKUP('Données projet'!$B$11,Paramètres!$A$1:$I$89,3,0)*0.475*44/12</f>
        <v>5.8081233143568563E-9</v>
      </c>
      <c r="BS96" s="22">
        <f t="shared" si="63"/>
        <v>2.5229225065088063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4.9000000000000004</v>
      </c>
      <c r="BY96" s="12">
        <f>IF('Données projet'!$A$114&gt;35,BY95+BX96-CG95,IF(A96&lt;'Données projet'!$A$114,$BV$205^A96,IF(A96='Données projet'!$A$114,'Données projet'!$B$114,BY95+BX96-CG95)))</f>
        <v>268.70000000000039</v>
      </c>
      <c r="BZ96" s="13">
        <f>BY96*VLOOKUP('Données projet'!$B$12,Paramètres!$A$1:$I$89,3,0)*VLOOKUP('Données projet'!$B$12,Paramètres!$A$1:$I$89,5,0)</f>
        <v>243.11976000000033</v>
      </c>
      <c r="CA96" s="13">
        <f t="shared" si="93"/>
        <v>59.110256668778582</v>
      </c>
      <c r="CB96" s="20">
        <f t="shared" si="64"/>
        <v>526.38394569812317</v>
      </c>
      <c r="CC96" s="59">
        <f t="shared" si="65"/>
        <v>819.71727903145643</v>
      </c>
      <c r="CD96" s="59">
        <f ca="1">AVERAGE(OFFSET($CC$3,0,0,'Données projet'!$E$12+1,1))-AVERAGE(OFFSET($H$3,0,0,'Données projet'!$E$12+1,1))</f>
        <v>237.22177246688199</v>
      </c>
      <c r="CE96" s="59">
        <f t="shared" si="94"/>
        <v>149.27472147904302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0.54149844926953228</v>
      </c>
      <c r="CM96" s="21">
        <f>EXP(-LN(2)/2)*CM95+(1-EXP(-LN(2)/2))/(LN(2)/2)*CG96*CJ96*VLOOKUP('Données projet'!$B$12,Paramètres!$A$1:$I$89,3,0)*0.475*44/12</f>
        <v>2.0379805187642338E-9</v>
      </c>
      <c r="CN96" s="22">
        <f t="shared" si="66"/>
        <v>0.54149845130751284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-5.6843418860808015E-13</v>
      </c>
      <c r="CU96" s="17">
        <f>CT96*VLOOKUP('Données projet'!$B$13,Paramètres!$A$1:$I$89,3,0)*VLOOKUP('Données projet'!$B$13,Paramètres!$A$1:$I$89,5,0)</f>
        <v>-3.177547114319168E-13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326.31232746914907</v>
      </c>
      <c r="CZ96" s="59">
        <f t="shared" si="96"/>
        <v>330.17137761430297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1.3117977579450784</v>
      </c>
      <c r="DG96" s="21">
        <f>EXP(-LN(2)/25)*DG95+(1-EXP(-LN(2)/25))/(LN(2)/25)*Calculateur!DB96*Calculateur!DD96*VLOOKUP('Données projet'!$B$13,Paramètres!$A$1:$I$89,3,0)*0.475*44/12</f>
        <v>5.2604410615823278</v>
      </c>
      <c r="DH96" s="21">
        <f>EXP(-LN(2)/2)*DH95+(1-EXP(-LN(2)/2))/(LN(2)/2)*DB96*DE96*VLOOKUP('Données projet'!$B$13,Paramètres!$A$1:$I$89,3,0)*0.475*44/12</f>
        <v>1.0708621342239396E-8</v>
      </c>
      <c r="DI96" s="22">
        <f t="shared" si="69"/>
        <v>6.572238830236028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6.2527760746888816E-13</v>
      </c>
      <c r="DP96" s="17">
        <f>DO96*VLOOKUP('Données projet'!$B$14,Paramètres!$A$1:$I$89,3,0)*VLOOKUP('Données projet'!$B$14,Paramètres!$A$1:$I$89,5,0)</f>
        <v>3.9017322706058616E-13</v>
      </c>
      <c r="DQ96" s="13">
        <f t="shared" si="97"/>
        <v>5.0025007393608908E-12</v>
      </c>
      <c r="DR96" s="20">
        <f t="shared" si="70"/>
        <v>9.3922404915174053E-12</v>
      </c>
      <c r="DS96" s="59">
        <f t="shared" si="71"/>
        <v>293.33333333334269</v>
      </c>
      <c r="DT96" s="59">
        <f ca="1">AVERAGE(OFFSET($DS$3,0,0,'Données projet'!$E$14+1,1))-AVERAGE(OFFSET($H$3,0,0,'Données projet'!$E$14+1,1))</f>
        <v>209.93608079129638</v>
      </c>
      <c r="DU96" s="59">
        <f t="shared" si="98"/>
        <v>240.15652428700969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1.9968168831299258</v>
      </c>
      <c r="EB96" s="21">
        <f>EXP(-LN(2)/25)*EB95+(1-EXP(-LN(2)/25))/(LN(2)/25)*Calculateur!DW96*Calculateur!DY96*VLOOKUP('Données projet'!$B$14,Paramètres!$A$1:$I$89,3,0)*0.475*44/12</f>
        <v>3.6242254572807013</v>
      </c>
      <c r="EC96" s="21">
        <f>EXP(-LN(2)/2)*EC95+(1-EXP(-LN(2)/2))/(LN(2)/2)*DW96*DZ96*VLOOKUP('Données projet'!$B$14,Paramètres!$A$1:$I$89,3,0)*0.475*44/12</f>
        <v>6.6482753308319615E-9</v>
      </c>
      <c r="ED96" s="22">
        <f t="shared" si="72"/>
        <v>5.6210423470589026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-4.5474735088646412E-13</v>
      </c>
      <c r="EK96" s="17">
        <f>EJ96*VLOOKUP('Données projet'!$B$15,Paramètres!$A$1:$I$89,3,0)*VLOOKUP('Données projet'!$B$15,Paramètres!$A$1:$I$89,5,0)</f>
        <v>-2.7193891583010558E-13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216.94426559495264</v>
      </c>
      <c r="EP96" s="59">
        <f t="shared" si="100"/>
        <v>225.33715877618704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0</v>
      </c>
      <c r="EW96" s="21">
        <f>EXP(-LN(2)/25)*EW95+(1-EXP(-LN(2)/25))/(LN(2)/25)*Calculateur!ER96*Calculateur!ET96*VLOOKUP('Données projet'!$B$15,Paramètres!$A$1:$I$89,3,0)*0.475*44/12</f>
        <v>2.2401786195262812</v>
      </c>
      <c r="EX96" s="21">
        <f>EXP(-LN(2)/2)*EX95+(1-EXP(-LN(2)/2))/(LN(2)/2)*ER96*EU96*VLOOKUP('Données projet'!$B$15,Paramètres!$A$1:$I$89,3,0)*0.475*44/12</f>
        <v>7.8134198114244975E-9</v>
      </c>
      <c r="EY96" s="22">
        <f t="shared" si="75"/>
        <v>2.2401786273397009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>
        <f>FE96*VLOOKUP('Données projet'!$B$16,Paramètres!$A$1:$I$89,3,0)*VLOOKUP('Données projet'!$B$16,Paramètres!$A$1:$I$89,5,0)</f>
        <v>0</v>
      </c>
      <c r="FG96" s="13" t="e">
        <f t="shared" si="101"/>
        <v>#NUM!</v>
      </c>
      <c r="FH96" s="20" t="e">
        <f t="shared" si="76"/>
        <v>#NUM!</v>
      </c>
      <c r="FI96" s="59" t="e">
        <f t="shared" si="77"/>
        <v>#NUM!</v>
      </c>
      <c r="FJ96" s="59">
        <f ca="1">AVERAGE(OFFSET($FI$3,0,0,'Données projet'!$E$16+1,1))-AVERAGE(OFFSET($H$3,0,0,'Données projet'!$E$16+1,1))</f>
        <v>168.08890945052406</v>
      </c>
      <c r="FK96" s="59">
        <f t="shared" si="102"/>
        <v>182.52462557642343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1.7840044189251139</v>
      </c>
      <c r="FR96" s="21">
        <f>EXP(-LN(2)/25)*FR95+(1-EXP(-LN(2)/25))/(LN(2)/25)*Calculateur!FM96*Calculateur!FO96*VLOOKUP('Données projet'!$B$16,Paramètres!$A$1:$I$89,3,0)*0.475*44/12</f>
        <v>2.1498024901784984</v>
      </c>
      <c r="FS96" s="21">
        <f>EXP(-LN(2)/2)*FS95+(1-EXP(-LN(2)/2))/(LN(2)/2)*FM96*FP96*VLOOKUP('Données projet'!$B$16,Paramètres!$A$1:$I$89,3,0)*0.475*44/12</f>
        <v>1.7931154025549606E-9</v>
      </c>
      <c r="FT96" s="22">
        <f t="shared" si="78"/>
        <v>3.933806910896728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-5.6843418860808015E-14</v>
      </c>
      <c r="GA96" s="17">
        <f>FZ96*VLOOKUP('Données projet'!$B$17,Paramètres!$A$1:$I$89,3,0)*VLOOKUP('Données projet'!$B$17,Paramètres!$A$1:$I$89,5,0)</f>
        <v>-3.2514435588382188E-14</v>
      </c>
      <c r="GB96" s="13" t="e">
        <f t="shared" si="103"/>
        <v>#NUM!</v>
      </c>
      <c r="GC96" s="20" t="e">
        <f t="shared" si="79"/>
        <v>#NUM!</v>
      </c>
      <c r="GD96" s="59" t="e">
        <f t="shared" si="80"/>
        <v>#NUM!</v>
      </c>
      <c r="GE96" s="59">
        <f ca="1">AVERAGE(OFFSET($GD$3,0,0,'Données projet'!$E$17+1,1))-AVERAGE(OFFSET($H$3,0,0,'Données projet'!$E$17+1,1))</f>
        <v>196.95560009657527</v>
      </c>
      <c r="GF96" s="59">
        <f t="shared" si="104"/>
        <v>168.90186968005662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0</v>
      </c>
      <c r="GM96" s="21">
        <f>EXP(-LN(2)/25)*GM95+(1-EXP(-LN(2)/25))/(LN(2)/25)*Calculateur!GH96*Calculateur!GJ96*VLOOKUP('Données projet'!$B$17,Paramètres!$A$1:$I$89,3,0)*0.475*44/12</f>
        <v>1.6093492099054609</v>
      </c>
      <c r="GN96" s="21">
        <f>EXP(-LN(2)/2)*GN95+(1-EXP(-LN(2)/2))/(LN(2)/2)*GH96*GK96*VLOOKUP('Données projet'!$B$17,Paramètres!$A$1:$I$89,3,0)*0.475*44/12</f>
        <v>4.2343023494155453E-9</v>
      </c>
      <c r="GO96" s="21">
        <f t="shared" si="81"/>
        <v>1.6093492141397632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18.5</v>
      </c>
      <c r="N97" s="13">
        <f>IF('Données projet'!$A$36&gt;35,N96+M97-V96,IF(A97&lt;'Données projet'!$A$36,$K$205^A97,IF(A97='Données projet'!$A$36,'Données projet'!$B$36,N96+M97-V96)))</f>
        <v>615.19999999999993</v>
      </c>
      <c r="O97" s="13">
        <f>N97*VLOOKUP('Données projet'!$B$9,Paramètres!$A$1:$I$89,3,0)*VLOOKUP('Données projet'!$B$9,Paramètres!$A$1:$I$89,5,0)</f>
        <v>287.91359999999997</v>
      </c>
      <c r="P97" s="13">
        <f t="shared" si="87"/>
        <v>68.636657677063752</v>
      </c>
      <c r="Q97" s="20">
        <f t="shared" si="54"/>
        <v>620.99169878755254</v>
      </c>
      <c r="R97" s="59">
        <f t="shared" si="55"/>
        <v>914.32503212088591</v>
      </c>
      <c r="S97" s="59">
        <f ca="1">AVERAGE(OFFSET($R$3,0,0,'Données projet'!$E$9+1,1))-AVERAGE(OFFSET($H$3,0,0,'Données projet'!$E$9+1,1))</f>
        <v>215.23235148064941</v>
      </c>
      <c r="T97" s="59">
        <f t="shared" si="88"/>
        <v>184.07239726900434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0.88252035495771752</v>
      </c>
      <c r="AA97" s="21">
        <f>EXP(-LN(2)/25)*AA96+(1-EXP(-LN(2)/25))/(LN(2)/25)*Calculateur!V97*Calculateur!X97*VLOOKUP('Données projet'!$B$9,Paramètres!$A$1:$I$89,3,0)*0.475*44/12</f>
        <v>1.3320946170922678</v>
      </c>
      <c r="AB97" s="21">
        <f>EXP(-LN(2)/2)*AB96+(1-EXP(-LN(2)/2))/(LN(2)/2)*V97*Y97*VLOOKUP('Données projet'!$B$9,Paramètres!$A$1:$I$89,3,0)*0.475*44/12</f>
        <v>2.2892319784257542E-9</v>
      </c>
      <c r="AC97" s="22">
        <f t="shared" si="57"/>
        <v>2.2146149743392174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5.6843418860808015E-14</v>
      </c>
      <c r="AJ97" s="13">
        <f>AI97*VLOOKUP('Données projet'!$B$10,Paramètres!$A$1:$I$89,3,0)*VLOOKUP('Données projet'!$B$10,Paramètres!$A$1:$I$89,5,0)</f>
        <v>4.1677594708744434E-14</v>
      </c>
      <c r="AK97" s="13">
        <f t="shared" si="89"/>
        <v>6.9326303456159188E-13</v>
      </c>
      <c r="AL97" s="20">
        <f t="shared" si="58"/>
        <v>1.2800215959791691E-12</v>
      </c>
      <c r="AM97" s="59">
        <f t="shared" si="59"/>
        <v>293.33333333333462</v>
      </c>
      <c r="AN97" s="59">
        <f ca="1">AVERAGE(OFFSET($AM$3,0,0,'Données projet'!$E$10+1,1))-AVERAGE(OFFSET($H$3,0,0,'Données projet'!$E$10+1,1))</f>
        <v>178.12968684094687</v>
      </c>
      <c r="AO97" s="59">
        <f t="shared" si="90"/>
        <v>219.36004077210373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1.3037740146512995</v>
      </c>
      <c r="AW97" s="21">
        <f>EXP(-LN(2)/2)*AW96+(1-EXP(-LN(2)/2))/(LN(2)/2)*AQ97*AT97*VLOOKUP('Données projet'!$B$10,Paramètres!$A$1:$I$89,3,0)*0.475*44/12</f>
        <v>2.3091013072229752E-9</v>
      </c>
      <c r="AX97" s="21">
        <f t="shared" si="60"/>
        <v>1.3037740169604008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-5.6843418860808015E-14</v>
      </c>
      <c r="BE97" s="13">
        <f>BD97*VLOOKUP('Données projet'!$B$11,Paramètres!$A$1:$I$89,3,0)*VLOOKUP('Données projet'!$B$11,Paramètres!$A$1:$I$89,5,0)</f>
        <v>-4.9658410716801891E-14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114.02623091248347</v>
      </c>
      <c r="BJ97" s="59">
        <f t="shared" si="92"/>
        <v>185.51554083721635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0.54950443263074422</v>
      </c>
      <c r="BQ97" s="21">
        <f>EXP(-LN(2)/25)*BQ96+(1-EXP(-LN(2)/25))/(LN(2)/25)*Calculateur!BL97*Calculateur!BN97*VLOOKUP('Données projet'!$B$11,Paramètres!$A$1:$I$89,3,0)*0.475*44/12</f>
        <v>1.9087644229200014</v>
      </c>
      <c r="BR97" s="21">
        <f>EXP(-LN(2)/2)*BR96+(1-EXP(-LN(2)/2))/(LN(2)/2)*BL97*BO97*VLOOKUP('Données projet'!$B$11,Paramètres!$A$1:$I$89,3,0)*0.475*44/12</f>
        <v>4.1069633815494187E-9</v>
      </c>
      <c r="BS97" s="22">
        <f t="shared" si="63"/>
        <v>2.4582688596577089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4.9000000000000004</v>
      </c>
      <c r="BY97" s="12">
        <f>IF('Données projet'!$A$114&gt;35,BY96+BX97-CG96,IF(A97&lt;'Données projet'!$A$114,$BV$205^A97,IF(A97='Données projet'!$A$114,'Données projet'!$B$114,BY96+BX97-CG96)))</f>
        <v>273.60000000000036</v>
      </c>
      <c r="BZ97" s="13">
        <f>BY97*VLOOKUP('Données projet'!$B$12,Paramètres!$A$1:$I$89,3,0)*VLOOKUP('Données projet'!$B$12,Paramètres!$A$1:$I$89,5,0)</f>
        <v>247.55328000000031</v>
      </c>
      <c r="CA97" s="13">
        <f t="shared" si="93"/>
        <v>60.061713068870304</v>
      </c>
      <c r="CB97" s="20">
        <f t="shared" si="64"/>
        <v>535.76277959494962</v>
      </c>
      <c r="CC97" s="59">
        <f t="shared" si="65"/>
        <v>829.09611292828299</v>
      </c>
      <c r="CD97" s="59">
        <f ca="1">AVERAGE(OFFSET($CC$3,0,0,'Données projet'!$E$12+1,1))-AVERAGE(OFFSET($H$3,0,0,'Données projet'!$E$12+1,1))</f>
        <v>237.22177246688199</v>
      </c>
      <c r="CE97" s="59">
        <f t="shared" si="94"/>
        <v>149.27472147904302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0.52669114569809106</v>
      </c>
      <c r="CM97" s="21">
        <f>EXP(-LN(2)/2)*CM96+(1-EXP(-LN(2)/2))/(LN(2)/2)*CG97*CJ97*VLOOKUP('Données projet'!$B$12,Paramètres!$A$1:$I$89,3,0)*0.475*44/12</f>
        <v>1.4410698447442677E-9</v>
      </c>
      <c r="CN97" s="22">
        <f t="shared" si="66"/>
        <v>0.52669114713916088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-5.6843418860808015E-13</v>
      </c>
      <c r="CU97" s="17">
        <f>CT97*VLOOKUP('Données projet'!$B$13,Paramètres!$A$1:$I$89,3,0)*VLOOKUP('Données projet'!$B$13,Paramètres!$A$1:$I$89,5,0)</f>
        <v>-3.177547114319168E-13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326.31232746914907</v>
      </c>
      <c r="CZ97" s="59">
        <f t="shared" si="96"/>
        <v>330.17137761430297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1.2860742040294026</v>
      </c>
      <c r="DG97" s="21">
        <f>EXP(-LN(2)/25)*DG96+(1-EXP(-LN(2)/25))/(LN(2)/25)*Calculateur!DB97*Calculateur!DD97*VLOOKUP('Données projet'!$B$13,Paramètres!$A$1:$I$89,3,0)*0.475*44/12</f>
        <v>5.1165940241187862</v>
      </c>
      <c r="DH97" s="21">
        <f>EXP(-LN(2)/2)*DH96+(1-EXP(-LN(2)/2))/(LN(2)/2)*DB97*DE97*VLOOKUP('Données projet'!$B$13,Paramètres!$A$1:$I$89,3,0)*0.475*44/12</f>
        <v>7.5721387682564654E-9</v>
      </c>
      <c r="DI97" s="22">
        <f t="shared" si="69"/>
        <v>6.4026682357203271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6.2527760746888816E-13</v>
      </c>
      <c r="DP97" s="17">
        <f>DO97*VLOOKUP('Données projet'!$B$14,Paramètres!$A$1:$I$89,3,0)*VLOOKUP('Données projet'!$B$14,Paramètres!$A$1:$I$89,5,0)</f>
        <v>3.9017322706058616E-13</v>
      </c>
      <c r="DQ97" s="13">
        <f t="shared" si="97"/>
        <v>5.0025007393608908E-12</v>
      </c>
      <c r="DR97" s="20">
        <f t="shared" si="70"/>
        <v>9.3922404915174053E-12</v>
      </c>
      <c r="DS97" s="59">
        <f t="shared" si="71"/>
        <v>293.33333333334269</v>
      </c>
      <c r="DT97" s="59">
        <f ca="1">AVERAGE(OFFSET($DS$3,0,0,'Données projet'!$E$14+1,1))-AVERAGE(OFFSET($H$3,0,0,'Données projet'!$E$14+1,1))</f>
        <v>209.93608079129638</v>
      </c>
      <c r="DU97" s="59">
        <f t="shared" si="98"/>
        <v>240.15652428700969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1.9576605219897854</v>
      </c>
      <c r="EB97" s="21">
        <f>EXP(-LN(2)/25)*EB96+(1-EXP(-LN(2)/25))/(LN(2)/25)*Calculateur!DW97*Calculateur!DY97*VLOOKUP('Données projet'!$B$14,Paramètres!$A$1:$I$89,3,0)*0.475*44/12</f>
        <v>3.525120821561627</v>
      </c>
      <c r="EC97" s="21">
        <f>EXP(-LN(2)/2)*EC96+(1-EXP(-LN(2)/2))/(LN(2)/2)*DW97*DZ97*VLOOKUP('Données projet'!$B$14,Paramètres!$A$1:$I$89,3,0)*0.475*44/12</f>
        <v>4.7010405696265176E-9</v>
      </c>
      <c r="ED97" s="22">
        <f t="shared" si="72"/>
        <v>5.4827813482524528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-4.5474735088646412E-13</v>
      </c>
      <c r="EK97" s="17">
        <f>EJ97*VLOOKUP('Données projet'!$B$15,Paramètres!$A$1:$I$89,3,0)*VLOOKUP('Données projet'!$B$15,Paramètres!$A$1:$I$89,5,0)</f>
        <v>-2.7193891583010558E-13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216.94426559495264</v>
      </c>
      <c r="EP97" s="59">
        <f t="shared" si="100"/>
        <v>225.33715877618704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0</v>
      </c>
      <c r="EW97" s="21">
        <f>EXP(-LN(2)/25)*EW96+(1-EXP(-LN(2)/25))/(LN(2)/25)*Calculateur!ER97*Calculateur!ET97*VLOOKUP('Données projet'!$B$15,Paramètres!$A$1:$I$89,3,0)*0.475*44/12</f>
        <v>2.1789208173694612</v>
      </c>
      <c r="EX97" s="21">
        <f>EXP(-LN(2)/2)*EX96+(1-EXP(-LN(2)/2))/(LN(2)/2)*ER97*EU97*VLOOKUP('Données projet'!$B$15,Paramètres!$A$1:$I$89,3,0)*0.475*44/12</f>
        <v>5.5249221329155777E-9</v>
      </c>
      <c r="EY97" s="22">
        <f t="shared" si="75"/>
        <v>2.1789208228943835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>
        <f>FE97*VLOOKUP('Données projet'!$B$16,Paramètres!$A$1:$I$89,3,0)*VLOOKUP('Données projet'!$B$16,Paramètres!$A$1:$I$89,5,0)</f>
        <v>0</v>
      </c>
      <c r="FG97" s="13" t="e">
        <f t="shared" si="101"/>
        <v>#NUM!</v>
      </c>
      <c r="FH97" s="20" t="e">
        <f t="shared" si="76"/>
        <v>#NUM!</v>
      </c>
      <c r="FI97" s="59" t="e">
        <f t="shared" si="77"/>
        <v>#NUM!</v>
      </c>
      <c r="FJ97" s="59">
        <f ca="1">AVERAGE(OFFSET($FI$3,0,0,'Données projet'!$E$16+1,1))-AVERAGE(OFFSET($H$3,0,0,'Données projet'!$E$16+1,1))</f>
        <v>168.08890945052406</v>
      </c>
      <c r="FK97" s="59">
        <f t="shared" si="102"/>
        <v>182.52462557642343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1.7490211804052436</v>
      </c>
      <c r="FR97" s="21">
        <f>EXP(-LN(2)/25)*FR96+(1-EXP(-LN(2)/25))/(LN(2)/25)*Calculateur!FM97*Calculateur!FO97*VLOOKUP('Données projet'!$B$16,Paramètres!$A$1:$I$89,3,0)*0.475*44/12</f>
        <v>2.0910160280313681</v>
      </c>
      <c r="FS97" s="21">
        <f>EXP(-LN(2)/2)*FS96+(1-EXP(-LN(2)/2))/(LN(2)/2)*FM97*FP97*VLOOKUP('Données projet'!$B$16,Paramètres!$A$1:$I$89,3,0)*0.475*44/12</f>
        <v>1.2679240605966586E-9</v>
      </c>
      <c r="FT97" s="22">
        <f t="shared" si="78"/>
        <v>3.8400372097045357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-5.6843418860808015E-14</v>
      </c>
      <c r="GA97" s="17">
        <f>FZ97*VLOOKUP('Données projet'!$B$17,Paramètres!$A$1:$I$89,3,0)*VLOOKUP('Données projet'!$B$17,Paramètres!$A$1:$I$89,5,0)</f>
        <v>-3.2514435588382188E-14</v>
      </c>
      <c r="GB97" s="13" t="e">
        <f t="shared" si="103"/>
        <v>#NUM!</v>
      </c>
      <c r="GC97" s="20" t="e">
        <f t="shared" si="79"/>
        <v>#NUM!</v>
      </c>
      <c r="GD97" s="59" t="e">
        <f t="shared" si="80"/>
        <v>#NUM!</v>
      </c>
      <c r="GE97" s="59">
        <f ca="1">AVERAGE(OFFSET($GD$3,0,0,'Données projet'!$E$17+1,1))-AVERAGE(OFFSET($H$3,0,0,'Données projet'!$E$17+1,1))</f>
        <v>196.95560009657527</v>
      </c>
      <c r="GF97" s="59">
        <f t="shared" si="104"/>
        <v>168.90186968005662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0</v>
      </c>
      <c r="GM97" s="21">
        <f>EXP(-LN(2)/25)*GM96+(1-EXP(-LN(2)/25))/(LN(2)/25)*Calculateur!GH97*Calculateur!GJ97*VLOOKUP('Données projet'!$B$17,Paramètres!$A$1:$I$89,3,0)*0.475*44/12</f>
        <v>1.5653414711285993</v>
      </c>
      <c r="GN97" s="21">
        <f>EXP(-LN(2)/2)*GN96+(1-EXP(-LN(2)/2))/(LN(2)/2)*GH97*GK97*VLOOKUP('Données projet'!$B$17,Paramètres!$A$1:$I$89,3,0)*0.475*44/12</f>
        <v>2.9941039048658621E-9</v>
      </c>
      <c r="GO97" s="21">
        <f t="shared" si="81"/>
        <v>1.5653414741227032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18.5</v>
      </c>
      <c r="N98" s="13">
        <f>IF('Données projet'!$A$36&gt;35,N97+M98-V97,IF(A98&lt;'Données projet'!$A$36,$K$205^A98,IF(A98='Données projet'!$A$36,'Données projet'!$B$36,N97+M98-V97)))</f>
        <v>633.69999999999993</v>
      </c>
      <c r="O98" s="13">
        <f>N98*VLOOKUP('Données projet'!$B$9,Paramètres!$A$1:$I$89,3,0)*VLOOKUP('Données projet'!$B$9,Paramètres!$A$1:$I$89,5,0)</f>
        <v>296.57159999999999</v>
      </c>
      <c r="P98" s="13">
        <f t="shared" si="87"/>
        <v>70.457259073622822</v>
      </c>
      <c r="Q98" s="20">
        <f t="shared" si="54"/>
        <v>639.24192955322633</v>
      </c>
      <c r="R98" s="59">
        <f t="shared" si="55"/>
        <v>932.57526288655959</v>
      </c>
      <c r="S98" s="59">
        <f ca="1">AVERAGE(OFFSET($R$3,0,0,'Données projet'!$E$9+1,1))-AVERAGE(OFFSET($H$3,0,0,'Données projet'!$E$9+1,1))</f>
        <v>215.23235148064941</v>
      </c>
      <c r="T98" s="59">
        <f t="shared" si="88"/>
        <v>184.07239726900434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0.8652146690812621</v>
      </c>
      <c r="AA98" s="21">
        <f>EXP(-LN(2)/25)*AA97+(1-EXP(-LN(2)/25))/(LN(2)/25)*Calculateur!V98*Calculateur!X98*VLOOKUP('Données projet'!$B$9,Paramètres!$A$1:$I$89,3,0)*0.475*44/12</f>
        <v>1.2956684197360684</v>
      </c>
      <c r="AB98" s="21">
        <f>EXP(-LN(2)/2)*AB97+(1-EXP(-LN(2)/2))/(LN(2)/2)*V98*Y98*VLOOKUP('Données projet'!$B$9,Paramètres!$A$1:$I$89,3,0)*0.475*44/12</f>
        <v>1.6187314556539471E-9</v>
      </c>
      <c r="AC98" s="22">
        <f t="shared" si="57"/>
        <v>2.1608830904360619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5.6843418860808015E-14</v>
      </c>
      <c r="AJ98" s="13">
        <f>AI98*VLOOKUP('Données projet'!$B$10,Paramètres!$A$1:$I$89,3,0)*VLOOKUP('Données projet'!$B$10,Paramètres!$A$1:$I$89,5,0)</f>
        <v>4.1677594708744434E-14</v>
      </c>
      <c r="AK98" s="13">
        <f t="shared" si="89"/>
        <v>6.9326303456159188E-13</v>
      </c>
      <c r="AL98" s="20">
        <f t="shared" si="58"/>
        <v>1.2800215959791691E-12</v>
      </c>
      <c r="AM98" s="59">
        <f t="shared" si="59"/>
        <v>293.33333333333462</v>
      </c>
      <c r="AN98" s="59">
        <f ca="1">AVERAGE(OFFSET($AM$3,0,0,'Données projet'!$E$10+1,1))-AVERAGE(OFFSET($H$3,0,0,'Données projet'!$E$10+1,1))</f>
        <v>178.12968684094687</v>
      </c>
      <c r="AO98" s="59">
        <f t="shared" si="90"/>
        <v>219.36004077210373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1.268122245658164</v>
      </c>
      <c r="AW98" s="21">
        <f>EXP(-LN(2)/2)*AW97+(1-EXP(-LN(2)/2))/(LN(2)/2)*AQ98*AT98*VLOOKUP('Données projet'!$B$10,Paramètres!$A$1:$I$89,3,0)*0.475*44/12</f>
        <v>1.6327811927840872E-9</v>
      </c>
      <c r="AX98" s="21">
        <f t="shared" si="60"/>
        <v>1.2681222472909452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-5.6843418860808015E-14</v>
      </c>
      <c r="BE98" s="13">
        <f>BD98*VLOOKUP('Données projet'!$B$11,Paramètres!$A$1:$I$89,3,0)*VLOOKUP('Données projet'!$B$11,Paramètres!$A$1:$I$89,5,0)</f>
        <v>-4.9658410716801891E-14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114.02623091248347</v>
      </c>
      <c r="BJ98" s="59">
        <f t="shared" si="92"/>
        <v>185.51554083721635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0.53872898587146445</v>
      </c>
      <c r="BQ98" s="21">
        <f>EXP(-LN(2)/25)*BQ97+(1-EXP(-LN(2)/25))/(LN(2)/25)*Calculateur!BL98*Calculateur!BN98*VLOOKUP('Données projet'!$B$11,Paramètres!$A$1:$I$89,3,0)*0.475*44/12</f>
        <v>1.8565691593976954</v>
      </c>
      <c r="BR98" s="21">
        <f>EXP(-LN(2)/2)*BR97+(1-EXP(-LN(2)/2))/(LN(2)/2)*BL98*BO98*VLOOKUP('Données projet'!$B$11,Paramètres!$A$1:$I$89,3,0)*0.475*44/12</f>
        <v>2.9040616571784281E-9</v>
      </c>
      <c r="BS98" s="22">
        <f t="shared" si="63"/>
        <v>2.3952981481732212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4.9000000000000004</v>
      </c>
      <c r="BY98" s="12">
        <f>IF('Données projet'!$A$114&gt;35,BY97+BX98-CG97,IF(A98&lt;'Données projet'!$A$114,$BV$205^A98,IF(A98='Données projet'!$A$114,'Données projet'!$B$114,BY97+BX98-CG97)))</f>
        <v>278.50000000000034</v>
      </c>
      <c r="BZ98" s="13">
        <f>BY98*VLOOKUP('Données projet'!$B$12,Paramètres!$A$1:$I$89,3,0)*VLOOKUP('Données projet'!$B$12,Paramètres!$A$1:$I$89,5,0)</f>
        <v>251.98680000000033</v>
      </c>
      <c r="CA98" s="13">
        <f t="shared" si="93"/>
        <v>61.011187970195103</v>
      </c>
      <c r="CB98" s="20">
        <f t="shared" si="64"/>
        <v>545.13816238142374</v>
      </c>
      <c r="CC98" s="59">
        <f t="shared" si="65"/>
        <v>838.47149571475711</v>
      </c>
      <c r="CD98" s="59">
        <f ca="1">AVERAGE(OFFSET($CC$3,0,0,'Données projet'!$E$12+1,1))-AVERAGE(OFFSET($H$3,0,0,'Données projet'!$E$12+1,1))</f>
        <v>237.22177246688199</v>
      </c>
      <c r="CE98" s="59">
        <f t="shared" si="94"/>
        <v>149.27472147904302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0.51228874862149321</v>
      </c>
      <c r="CM98" s="21">
        <f>EXP(-LN(2)/2)*CM97+(1-EXP(-LN(2)/2))/(LN(2)/2)*CG98*CJ98*VLOOKUP('Données projet'!$B$12,Paramètres!$A$1:$I$89,3,0)*0.475*44/12</f>
        <v>1.0189902593821169E-9</v>
      </c>
      <c r="CN98" s="22">
        <f t="shared" si="66"/>
        <v>0.51228874964048343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-5.6843418860808015E-13</v>
      </c>
      <c r="CU98" s="17">
        <f>CT98*VLOOKUP('Données projet'!$B$13,Paramètres!$A$1:$I$89,3,0)*VLOOKUP('Données projet'!$B$13,Paramètres!$A$1:$I$89,5,0)</f>
        <v>-3.177547114319168E-13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326.31232746914907</v>
      </c>
      <c r="CZ98" s="59">
        <f t="shared" si="96"/>
        <v>330.17137761430297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1.2608550733161947</v>
      </c>
      <c r="DG98" s="21">
        <f>EXP(-LN(2)/25)*DG97+(1-EXP(-LN(2)/25))/(LN(2)/25)*Calculateur!DB98*Calculateur!DD98*VLOOKUP('Données projet'!$B$13,Paramètres!$A$1:$I$89,3,0)*0.475*44/12</f>
        <v>4.9766804914592724</v>
      </c>
      <c r="DH98" s="21">
        <f>EXP(-LN(2)/2)*DH97+(1-EXP(-LN(2)/2))/(LN(2)/2)*DB98*DE98*VLOOKUP('Données projet'!$B$13,Paramètres!$A$1:$I$89,3,0)*0.475*44/12</f>
        <v>5.3543106711196979E-9</v>
      </c>
      <c r="DI98" s="22">
        <f t="shared" si="69"/>
        <v>6.2375355701297774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6.2527760746888816E-13</v>
      </c>
      <c r="DP98" s="17">
        <f>DO98*VLOOKUP('Données projet'!$B$14,Paramètres!$A$1:$I$89,3,0)*VLOOKUP('Données projet'!$B$14,Paramètres!$A$1:$I$89,5,0)</f>
        <v>3.9017322706058616E-13</v>
      </c>
      <c r="DQ98" s="13">
        <f t="shared" si="97"/>
        <v>5.0025007393608908E-12</v>
      </c>
      <c r="DR98" s="20">
        <f t="shared" si="70"/>
        <v>9.3922404915174053E-12</v>
      </c>
      <c r="DS98" s="59">
        <f t="shared" si="71"/>
        <v>293.33333333334269</v>
      </c>
      <c r="DT98" s="59">
        <f ca="1">AVERAGE(OFFSET($DS$3,0,0,'Données projet'!$E$14+1,1))-AVERAGE(OFFSET($H$3,0,0,'Données projet'!$E$14+1,1))</f>
        <v>209.93608079129638</v>
      </c>
      <c r="DU98" s="59">
        <f t="shared" si="98"/>
        <v>240.15652428700969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1.9192719932085809</v>
      </c>
      <c r="EB98" s="21">
        <f>EXP(-LN(2)/25)*EB97+(1-EXP(-LN(2)/25))/(LN(2)/25)*Calculateur!DW98*Calculateur!DY98*VLOOKUP('Données projet'!$B$14,Paramètres!$A$1:$I$89,3,0)*0.475*44/12</f>
        <v>3.4287262073179772</v>
      </c>
      <c r="EC98" s="21">
        <f>EXP(-LN(2)/2)*EC97+(1-EXP(-LN(2)/2))/(LN(2)/2)*DW98*DZ98*VLOOKUP('Données projet'!$B$14,Paramètres!$A$1:$I$89,3,0)*0.475*44/12</f>
        <v>3.3241376654159808E-9</v>
      </c>
      <c r="ED98" s="22">
        <f t="shared" si="72"/>
        <v>5.347998203850695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-4.5474735088646412E-13</v>
      </c>
      <c r="EK98" s="17">
        <f>EJ98*VLOOKUP('Données projet'!$B$15,Paramètres!$A$1:$I$89,3,0)*VLOOKUP('Données projet'!$B$15,Paramètres!$A$1:$I$89,5,0)</f>
        <v>-2.7193891583010558E-13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216.94426559495264</v>
      </c>
      <c r="EP98" s="59">
        <f t="shared" si="100"/>
        <v>225.33715877618704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0</v>
      </c>
      <c r="EW98" s="21">
        <f>EXP(-LN(2)/25)*EW97+(1-EXP(-LN(2)/25))/(LN(2)/25)*Calculateur!ER98*Calculateur!ET98*VLOOKUP('Données projet'!$B$15,Paramètres!$A$1:$I$89,3,0)*0.475*44/12</f>
        <v>2.1193381130340274</v>
      </c>
      <c r="EX98" s="21">
        <f>EXP(-LN(2)/2)*EX97+(1-EXP(-LN(2)/2))/(LN(2)/2)*ER98*EU98*VLOOKUP('Données projet'!$B$15,Paramètres!$A$1:$I$89,3,0)*0.475*44/12</f>
        <v>3.9067099057122488E-9</v>
      </c>
      <c r="EY98" s="22">
        <f t="shared" si="75"/>
        <v>2.1193381169407375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>
        <f>FE98*VLOOKUP('Données projet'!$B$16,Paramètres!$A$1:$I$89,3,0)*VLOOKUP('Données projet'!$B$16,Paramètres!$A$1:$I$89,5,0)</f>
        <v>0</v>
      </c>
      <c r="FG98" s="13" t="e">
        <f t="shared" si="101"/>
        <v>#NUM!</v>
      </c>
      <c r="FH98" s="20" t="e">
        <f t="shared" si="76"/>
        <v>#NUM!</v>
      </c>
      <c r="FI98" s="59" t="e">
        <f t="shared" si="77"/>
        <v>#NUM!</v>
      </c>
      <c r="FJ98" s="59">
        <f ca="1">AVERAGE(OFFSET($FI$3,0,0,'Données projet'!$E$16+1,1))-AVERAGE(OFFSET($H$3,0,0,'Données projet'!$E$16+1,1))</f>
        <v>168.08890945052406</v>
      </c>
      <c r="FK98" s="59">
        <f t="shared" si="102"/>
        <v>182.52462557642343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1.7147239418550793</v>
      </c>
      <c r="FR98" s="21">
        <f>EXP(-LN(2)/25)*FR97+(1-EXP(-LN(2)/25))/(LN(2)/25)*Calculateur!FM98*Calculateur!FO98*VLOOKUP('Données projet'!$B$16,Paramètres!$A$1:$I$89,3,0)*0.475*44/12</f>
        <v>2.0338370847830967</v>
      </c>
      <c r="FS98" s="21">
        <f>EXP(-LN(2)/2)*FS97+(1-EXP(-LN(2)/2))/(LN(2)/2)*FM98*FP98*VLOOKUP('Données projet'!$B$16,Paramètres!$A$1:$I$89,3,0)*0.475*44/12</f>
        <v>8.9655770127748031E-10</v>
      </c>
      <c r="FT98" s="22">
        <f t="shared" si="78"/>
        <v>3.7485610275347332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-5.6843418860808015E-14</v>
      </c>
      <c r="GA98" s="17">
        <f>FZ98*VLOOKUP('Données projet'!$B$17,Paramètres!$A$1:$I$89,3,0)*VLOOKUP('Données projet'!$B$17,Paramètres!$A$1:$I$89,5,0)</f>
        <v>-3.2514435588382188E-14</v>
      </c>
      <c r="GB98" s="13" t="e">
        <f t="shared" si="103"/>
        <v>#NUM!</v>
      </c>
      <c r="GC98" s="20" t="e">
        <f t="shared" si="79"/>
        <v>#NUM!</v>
      </c>
      <c r="GD98" s="59" t="e">
        <f t="shared" si="80"/>
        <v>#NUM!</v>
      </c>
      <c r="GE98" s="59">
        <f ca="1">AVERAGE(OFFSET($GD$3,0,0,'Données projet'!$E$17+1,1))-AVERAGE(OFFSET($H$3,0,0,'Données projet'!$E$17+1,1))</f>
        <v>196.95560009657527</v>
      </c>
      <c r="GF98" s="59">
        <f t="shared" si="104"/>
        <v>168.90186968005662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0</v>
      </c>
      <c r="GM98" s="21">
        <f>EXP(-LN(2)/25)*GM97+(1-EXP(-LN(2)/25))/(LN(2)/25)*Calculateur!GH98*Calculateur!GJ98*VLOOKUP('Données projet'!$B$17,Paramètres!$A$1:$I$89,3,0)*0.475*44/12</f>
        <v>1.5225371262828575</v>
      </c>
      <c r="GN98" s="21">
        <f>EXP(-LN(2)/2)*GN97+(1-EXP(-LN(2)/2))/(LN(2)/2)*GH98*GK98*VLOOKUP('Données projet'!$B$17,Paramètres!$A$1:$I$89,3,0)*0.475*44/12</f>
        <v>2.1171511747077726E-9</v>
      </c>
      <c r="GO98" s="21">
        <f t="shared" si="81"/>
        <v>1.5225371284000087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18.5</v>
      </c>
      <c r="N99" s="13">
        <f>IF('Données projet'!$A$36&gt;35,N98+M99-V98,IF(A99&lt;'Données projet'!$A$36,$K$205^A99,IF(A99='Données projet'!$A$36,'Données projet'!$B$36,N98+M99-V98)))</f>
        <v>652.19999999999993</v>
      </c>
      <c r="O99" s="13">
        <f>N99*VLOOKUP('Données projet'!$B$9,Paramètres!$A$1:$I$89,3,0)*VLOOKUP('Données projet'!$B$9,Paramètres!$A$1:$I$89,5,0)</f>
        <v>305.22959999999995</v>
      </c>
      <c r="P99" s="13">
        <f t="shared" si="87"/>
        <v>72.271683388093081</v>
      </c>
      <c r="Q99" s="20">
        <f t="shared" ref="Q99:Q130" si="107">(O99+P99)*0.475*44/12</f>
        <v>657.48140190092874</v>
      </c>
      <c r="R99" s="59">
        <f t="shared" si="55"/>
        <v>950.81473523426212</v>
      </c>
      <c r="S99" s="59">
        <f ca="1">AVERAGE(OFFSET($R$3,0,0,'Données projet'!$E$9+1,1))-AVERAGE(OFFSET($H$3,0,0,'Données projet'!$E$9+1,1))</f>
        <v>215.23235148064941</v>
      </c>
      <c r="T99" s="59">
        <f t="shared" si="88"/>
        <v>184.07239726900434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0.84824833714941783</v>
      </c>
      <c r="AA99" s="21">
        <f>EXP(-LN(2)/25)*AA98+(1-EXP(-LN(2)/25))/(LN(2)/25)*Calculateur!V99*Calculateur!X99*VLOOKUP('Données projet'!$B$9,Paramètres!$A$1:$I$89,3,0)*0.475*44/12</f>
        <v>1.2602382986621448</v>
      </c>
      <c r="AB99" s="21">
        <f>EXP(-LN(2)/2)*AB98+(1-EXP(-LN(2)/2))/(LN(2)/2)*V99*Y99*VLOOKUP('Données projet'!$B$9,Paramètres!$A$1:$I$89,3,0)*0.475*44/12</f>
        <v>1.1446159892128771E-9</v>
      </c>
      <c r="AC99" s="22">
        <f t="shared" si="57"/>
        <v>2.1084866369561786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5.6843418860808015E-14</v>
      </c>
      <c r="AJ99" s="13">
        <f>AI99*VLOOKUP('Données projet'!$B$10,Paramètres!$A$1:$I$89,3,0)*VLOOKUP('Données projet'!$B$10,Paramètres!$A$1:$I$89,5,0)</f>
        <v>4.1677594708744434E-14</v>
      </c>
      <c r="AK99" s="13">
        <f t="shared" si="89"/>
        <v>6.9326303456159188E-13</v>
      </c>
      <c r="AL99" s="20">
        <f t="shared" si="58"/>
        <v>1.2800215959791691E-12</v>
      </c>
      <c r="AM99" s="59">
        <f t="shared" si="59"/>
        <v>293.33333333333462</v>
      </c>
      <c r="AN99" s="59">
        <f ca="1">AVERAGE(OFFSET($AM$3,0,0,'Données projet'!$E$10+1,1))-AVERAGE(OFFSET($H$3,0,0,'Données projet'!$E$10+1,1))</f>
        <v>178.12968684094687</v>
      </c>
      <c r="AO99" s="59">
        <f t="shared" si="90"/>
        <v>219.36004077210373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1.2334453761629909</v>
      </c>
      <c r="AW99" s="21">
        <f>EXP(-LN(2)/2)*AW98+(1-EXP(-LN(2)/2))/(LN(2)/2)*AQ99*AT99*VLOOKUP('Données projet'!$B$10,Paramètres!$A$1:$I$89,3,0)*0.475*44/12</f>
        <v>1.1545506536114876E-9</v>
      </c>
      <c r="AX99" s="21">
        <f t="shared" si="60"/>
        <v>1.2334453773175416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-5.6843418860808015E-14</v>
      </c>
      <c r="BE99" s="13">
        <f>BD99*VLOOKUP('Données projet'!$B$11,Paramètres!$A$1:$I$89,3,0)*VLOOKUP('Données projet'!$B$11,Paramètres!$A$1:$I$89,5,0)</f>
        <v>-4.9658410716801891E-14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114.02623091248347</v>
      </c>
      <c r="BJ99" s="59">
        <f t="shared" si="92"/>
        <v>185.51554083721635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0.52816483905076062</v>
      </c>
      <c r="BQ99" s="21">
        <f>EXP(-LN(2)/25)*BQ98+(1-EXP(-LN(2)/25))/(LN(2)/25)*Calculateur!BL99*Calculateur!BN99*VLOOKUP('Données projet'!$B$11,Paramètres!$A$1:$I$89,3,0)*0.475*44/12</f>
        <v>1.8058011781012366</v>
      </c>
      <c r="BR99" s="21">
        <f>EXP(-LN(2)/2)*BR98+(1-EXP(-LN(2)/2))/(LN(2)/2)*BL99*BO99*VLOOKUP('Données projet'!$B$11,Paramètres!$A$1:$I$89,3,0)*0.475*44/12</f>
        <v>2.0534816907747093E-9</v>
      </c>
      <c r="BS99" s="22">
        <f t="shared" si="63"/>
        <v>2.3339660192054792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4.9000000000000004</v>
      </c>
      <c r="BY99" s="12">
        <f>IF('Données projet'!$A$114&gt;35,BY98+BX99-CG98,IF(A99&lt;'Données projet'!$A$114,$BV$205^A99,IF(A99='Données projet'!$A$114,'Données projet'!$B$114,BY98+BX99-CG98)))</f>
        <v>283.40000000000032</v>
      </c>
      <c r="BZ99" s="13">
        <f>BY99*VLOOKUP('Données projet'!$B$12,Paramètres!$A$1:$I$89,3,0)*VLOOKUP('Données projet'!$B$12,Paramètres!$A$1:$I$89,5,0)</f>
        <v>256.42032000000029</v>
      </c>
      <c r="CA99" s="13">
        <f t="shared" si="93"/>
        <v>61.958720258016967</v>
      </c>
      <c r="CB99" s="20">
        <f t="shared" si="64"/>
        <v>554.51016178271334</v>
      </c>
      <c r="CC99" s="59">
        <f t="shared" si="65"/>
        <v>847.8434951160466</v>
      </c>
      <c r="CD99" s="59">
        <f ca="1">AVERAGE(OFFSET($CC$3,0,0,'Données projet'!$E$12+1,1))-AVERAGE(OFFSET($H$3,0,0,'Données projet'!$E$12+1,1))</f>
        <v>237.22177246688199</v>
      </c>
      <c r="CE99" s="59">
        <f t="shared" si="94"/>
        <v>149.27472147904302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0.49828018585034406</v>
      </c>
      <c r="CM99" s="21">
        <f>EXP(-LN(2)/2)*CM98+(1-EXP(-LN(2)/2))/(LN(2)/2)*CG99*CJ99*VLOOKUP('Données projet'!$B$12,Paramètres!$A$1:$I$89,3,0)*0.475*44/12</f>
        <v>7.2053492237213385E-10</v>
      </c>
      <c r="CN99" s="22">
        <f t="shared" si="66"/>
        <v>0.49828018657087897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-5.6843418860808015E-13</v>
      </c>
      <c r="CU99" s="17">
        <f>CT99*VLOOKUP('Données projet'!$B$13,Paramètres!$A$1:$I$89,3,0)*VLOOKUP('Données projet'!$B$13,Paramètres!$A$1:$I$89,5,0)</f>
        <v>-3.177547114319168E-13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326.31232746914907</v>
      </c>
      <c r="CZ99" s="59">
        <f t="shared" si="96"/>
        <v>330.17137761430297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1.2361304743741219</v>
      </c>
      <c r="DG99" s="21">
        <f>EXP(-LN(2)/25)*DG98+(1-EXP(-LN(2)/25))/(LN(2)/25)*Calculateur!DB99*Calculateur!DD99*VLOOKUP('Données projet'!$B$13,Paramètres!$A$1:$I$89,3,0)*0.475*44/12</f>
        <v>4.8405929017080656</v>
      </c>
      <c r="DH99" s="21">
        <f>EXP(-LN(2)/2)*DH98+(1-EXP(-LN(2)/2))/(LN(2)/2)*DB99*DE99*VLOOKUP('Données projet'!$B$13,Paramètres!$A$1:$I$89,3,0)*0.475*44/12</f>
        <v>3.7860693841282327E-9</v>
      </c>
      <c r="DI99" s="22">
        <f t="shared" si="69"/>
        <v>6.0767233798682563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6.2527760746888816E-13</v>
      </c>
      <c r="DP99" s="17">
        <f>DO99*VLOOKUP('Données projet'!$B$14,Paramètres!$A$1:$I$89,3,0)*VLOOKUP('Données projet'!$B$14,Paramètres!$A$1:$I$89,5,0)</f>
        <v>3.9017322706058616E-13</v>
      </c>
      <c r="DQ99" s="13">
        <f t="shared" si="97"/>
        <v>5.0025007393608908E-12</v>
      </c>
      <c r="DR99" s="20">
        <f t="shared" si="70"/>
        <v>9.3922404915174053E-12</v>
      </c>
      <c r="DS99" s="59">
        <f t="shared" si="71"/>
        <v>293.33333333334269</v>
      </c>
      <c r="DT99" s="59">
        <f ca="1">AVERAGE(OFFSET($DS$3,0,0,'Données projet'!$E$14+1,1))-AVERAGE(OFFSET($H$3,0,0,'Données projet'!$E$14+1,1))</f>
        <v>209.93608079129638</v>
      </c>
      <c r="DU99" s="59">
        <f t="shared" si="98"/>
        <v>240.15652428700969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1.8816362400620854</v>
      </c>
      <c r="EB99" s="21">
        <f>EXP(-LN(2)/25)*EB98+(1-EXP(-LN(2)/25))/(LN(2)/25)*Calculateur!DW99*Calculateur!DY99*VLOOKUP('Données projet'!$B$14,Paramètres!$A$1:$I$89,3,0)*0.475*44/12</f>
        <v>3.3349675088699922</v>
      </c>
      <c r="EC99" s="21">
        <f>EXP(-LN(2)/2)*EC98+(1-EXP(-LN(2)/2))/(LN(2)/2)*DW99*DZ99*VLOOKUP('Données projet'!$B$14,Paramètres!$A$1:$I$89,3,0)*0.475*44/12</f>
        <v>2.3505202848132588E-9</v>
      </c>
      <c r="ED99" s="22">
        <f t="shared" si="72"/>
        <v>5.216603751282598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-4.5474735088646412E-13</v>
      </c>
      <c r="EK99" s="17">
        <f>EJ99*VLOOKUP('Données projet'!$B$15,Paramètres!$A$1:$I$89,3,0)*VLOOKUP('Données projet'!$B$15,Paramètres!$A$1:$I$89,5,0)</f>
        <v>-2.7193891583010558E-13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216.94426559495264</v>
      </c>
      <c r="EP99" s="59">
        <f t="shared" si="100"/>
        <v>225.33715877618704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0</v>
      </c>
      <c r="EW99" s="21">
        <f>EXP(-LN(2)/25)*EW98+(1-EXP(-LN(2)/25))/(LN(2)/25)*Calculateur!ER99*Calculateur!ET99*VLOOKUP('Données projet'!$B$15,Paramètres!$A$1:$I$89,3,0)*0.475*44/12</f>
        <v>2.0613847008819643</v>
      </c>
      <c r="EX99" s="21">
        <f>EXP(-LN(2)/2)*EX98+(1-EXP(-LN(2)/2))/(LN(2)/2)*ER99*EU99*VLOOKUP('Données projet'!$B$15,Paramètres!$A$1:$I$89,3,0)*0.475*44/12</f>
        <v>2.7624610664577889E-9</v>
      </c>
      <c r="EY99" s="22">
        <f t="shared" si="75"/>
        <v>2.0613847036444253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>
        <f>FE99*VLOOKUP('Données projet'!$B$16,Paramètres!$A$1:$I$89,3,0)*VLOOKUP('Données projet'!$B$16,Paramètres!$A$1:$I$89,5,0)</f>
        <v>0</v>
      </c>
      <c r="FG99" s="13" t="e">
        <f t="shared" si="101"/>
        <v>#NUM!</v>
      </c>
      <c r="FH99" s="20" t="e">
        <f t="shared" si="76"/>
        <v>#NUM!</v>
      </c>
      <c r="FI99" s="59" t="e">
        <f t="shared" si="77"/>
        <v>#NUM!</v>
      </c>
      <c r="FJ99" s="59">
        <f ca="1">AVERAGE(OFFSET($FI$3,0,0,'Données projet'!$E$16+1,1))-AVERAGE(OFFSET($H$3,0,0,'Données projet'!$E$16+1,1))</f>
        <v>168.08890945052406</v>
      </c>
      <c r="FK99" s="59">
        <f t="shared" si="102"/>
        <v>182.52462557642343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1.6810992512336338</v>
      </c>
      <c r="FR99" s="21">
        <f>EXP(-LN(2)/25)*FR98+(1-EXP(-LN(2)/25))/(LN(2)/25)*Calculateur!FM99*Calculateur!FO99*VLOOKUP('Données projet'!$B$16,Paramètres!$A$1:$I$89,3,0)*0.475*44/12</f>
        <v>1.978221702744859</v>
      </c>
      <c r="FS99" s="21">
        <f>EXP(-LN(2)/2)*FS98+(1-EXP(-LN(2)/2))/(LN(2)/2)*FM99*FP99*VLOOKUP('Données projet'!$B$16,Paramètres!$A$1:$I$89,3,0)*0.475*44/12</f>
        <v>6.339620302983293E-10</v>
      </c>
      <c r="FT99" s="22">
        <f t="shared" si="78"/>
        <v>3.659320954612455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-5.6843418860808015E-14</v>
      </c>
      <c r="GA99" s="17">
        <f>FZ99*VLOOKUP('Données projet'!$B$17,Paramètres!$A$1:$I$89,3,0)*VLOOKUP('Données projet'!$B$17,Paramètres!$A$1:$I$89,5,0)</f>
        <v>-3.2514435588382188E-14</v>
      </c>
      <c r="GB99" s="13" t="e">
        <f t="shared" si="103"/>
        <v>#NUM!</v>
      </c>
      <c r="GC99" s="20" t="e">
        <f t="shared" si="79"/>
        <v>#NUM!</v>
      </c>
      <c r="GD99" s="59" t="e">
        <f t="shared" si="80"/>
        <v>#NUM!</v>
      </c>
      <c r="GE99" s="59">
        <f ca="1">AVERAGE(OFFSET($GD$3,0,0,'Données projet'!$E$17+1,1))-AVERAGE(OFFSET($H$3,0,0,'Données projet'!$E$17+1,1))</f>
        <v>196.95560009657527</v>
      </c>
      <c r="GF99" s="59">
        <f t="shared" si="104"/>
        <v>168.90186968005662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0</v>
      </c>
      <c r="GM99" s="21">
        <f>EXP(-LN(2)/25)*GM98+(1-EXP(-LN(2)/25))/(LN(2)/25)*Calculateur!GH99*Calculateur!GJ99*VLOOKUP('Données projet'!$B$17,Paramètres!$A$1:$I$89,3,0)*0.475*44/12</f>
        <v>1.4809032684979051</v>
      </c>
      <c r="GN99" s="21">
        <f>EXP(-LN(2)/2)*GN98+(1-EXP(-LN(2)/2))/(LN(2)/2)*GH99*GK99*VLOOKUP('Données projet'!$B$17,Paramètres!$A$1:$I$89,3,0)*0.475*44/12</f>
        <v>1.497051952432931E-9</v>
      </c>
      <c r="GO99" s="21">
        <f t="shared" si="81"/>
        <v>1.4809032699949571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18.5</v>
      </c>
      <c r="N100" s="13">
        <f>IF('Données projet'!$A$36&gt;35,N99+M100-V99,IF(A100&lt;'Données projet'!$A$36,$K$205^A100,IF(A100='Données projet'!$A$36,'Données projet'!$B$36,N99+M100-V99)))</f>
        <v>670.69999999999993</v>
      </c>
      <c r="O100" s="13">
        <f>N100*VLOOKUP('Données projet'!$B$9,Paramètres!$A$1:$I$89,3,0)*VLOOKUP('Données projet'!$B$9,Paramètres!$A$1:$I$89,5,0)</f>
        <v>313.88759999999996</v>
      </c>
      <c r="P100" s="13">
        <f t="shared" si="87"/>
        <v>74.080125962367049</v>
      </c>
      <c r="Q100" s="20">
        <f t="shared" si="107"/>
        <v>675.71045605112249</v>
      </c>
      <c r="R100" s="59">
        <f t="shared" si="55"/>
        <v>969.04378938445575</v>
      </c>
      <c r="S100" s="59">
        <f ca="1">AVERAGE(OFFSET($R$3,0,0,'Données projet'!$E$9+1,1))-AVERAGE(OFFSET($H$3,0,0,'Données projet'!$E$9+1,1))</f>
        <v>215.23235148064941</v>
      </c>
      <c r="T100" s="59">
        <f t="shared" si="88"/>
        <v>184.07239726900434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0.83161470463831633</v>
      </c>
      <c r="AA100" s="21">
        <f>EXP(-LN(2)/25)*AA99+(1-EXP(-LN(2)/25))/(LN(2)/25)*Calculateur!V100*Calculateur!X100*VLOOKUP('Données projet'!$B$9,Paramètres!$A$1:$I$89,3,0)*0.475*44/12</f>
        <v>1.2257770161121766</v>
      </c>
      <c r="AB100" s="21">
        <f>EXP(-LN(2)/2)*AB99+(1-EXP(-LN(2)/2))/(LN(2)/2)*V100*Y100*VLOOKUP('Données projet'!$B$9,Paramètres!$A$1:$I$89,3,0)*0.475*44/12</f>
        <v>8.0936572782697355E-10</v>
      </c>
      <c r="AC100" s="22">
        <f t="shared" si="57"/>
        <v>2.0573917215598589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5.6843418860808015E-14</v>
      </c>
      <c r="AJ100" s="13">
        <f>AI100*VLOOKUP('Données projet'!$B$10,Paramètres!$A$1:$I$89,3,0)*VLOOKUP('Données projet'!$B$10,Paramètres!$A$1:$I$89,5,0)</f>
        <v>4.1677594708744434E-14</v>
      </c>
      <c r="AK100" s="13">
        <f t="shared" si="89"/>
        <v>6.9326303456159188E-13</v>
      </c>
      <c r="AL100" s="20">
        <f t="shared" si="58"/>
        <v>1.2800215959791691E-12</v>
      </c>
      <c r="AM100" s="59">
        <f t="shared" si="59"/>
        <v>293.33333333333462</v>
      </c>
      <c r="AN100" s="59">
        <f ca="1">AVERAGE(OFFSET($AM$3,0,0,'Données projet'!$E$10+1,1))-AVERAGE(OFFSET($H$3,0,0,'Données projet'!$E$10+1,1))</f>
        <v>178.12968684094687</v>
      </c>
      <c r="AO100" s="59">
        <f t="shared" si="90"/>
        <v>219.36004077210373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1.1997167474877406</v>
      </c>
      <c r="AW100" s="21">
        <f>EXP(-LN(2)/2)*AW99+(1-EXP(-LN(2)/2))/(LN(2)/2)*AQ100*AT100*VLOOKUP('Données projet'!$B$10,Paramètres!$A$1:$I$89,3,0)*0.475*44/12</f>
        <v>8.1639059639204361E-10</v>
      </c>
      <c r="AX100" s="21">
        <f t="shared" si="60"/>
        <v>1.1997167483041311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-5.6843418860808015E-14</v>
      </c>
      <c r="BE100" s="13">
        <f>BD100*VLOOKUP('Données projet'!$B$11,Paramètres!$A$1:$I$89,3,0)*VLOOKUP('Données projet'!$B$11,Paramètres!$A$1:$I$89,5,0)</f>
        <v>-4.9658410716801891E-14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114.02623091248347</v>
      </c>
      <c r="BJ100" s="59">
        <f t="shared" si="92"/>
        <v>185.51554083721635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0.5178078487057175</v>
      </c>
      <c r="BQ100" s="21">
        <f>EXP(-LN(2)/25)*BQ99+(1-EXP(-LN(2)/25))/(LN(2)/25)*Calculateur!BL100*Calculateur!BN100*VLOOKUP('Données projet'!$B$11,Paramètres!$A$1:$I$89,3,0)*0.475*44/12</f>
        <v>1.7564214499231017</v>
      </c>
      <c r="BR100" s="21">
        <f>EXP(-LN(2)/2)*BR99+(1-EXP(-LN(2)/2))/(LN(2)/2)*BL100*BO100*VLOOKUP('Données projet'!$B$11,Paramètres!$A$1:$I$89,3,0)*0.475*44/12</f>
        <v>1.4520308285892141E-9</v>
      </c>
      <c r="BS100" s="22">
        <f t="shared" si="63"/>
        <v>2.27422930008085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4.9000000000000004</v>
      </c>
      <c r="BY100" s="12">
        <f>IF('Données projet'!$A$114&gt;35,BY99+BX100-CG99,IF(A100&lt;'Données projet'!$A$114,$BV$205^A100,IF(A100='Données projet'!$A$114,'Données projet'!$B$114,BY99+BX100-CG99)))</f>
        <v>288.3000000000003</v>
      </c>
      <c r="BZ100" s="13">
        <f>BY100*VLOOKUP('Données projet'!$B$12,Paramètres!$A$1:$I$89,3,0)*VLOOKUP('Données projet'!$B$12,Paramètres!$A$1:$I$89,5,0)</f>
        <v>260.85384000000028</v>
      </c>
      <c r="CA100" s="13">
        <f t="shared" si="93"/>
        <v>62.90434739590382</v>
      </c>
      <c r="CB100" s="20">
        <f t="shared" si="64"/>
        <v>563.87884304786633</v>
      </c>
      <c r="CC100" s="59">
        <f t="shared" si="65"/>
        <v>857.2121763811997</v>
      </c>
      <c r="CD100" s="59">
        <f ca="1">AVERAGE(OFFSET($CC$3,0,0,'Données projet'!$E$12+1,1))-AVERAGE(OFFSET($H$3,0,0,'Données projet'!$E$12+1,1))</f>
        <v>237.22177246688199</v>
      </c>
      <c r="CE100" s="59">
        <f t="shared" si="94"/>
        <v>149.27472147904302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0.48465468796485028</v>
      </c>
      <c r="CM100" s="21">
        <f>EXP(-LN(2)/2)*CM99+(1-EXP(-LN(2)/2))/(LN(2)/2)*CG100*CJ100*VLOOKUP('Données projet'!$B$12,Paramètres!$A$1:$I$89,3,0)*0.475*44/12</f>
        <v>5.0949512969105845E-10</v>
      </c>
      <c r="CN100" s="22">
        <f t="shared" si="66"/>
        <v>0.4846546884743454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-5.6843418860808015E-13</v>
      </c>
      <c r="CU100" s="17">
        <f>CT100*VLOOKUP('Données projet'!$B$13,Paramètres!$A$1:$I$89,3,0)*VLOOKUP('Données projet'!$B$13,Paramètres!$A$1:$I$89,5,0)</f>
        <v>-3.177547114319168E-13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326.31232746914907</v>
      </c>
      <c r="CZ100" s="59">
        <f t="shared" si="96"/>
        <v>330.17137761430297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1.2118907097367868</v>
      </c>
      <c r="DG100" s="21">
        <f>EXP(-LN(2)/25)*DG99+(1-EXP(-LN(2)/25))/(LN(2)/25)*Calculateur!DB100*Calculateur!DD100*VLOOKUP('Données projet'!$B$13,Paramètres!$A$1:$I$89,3,0)*0.475*44/12</f>
        <v>4.7082266342551415</v>
      </c>
      <c r="DH100" s="21">
        <f>EXP(-LN(2)/2)*DH99+(1-EXP(-LN(2)/2))/(LN(2)/2)*DB100*DE100*VLOOKUP('Données projet'!$B$13,Paramètres!$A$1:$I$89,3,0)*0.475*44/12</f>
        <v>2.677155335559849E-9</v>
      </c>
      <c r="DI100" s="22">
        <f t="shared" si="69"/>
        <v>5.920117346669084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6.2527760746888816E-13</v>
      </c>
      <c r="DP100" s="17">
        <f>DO100*VLOOKUP('Données projet'!$B$14,Paramètres!$A$1:$I$89,3,0)*VLOOKUP('Données projet'!$B$14,Paramètres!$A$1:$I$89,5,0)</f>
        <v>3.9017322706058616E-13</v>
      </c>
      <c r="DQ100" s="13">
        <f t="shared" si="97"/>
        <v>5.0025007393608908E-12</v>
      </c>
      <c r="DR100" s="20">
        <f t="shared" si="70"/>
        <v>9.3922404915174053E-12</v>
      </c>
      <c r="DS100" s="59">
        <f t="shared" si="71"/>
        <v>293.33333333334269</v>
      </c>
      <c r="DT100" s="59">
        <f ca="1">AVERAGE(OFFSET($DS$3,0,0,'Données projet'!$E$14+1,1))-AVERAGE(OFFSET($H$3,0,0,'Données projet'!$E$14+1,1))</f>
        <v>209.93608079129638</v>
      </c>
      <c r="DU100" s="59">
        <f t="shared" si="98"/>
        <v>240.15652428700969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1.8447385010792499</v>
      </c>
      <c r="EB100" s="21">
        <f>EXP(-LN(2)/25)*EB99+(1-EXP(-LN(2)/25))/(LN(2)/25)*Calculateur!DW100*Calculateur!DY100*VLOOKUP('Données projet'!$B$14,Paramètres!$A$1:$I$89,3,0)*0.475*44/12</f>
        <v>3.2437726469616233</v>
      </c>
      <c r="EC100" s="21">
        <f>EXP(-LN(2)/2)*EC99+(1-EXP(-LN(2)/2))/(LN(2)/2)*DW100*DZ100*VLOOKUP('Données projet'!$B$14,Paramètres!$A$1:$I$89,3,0)*0.475*44/12</f>
        <v>1.6620688327079904E-9</v>
      </c>
      <c r="ED100" s="22">
        <f t="shared" si="72"/>
        <v>5.088511149702942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-4.5474735088646412E-13</v>
      </c>
      <c r="EK100" s="17">
        <f>EJ100*VLOOKUP('Données projet'!$B$15,Paramètres!$A$1:$I$89,3,0)*VLOOKUP('Données projet'!$B$15,Paramètres!$A$1:$I$89,5,0)</f>
        <v>-2.7193891583010558E-13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216.94426559495264</v>
      </c>
      <c r="EP100" s="59">
        <f t="shared" si="100"/>
        <v>225.33715877618704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0</v>
      </c>
      <c r="EW100" s="21">
        <f>EXP(-LN(2)/25)*EW99+(1-EXP(-LN(2)/25))/(LN(2)/25)*Calculateur!ER100*Calculateur!ET100*VLOOKUP('Données projet'!$B$15,Paramètres!$A$1:$I$89,3,0)*0.475*44/12</f>
        <v>2.0050160278328368</v>
      </c>
      <c r="EX100" s="21">
        <f>EXP(-LN(2)/2)*EX99+(1-EXP(-LN(2)/2))/(LN(2)/2)*ER100*EU100*VLOOKUP('Données projet'!$B$15,Paramètres!$A$1:$I$89,3,0)*0.475*44/12</f>
        <v>1.9533549528561244E-9</v>
      </c>
      <c r="EY100" s="22">
        <f t="shared" si="75"/>
        <v>2.0050160297861916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>
        <f>FE100*VLOOKUP('Données projet'!$B$16,Paramètres!$A$1:$I$89,3,0)*VLOOKUP('Données projet'!$B$16,Paramètres!$A$1:$I$89,5,0)</f>
        <v>0</v>
      </c>
      <c r="FG100" s="13" t="e">
        <f t="shared" si="101"/>
        <v>#NUM!</v>
      </c>
      <c r="FH100" s="20" t="e">
        <f t="shared" si="76"/>
        <v>#NUM!</v>
      </c>
      <c r="FI100" s="59" t="e">
        <f t="shared" si="77"/>
        <v>#NUM!</v>
      </c>
      <c r="FJ100" s="59">
        <f ca="1">AVERAGE(OFFSET($FI$3,0,0,'Données projet'!$E$16+1,1))-AVERAGE(OFFSET($H$3,0,0,'Données projet'!$E$16+1,1))</f>
        <v>168.08890945052406</v>
      </c>
      <c r="FK100" s="59">
        <f t="shared" si="102"/>
        <v>182.52462557642343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1.6481339202862386</v>
      </c>
      <c r="FR100" s="21">
        <f>EXP(-LN(2)/25)*FR99+(1-EXP(-LN(2)/25))/(LN(2)/25)*Calculateur!FM100*Calculateur!FO100*VLOOKUP('Données projet'!$B$16,Paramètres!$A$1:$I$89,3,0)*0.475*44/12</f>
        <v>1.9241271262531427</v>
      </c>
      <c r="FS100" s="21">
        <f>EXP(-LN(2)/2)*FS99+(1-EXP(-LN(2)/2))/(LN(2)/2)*FM100*FP100*VLOOKUP('Données projet'!$B$16,Paramètres!$A$1:$I$89,3,0)*0.475*44/12</f>
        <v>4.4827885063874015E-10</v>
      </c>
      <c r="FT100" s="22">
        <f t="shared" si="78"/>
        <v>3.5722610469876601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-5.6843418860808015E-14</v>
      </c>
      <c r="GA100" s="17">
        <f>FZ100*VLOOKUP('Données projet'!$B$17,Paramètres!$A$1:$I$89,3,0)*VLOOKUP('Données projet'!$B$17,Paramètres!$A$1:$I$89,5,0)</f>
        <v>-3.2514435588382188E-14</v>
      </c>
      <c r="GB100" s="13" t="e">
        <f t="shared" si="103"/>
        <v>#NUM!</v>
      </c>
      <c r="GC100" s="20" t="e">
        <f t="shared" si="79"/>
        <v>#NUM!</v>
      </c>
      <c r="GD100" s="59" t="e">
        <f t="shared" si="80"/>
        <v>#NUM!</v>
      </c>
      <c r="GE100" s="59">
        <f ca="1">AVERAGE(OFFSET($GD$3,0,0,'Données projet'!$E$17+1,1))-AVERAGE(OFFSET($H$3,0,0,'Données projet'!$E$17+1,1))</f>
        <v>196.95560009657527</v>
      </c>
      <c r="GF100" s="59">
        <f t="shared" si="104"/>
        <v>168.90186968005662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0</v>
      </c>
      <c r="GM100" s="21">
        <f>EXP(-LN(2)/25)*GM99+(1-EXP(-LN(2)/25))/(LN(2)/25)*Calculateur!GH100*Calculateur!GJ100*VLOOKUP('Données projet'!$B$17,Paramètres!$A$1:$I$89,3,0)*0.475*44/12</f>
        <v>1.4404078907435116</v>
      </c>
      <c r="GN100" s="21">
        <f>EXP(-LN(2)/2)*GN99+(1-EXP(-LN(2)/2))/(LN(2)/2)*GH100*GK100*VLOOKUP('Données projet'!$B$17,Paramètres!$A$1:$I$89,3,0)*0.475*44/12</f>
        <v>1.0585755873538863E-9</v>
      </c>
      <c r="GO100" s="21">
        <f t="shared" si="81"/>
        <v>1.4404078918020873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18.5</v>
      </c>
      <c r="N101" s="13">
        <f>IF('Données projet'!$A$36&gt;35,N100+M101-V100,IF(A101&lt;'Données projet'!$A$36,$K$205^A101,IF(A101='Données projet'!$A$36,'Données projet'!$B$36,N100+M101-V100)))</f>
        <v>689.19999999999993</v>
      </c>
      <c r="O101" s="13">
        <f>N101*VLOOKUP('Données projet'!$B$9,Paramètres!$A$1:$I$89,3,0)*VLOOKUP('Données projet'!$B$9,Paramètres!$A$1:$I$89,5,0)</f>
        <v>322.54559999999998</v>
      </c>
      <c r="P101" s="13">
        <f t="shared" si="87"/>
        <v>75.882770748800752</v>
      </c>
      <c r="Q101" s="20">
        <f t="shared" si="107"/>
        <v>693.92941238749461</v>
      </c>
      <c r="R101" s="59">
        <f t="shared" si="55"/>
        <v>987.26274572082798</v>
      </c>
      <c r="S101" s="59">
        <f ca="1">AVERAGE(OFFSET($R$3,0,0,'Données projet'!$E$9+1,1))-AVERAGE(OFFSET($H$3,0,0,'Données projet'!$E$9+1,1))</f>
        <v>215.23235148064941</v>
      </c>
      <c r="T101" s="59">
        <f t="shared" si="88"/>
        <v>184.07239726900434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0.81530724751524353</v>
      </c>
      <c r="AA101" s="21">
        <f>EXP(-LN(2)/25)*AA100+(1-EXP(-LN(2)/25))/(LN(2)/25)*Calculateur!V101*Calculateur!X101*VLOOKUP('Données projet'!$B$9,Paramètres!$A$1:$I$89,3,0)*0.475*44/12</f>
        <v>1.1922580791457773</v>
      </c>
      <c r="AB101" s="21">
        <f>EXP(-LN(2)/2)*AB100+(1-EXP(-LN(2)/2))/(LN(2)/2)*V101*Y101*VLOOKUP('Données projet'!$B$9,Paramètres!$A$1:$I$89,3,0)*0.475*44/12</f>
        <v>5.7230799460643855E-10</v>
      </c>
      <c r="AC101" s="22">
        <f t="shared" si="57"/>
        <v>2.0075653272333289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5.6843418860808015E-14</v>
      </c>
      <c r="AJ101" s="13">
        <f>AI101*VLOOKUP('Données projet'!$B$10,Paramètres!$A$1:$I$89,3,0)*VLOOKUP('Données projet'!$B$10,Paramètres!$A$1:$I$89,5,0)</f>
        <v>4.1677594708744434E-14</v>
      </c>
      <c r="AK101" s="13">
        <f t="shared" si="89"/>
        <v>6.9326303456159188E-13</v>
      </c>
      <c r="AL101" s="20">
        <f t="shared" si="58"/>
        <v>1.2800215959791691E-12</v>
      </c>
      <c r="AM101" s="59">
        <f t="shared" si="59"/>
        <v>293.33333333333462</v>
      </c>
      <c r="AN101" s="59">
        <f ca="1">AVERAGE(OFFSET($AM$3,0,0,'Données projet'!$E$10+1,1))-AVERAGE(OFFSET($H$3,0,0,'Données projet'!$E$10+1,1))</f>
        <v>178.12968684094687</v>
      </c>
      <c r="AO101" s="59">
        <f t="shared" si="90"/>
        <v>219.36004077210373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1.1669104299373265</v>
      </c>
      <c r="AW101" s="21">
        <f>EXP(-LN(2)/2)*AW100+(1-EXP(-LN(2)/2))/(LN(2)/2)*AQ101*AT101*VLOOKUP('Données projet'!$B$10,Paramètres!$A$1:$I$89,3,0)*0.475*44/12</f>
        <v>5.7727532680574381E-10</v>
      </c>
      <c r="AX101" s="21">
        <f t="shared" si="60"/>
        <v>1.1669104305146019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-5.6843418860808015E-14</v>
      </c>
      <c r="BE101" s="13">
        <f>BD101*VLOOKUP('Données projet'!$B$11,Paramètres!$A$1:$I$89,3,0)*VLOOKUP('Données projet'!$B$11,Paramètres!$A$1:$I$89,5,0)</f>
        <v>-4.9658410716801891E-14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114.02623091248347</v>
      </c>
      <c r="BJ101" s="59">
        <f t="shared" si="92"/>
        <v>185.51554083721635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0.50765395262420032</v>
      </c>
      <c r="BQ101" s="21">
        <f>EXP(-LN(2)/25)*BQ100+(1-EXP(-LN(2)/25))/(LN(2)/25)*Calculateur!BL101*Calculateur!BN101*VLOOKUP('Données projet'!$B$11,Paramètres!$A$1:$I$89,3,0)*0.475*44/12</f>
        <v>1.7083920130087649</v>
      </c>
      <c r="BR101" s="21">
        <f>EXP(-LN(2)/2)*BR100+(1-EXP(-LN(2)/2))/(LN(2)/2)*BL101*BO101*VLOOKUP('Données projet'!$B$11,Paramètres!$A$1:$I$89,3,0)*0.475*44/12</f>
        <v>1.0267408453873547E-9</v>
      </c>
      <c r="BS101" s="22">
        <f t="shared" si="63"/>
        <v>2.2160459666597059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4.9000000000000004</v>
      </c>
      <c r="BY101" s="12">
        <f>IF('Données projet'!$A$114&gt;35,BY100+BX101-CG100,IF(A101&lt;'Données projet'!$A$114,$BV$205^A101,IF(A101='Données projet'!$A$114,'Données projet'!$B$114,BY100+BX101-CG100)))</f>
        <v>293.20000000000027</v>
      </c>
      <c r="BZ101" s="13">
        <f>BY101*VLOOKUP('Données projet'!$B$12,Paramètres!$A$1:$I$89,3,0)*VLOOKUP('Données projet'!$B$12,Paramètres!$A$1:$I$89,5,0)</f>
        <v>265.28736000000026</v>
      </c>
      <c r="CA101" s="13">
        <f t="shared" si="93"/>
        <v>63.848105500970064</v>
      </c>
      <c r="CB101" s="20">
        <f t="shared" si="64"/>
        <v>573.24426908085661</v>
      </c>
      <c r="CC101" s="59">
        <f t="shared" si="65"/>
        <v>866.57760241418987</v>
      </c>
      <c r="CD101" s="59">
        <f ca="1">AVERAGE(OFFSET($CC$3,0,0,'Données projet'!$E$12+1,1))-AVERAGE(OFFSET($H$3,0,0,'Données projet'!$E$12+1,1))</f>
        <v>237.22177246688199</v>
      </c>
      <c r="CE101" s="59">
        <f t="shared" si="94"/>
        <v>149.27472147904302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0.4714017800355691</v>
      </c>
      <c r="CM101" s="21">
        <f>EXP(-LN(2)/2)*CM100+(1-EXP(-LN(2)/2))/(LN(2)/2)*CG101*CJ101*VLOOKUP('Données projet'!$B$12,Paramètres!$A$1:$I$89,3,0)*0.475*44/12</f>
        <v>3.6026746118606693E-10</v>
      </c>
      <c r="CN101" s="22">
        <f t="shared" si="66"/>
        <v>0.47140178039583658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-5.6843418860808015E-13</v>
      </c>
      <c r="CU101" s="17">
        <f>CT101*VLOOKUP('Données projet'!$B$13,Paramètres!$A$1:$I$89,3,0)*VLOOKUP('Données projet'!$B$13,Paramètres!$A$1:$I$89,5,0)</f>
        <v>-3.177547114319168E-13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326.31232746914907</v>
      </c>
      <c r="CZ101" s="59">
        <f t="shared" si="96"/>
        <v>330.17137761430297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1.1881262720991934</v>
      </c>
      <c r="DG101" s="21">
        <f>EXP(-LN(2)/25)*DG100+(1-EXP(-LN(2)/25))/(LN(2)/25)*Calculateur!DB101*Calculateur!DD101*VLOOKUP('Données projet'!$B$13,Paramètres!$A$1:$I$89,3,0)*0.475*44/12</f>
        <v>4.5794799293465571</v>
      </c>
      <c r="DH101" s="21">
        <f>EXP(-LN(2)/2)*DH100+(1-EXP(-LN(2)/2))/(LN(2)/2)*DB101*DE101*VLOOKUP('Données projet'!$B$13,Paramètres!$A$1:$I$89,3,0)*0.475*44/12</f>
        <v>1.8930346920641163E-9</v>
      </c>
      <c r="DI101" s="22">
        <f t="shared" si="69"/>
        <v>5.7676062033387856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6.2527760746888816E-13</v>
      </c>
      <c r="DP101" s="17">
        <f>DO101*VLOOKUP('Données projet'!$B$14,Paramètres!$A$1:$I$89,3,0)*VLOOKUP('Données projet'!$B$14,Paramètres!$A$1:$I$89,5,0)</f>
        <v>3.9017322706058616E-13</v>
      </c>
      <c r="DQ101" s="13">
        <f t="shared" si="97"/>
        <v>5.0025007393608908E-12</v>
      </c>
      <c r="DR101" s="20">
        <f t="shared" si="70"/>
        <v>9.3922404915174053E-12</v>
      </c>
      <c r="DS101" s="59">
        <f t="shared" si="71"/>
        <v>293.33333333334269</v>
      </c>
      <c r="DT101" s="59">
        <f ca="1">AVERAGE(OFFSET($DS$3,0,0,'Données projet'!$E$14+1,1))-AVERAGE(OFFSET($H$3,0,0,'Données projet'!$E$14+1,1))</f>
        <v>209.93608079129638</v>
      </c>
      <c r="DU101" s="59">
        <f t="shared" si="98"/>
        <v>240.15652428700969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1.8085643042524693</v>
      </c>
      <c r="EB101" s="21">
        <f>EXP(-LN(2)/25)*EB100+(1-EXP(-LN(2)/25))/(LN(2)/25)*Calculateur!DW101*Calculateur!DY101*VLOOKUP('Données projet'!$B$14,Paramètres!$A$1:$I$89,3,0)*0.475*44/12</f>
        <v>3.1550715133478677</v>
      </c>
      <c r="EC101" s="21">
        <f>EXP(-LN(2)/2)*EC100+(1-EXP(-LN(2)/2))/(LN(2)/2)*DW101*DZ101*VLOOKUP('Données projet'!$B$14,Paramètres!$A$1:$I$89,3,0)*0.475*44/12</f>
        <v>1.1752601424066294E-9</v>
      </c>
      <c r="ED101" s="22">
        <f t="shared" si="72"/>
        <v>4.9636358187755967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-4.5474735088646412E-13</v>
      </c>
      <c r="EK101" s="17">
        <f>EJ101*VLOOKUP('Données projet'!$B$15,Paramètres!$A$1:$I$89,3,0)*VLOOKUP('Données projet'!$B$15,Paramètres!$A$1:$I$89,5,0)</f>
        <v>-2.7193891583010558E-13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216.94426559495264</v>
      </c>
      <c r="EP101" s="59">
        <f t="shared" si="100"/>
        <v>225.33715877618704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0</v>
      </c>
      <c r="EW101" s="21">
        <f>EXP(-LN(2)/25)*EW100+(1-EXP(-LN(2)/25))/(LN(2)/25)*Calculateur!ER101*Calculateur!ET101*VLOOKUP('Données projet'!$B$15,Paramètres!$A$1:$I$89,3,0)*0.475*44/12</f>
        <v>1.9501887591125375</v>
      </c>
      <c r="EX101" s="21">
        <f>EXP(-LN(2)/2)*EX100+(1-EXP(-LN(2)/2))/(LN(2)/2)*ER101*EU101*VLOOKUP('Données projet'!$B$15,Paramètres!$A$1:$I$89,3,0)*0.475*44/12</f>
        <v>1.3812305332288944E-9</v>
      </c>
      <c r="EY101" s="22">
        <f t="shared" si="75"/>
        <v>1.950188760493768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>
        <f>FE101*VLOOKUP('Données projet'!$B$16,Paramètres!$A$1:$I$89,3,0)*VLOOKUP('Données projet'!$B$16,Paramètres!$A$1:$I$89,5,0)</f>
        <v>0</v>
      </c>
      <c r="FG101" s="13" t="e">
        <f t="shared" si="101"/>
        <v>#NUM!</v>
      </c>
      <c r="FH101" s="20" t="e">
        <f t="shared" si="76"/>
        <v>#NUM!</v>
      </c>
      <c r="FI101" s="59" t="e">
        <f t="shared" si="77"/>
        <v>#NUM!</v>
      </c>
      <c r="FJ101" s="59">
        <f ca="1">AVERAGE(OFFSET($FI$3,0,0,'Données projet'!$E$16+1,1))-AVERAGE(OFFSET($H$3,0,0,'Données projet'!$E$16+1,1))</f>
        <v>168.08890945052406</v>
      </c>
      <c r="FK101" s="59">
        <f t="shared" si="102"/>
        <v>182.52462557642343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1.6158150193718555</v>
      </c>
      <c r="FR101" s="21">
        <f>EXP(-LN(2)/25)*FR100+(1-EXP(-LN(2)/25))/(LN(2)/25)*Calculateur!FM101*Calculateur!FO101*VLOOKUP('Données projet'!$B$16,Paramètres!$A$1:$I$89,3,0)*0.475*44/12</f>
        <v>1.8715117688003027</v>
      </c>
      <c r="FS101" s="21">
        <f>EXP(-LN(2)/2)*FS100+(1-EXP(-LN(2)/2))/(LN(2)/2)*FM101*FP101*VLOOKUP('Données projet'!$B$16,Paramètres!$A$1:$I$89,3,0)*0.475*44/12</f>
        <v>3.1698101514916465E-10</v>
      </c>
      <c r="FT101" s="22">
        <f t="shared" si="78"/>
        <v>3.4873267884891392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-5.6843418860808015E-14</v>
      </c>
      <c r="GA101" s="17">
        <f>FZ101*VLOOKUP('Données projet'!$B$17,Paramètres!$A$1:$I$89,3,0)*VLOOKUP('Données projet'!$B$17,Paramètres!$A$1:$I$89,5,0)</f>
        <v>-3.2514435588382188E-14</v>
      </c>
      <c r="GB101" s="13" t="e">
        <f t="shared" si="103"/>
        <v>#NUM!</v>
      </c>
      <c r="GC101" s="20" t="e">
        <f t="shared" si="79"/>
        <v>#NUM!</v>
      </c>
      <c r="GD101" s="59" t="e">
        <f t="shared" si="80"/>
        <v>#NUM!</v>
      </c>
      <c r="GE101" s="59">
        <f ca="1">AVERAGE(OFFSET($GD$3,0,0,'Données projet'!$E$17+1,1))-AVERAGE(OFFSET($H$3,0,0,'Données projet'!$E$17+1,1))</f>
        <v>196.95560009657527</v>
      </c>
      <c r="GF101" s="59">
        <f t="shared" si="104"/>
        <v>168.90186968005662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0</v>
      </c>
      <c r="GM101" s="21">
        <f>EXP(-LN(2)/25)*GM100+(1-EXP(-LN(2)/25))/(LN(2)/25)*Calculateur!GH101*Calculateur!GJ101*VLOOKUP('Données projet'!$B$17,Paramètres!$A$1:$I$89,3,0)*0.475*44/12</f>
        <v>1.4010198612233713</v>
      </c>
      <c r="GN101" s="21">
        <f>EXP(-LN(2)/2)*GN100+(1-EXP(-LN(2)/2))/(LN(2)/2)*GH101*GK101*VLOOKUP('Données projet'!$B$17,Paramètres!$A$1:$I$89,3,0)*0.475*44/12</f>
        <v>7.4852597621646552E-10</v>
      </c>
      <c r="GO101" s="21">
        <f t="shared" si="81"/>
        <v>1.4010198619718972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18.5</v>
      </c>
      <c r="N102" s="13">
        <f>IF('Données projet'!$A$36&gt;35,N101+M102-V101,IF(A102&lt;'Données projet'!$A$36,$K$205^A102,IF(A102='Données projet'!$A$36,'Données projet'!$B$36,N101+M102-V101)))</f>
        <v>707.69999999999993</v>
      </c>
      <c r="O102" s="13">
        <f>N102*VLOOKUP('Données projet'!$B$9,Paramètres!$A$1:$I$89,3,0)*VLOOKUP('Données projet'!$B$9,Paramètres!$A$1:$I$89,5,0)</f>
        <v>331.20359999999994</v>
      </c>
      <c r="P102" s="13">
        <f t="shared" si="87"/>
        <v>77.67979126195354</v>
      </c>
      <c r="Q102" s="20">
        <f t="shared" si="107"/>
        <v>712.13857311456889</v>
      </c>
      <c r="R102" s="59">
        <f t="shared" si="55"/>
        <v>1005.4719064479023</v>
      </c>
      <c r="S102" s="59">
        <f ca="1">AVERAGE(OFFSET($R$3,0,0,'Données projet'!$E$9+1,1))-AVERAGE(OFFSET($H$3,0,0,'Données projet'!$E$9+1,1))</f>
        <v>215.23235148064941</v>
      </c>
      <c r="T102" s="59">
        <f t="shared" si="88"/>
        <v>184.07239726900434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0.79931956967978746</v>
      </c>
      <c r="AA102" s="21">
        <f>EXP(-LN(2)/25)*AA101+(1-EXP(-LN(2)/25))/(LN(2)/25)*Calculateur!V102*Calculateur!X102*VLOOKUP('Données projet'!$B$9,Paramètres!$A$1:$I$89,3,0)*0.475*44/12</f>
        <v>1.1596557192734085</v>
      </c>
      <c r="AB102" s="21">
        <f>EXP(-LN(2)/2)*AB101+(1-EXP(-LN(2)/2))/(LN(2)/2)*V102*Y102*VLOOKUP('Données projet'!$B$9,Paramètres!$A$1:$I$89,3,0)*0.475*44/12</f>
        <v>4.0468286391348677E-10</v>
      </c>
      <c r="AC102" s="22">
        <f t="shared" si="57"/>
        <v>1.9589752893578789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5.6843418860808015E-14</v>
      </c>
      <c r="AJ102" s="13">
        <f>AI102*VLOOKUP('Données projet'!$B$10,Paramètres!$A$1:$I$89,3,0)*VLOOKUP('Données projet'!$B$10,Paramètres!$A$1:$I$89,5,0)</f>
        <v>4.1677594708744434E-14</v>
      </c>
      <c r="AK102" s="13">
        <f t="shared" si="89"/>
        <v>6.9326303456159188E-13</v>
      </c>
      <c r="AL102" s="20">
        <f t="shared" si="58"/>
        <v>1.2800215959791691E-12</v>
      </c>
      <c r="AM102" s="59">
        <f t="shared" si="59"/>
        <v>293.33333333333462</v>
      </c>
      <c r="AN102" s="59">
        <f ca="1">AVERAGE(OFFSET($AM$3,0,0,'Données projet'!$E$10+1,1))-AVERAGE(OFFSET($H$3,0,0,'Données projet'!$E$10+1,1))</f>
        <v>178.12968684094687</v>
      </c>
      <c r="AO102" s="59">
        <f t="shared" si="90"/>
        <v>219.36004077210373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1.1350012028655379</v>
      </c>
      <c r="AW102" s="21">
        <f>EXP(-LN(2)/2)*AW101+(1-EXP(-LN(2)/2))/(LN(2)/2)*AQ102*AT102*VLOOKUP('Données projet'!$B$10,Paramètres!$A$1:$I$89,3,0)*0.475*44/12</f>
        <v>4.0819529819602181E-10</v>
      </c>
      <c r="AX102" s="21">
        <f t="shared" si="60"/>
        <v>1.1350012032737331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-5.6843418860808015E-14</v>
      </c>
      <c r="BE102" s="13">
        <f>BD102*VLOOKUP('Données projet'!$B$11,Paramètres!$A$1:$I$89,3,0)*VLOOKUP('Données projet'!$B$11,Paramètres!$A$1:$I$89,5,0)</f>
        <v>-4.9658410716801891E-14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114.02623091248347</v>
      </c>
      <c r="BJ102" s="59">
        <f t="shared" si="92"/>
        <v>185.51554083721635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0.49769916825157662</v>
      </c>
      <c r="BQ102" s="21">
        <f>EXP(-LN(2)/25)*BQ101+(1-EXP(-LN(2)/25))/(LN(2)/25)*Calculateur!BL102*Calculateur!BN102*VLOOKUP('Données projet'!$B$11,Paramètres!$A$1:$I$89,3,0)*0.475*44/12</f>
        <v>1.6616759435726087</v>
      </c>
      <c r="BR102" s="21">
        <f>EXP(-LN(2)/2)*BR101+(1-EXP(-LN(2)/2))/(LN(2)/2)*BL102*BO102*VLOOKUP('Données projet'!$B$11,Paramètres!$A$1:$I$89,3,0)*0.475*44/12</f>
        <v>7.2601541429460704E-10</v>
      </c>
      <c r="BS102" s="22">
        <f t="shared" si="63"/>
        <v>2.1593751125502005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4.9000000000000004</v>
      </c>
      <c r="BY102" s="12">
        <f>IF('Données projet'!$A$114&gt;35,BY101+BX102-CG101,IF(A102&lt;'Données projet'!$A$114,$BV$205^A102,IF(A102='Données projet'!$A$114,'Données projet'!$B$114,BY101+BX102-CG101)))</f>
        <v>298.10000000000025</v>
      </c>
      <c r="BZ102" s="13">
        <f>BY102*VLOOKUP('Données projet'!$B$12,Paramètres!$A$1:$I$89,3,0)*VLOOKUP('Données projet'!$B$12,Paramètres!$A$1:$I$89,5,0)</f>
        <v>269.72088000000025</v>
      </c>
      <c r="CA102" s="13">
        <f t="shared" si="93"/>
        <v>64.790029413947011</v>
      </c>
      <c r="CB102" s="20">
        <f t="shared" si="64"/>
        <v>582.60650056262477</v>
      </c>
      <c r="CC102" s="59">
        <f t="shared" si="65"/>
        <v>875.93983389595815</v>
      </c>
      <c r="CD102" s="59">
        <f ca="1">AVERAGE(OFFSET($CC$3,0,0,'Données projet'!$E$12+1,1))-AVERAGE(OFFSET($H$3,0,0,'Données projet'!$E$12+1,1))</f>
        <v>237.22177246688199</v>
      </c>
      <c r="CE102" s="59">
        <f t="shared" si="94"/>
        <v>149.27472147904302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0.45851127357055427</v>
      </c>
      <c r="CM102" s="21">
        <f>EXP(-LN(2)/2)*CM101+(1-EXP(-LN(2)/2))/(LN(2)/2)*CG102*CJ102*VLOOKUP('Données projet'!$B$12,Paramètres!$A$1:$I$89,3,0)*0.475*44/12</f>
        <v>2.5474756484552923E-10</v>
      </c>
      <c r="CN102" s="22">
        <f t="shared" si="66"/>
        <v>0.45851127382530182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-5.6843418860808015E-13</v>
      </c>
      <c r="CU102" s="17">
        <f>CT102*VLOOKUP('Données projet'!$B$13,Paramètres!$A$1:$I$89,3,0)*VLOOKUP('Données projet'!$B$13,Paramètres!$A$1:$I$89,5,0)</f>
        <v>-3.177547114319168E-13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326.31232746914907</v>
      </c>
      <c r="CZ102" s="59">
        <f t="shared" si="96"/>
        <v>330.17137761430297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1.1648278405887975</v>
      </c>
      <c r="DG102" s="21">
        <f>EXP(-LN(2)/25)*DG101+(1-EXP(-LN(2)/25))/(LN(2)/25)*Calculateur!DB102*Calculateur!DD102*VLOOKUP('Données projet'!$B$13,Paramètres!$A$1:$I$89,3,0)*0.475*44/12</f>
        <v>4.4542538098541922</v>
      </c>
      <c r="DH102" s="21">
        <f>EXP(-LN(2)/2)*DH101+(1-EXP(-LN(2)/2))/(LN(2)/2)*DB102*DE102*VLOOKUP('Données projet'!$B$13,Paramètres!$A$1:$I$89,3,0)*0.475*44/12</f>
        <v>1.3385776677799245E-9</v>
      </c>
      <c r="DI102" s="22">
        <f t="shared" si="69"/>
        <v>5.6190816517815669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6.2527760746888816E-13</v>
      </c>
      <c r="DP102" s="17">
        <f>DO102*VLOOKUP('Données projet'!$B$14,Paramètres!$A$1:$I$89,3,0)*VLOOKUP('Données projet'!$B$14,Paramètres!$A$1:$I$89,5,0)</f>
        <v>3.9017322706058616E-13</v>
      </c>
      <c r="DQ102" s="13">
        <f t="shared" si="97"/>
        <v>5.0025007393608908E-12</v>
      </c>
      <c r="DR102" s="20">
        <f t="shared" si="70"/>
        <v>9.3922404915174053E-12</v>
      </c>
      <c r="DS102" s="59">
        <f t="shared" si="71"/>
        <v>293.33333333334269</v>
      </c>
      <c r="DT102" s="59">
        <f ca="1">AVERAGE(OFFSET($DS$3,0,0,'Données projet'!$E$14+1,1))-AVERAGE(OFFSET($H$3,0,0,'Données projet'!$E$14+1,1))</f>
        <v>209.93608079129638</v>
      </c>
      <c r="DU102" s="59">
        <f t="shared" si="98"/>
        <v>240.15652428700969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1.7730994613613804</v>
      </c>
      <c r="EB102" s="21">
        <f>EXP(-LN(2)/25)*EB101+(1-EXP(-LN(2)/25))/(LN(2)/25)*Calculateur!DW102*Calculateur!DY102*VLOOKUP('Données projet'!$B$14,Paramètres!$A$1:$I$89,3,0)*0.475*44/12</f>
        <v>3.0687959168973702</v>
      </c>
      <c r="EC102" s="21">
        <f>EXP(-LN(2)/2)*EC101+(1-EXP(-LN(2)/2))/(LN(2)/2)*DW102*DZ102*VLOOKUP('Données projet'!$B$14,Paramètres!$A$1:$I$89,3,0)*0.475*44/12</f>
        <v>8.3103441635399519E-10</v>
      </c>
      <c r="ED102" s="22">
        <f t="shared" si="72"/>
        <v>4.8418953790897854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-4.5474735088646412E-13</v>
      </c>
      <c r="EK102" s="17">
        <f>EJ102*VLOOKUP('Données projet'!$B$15,Paramètres!$A$1:$I$89,3,0)*VLOOKUP('Données projet'!$B$15,Paramètres!$A$1:$I$89,5,0)</f>
        <v>-2.7193891583010558E-13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216.94426559495264</v>
      </c>
      <c r="EP102" s="59">
        <f t="shared" si="100"/>
        <v>225.33715877618704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0</v>
      </c>
      <c r="EW102" s="21">
        <f>EXP(-LN(2)/25)*EW101+(1-EXP(-LN(2)/25))/(LN(2)/25)*Calculateur!ER102*Calculateur!ET102*VLOOKUP('Données projet'!$B$15,Paramètres!$A$1:$I$89,3,0)*0.475*44/12</f>
        <v>1.8968607449386357</v>
      </c>
      <c r="EX102" s="21">
        <f>EXP(-LN(2)/2)*EX101+(1-EXP(-LN(2)/2))/(LN(2)/2)*ER102*EU102*VLOOKUP('Données projet'!$B$15,Paramètres!$A$1:$I$89,3,0)*0.475*44/12</f>
        <v>9.7667747642806219E-10</v>
      </c>
      <c r="EY102" s="22">
        <f t="shared" si="75"/>
        <v>1.8968607459153131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>
        <f>FE102*VLOOKUP('Données projet'!$B$16,Paramètres!$A$1:$I$89,3,0)*VLOOKUP('Données projet'!$B$16,Paramètres!$A$1:$I$89,5,0)</f>
        <v>0</v>
      </c>
      <c r="FG102" s="13" t="e">
        <f t="shared" si="101"/>
        <v>#NUM!</v>
      </c>
      <c r="FH102" s="20" t="e">
        <f t="shared" si="76"/>
        <v>#NUM!</v>
      </c>
      <c r="FI102" s="59" t="e">
        <f t="shared" si="77"/>
        <v>#NUM!</v>
      </c>
      <c r="FJ102" s="59">
        <f ca="1">AVERAGE(OFFSET($FI$3,0,0,'Données projet'!$E$16+1,1))-AVERAGE(OFFSET($H$3,0,0,'Données projet'!$E$16+1,1))</f>
        <v>168.08890945052406</v>
      </c>
      <c r="FK102" s="59">
        <f t="shared" si="102"/>
        <v>182.52462557642343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1.5841298723918202</v>
      </c>
      <c r="FR102" s="21">
        <f>EXP(-LN(2)/25)*FR101+(1-EXP(-LN(2)/25))/(LN(2)/25)*Calculateur!FM102*Calculateur!FO102*VLOOKUP('Données projet'!$B$16,Paramètres!$A$1:$I$89,3,0)*0.475*44/12</f>
        <v>1.8203351810639319</v>
      </c>
      <c r="FS102" s="21">
        <f>EXP(-LN(2)/2)*FS101+(1-EXP(-LN(2)/2))/(LN(2)/2)*FM102*FP102*VLOOKUP('Données projet'!$B$16,Paramètres!$A$1:$I$89,3,0)*0.475*44/12</f>
        <v>2.2413942531937008E-10</v>
      </c>
      <c r="FT102" s="22">
        <f t="shared" si="78"/>
        <v>3.4044650536798913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-5.6843418860808015E-14</v>
      </c>
      <c r="GA102" s="17">
        <f>FZ102*VLOOKUP('Données projet'!$B$17,Paramètres!$A$1:$I$89,3,0)*VLOOKUP('Données projet'!$B$17,Paramètres!$A$1:$I$89,5,0)</f>
        <v>-3.2514435588382188E-14</v>
      </c>
      <c r="GB102" s="13" t="e">
        <f t="shared" si="103"/>
        <v>#NUM!</v>
      </c>
      <c r="GC102" s="20" t="e">
        <f t="shared" si="79"/>
        <v>#NUM!</v>
      </c>
      <c r="GD102" s="59" t="e">
        <f t="shared" si="80"/>
        <v>#NUM!</v>
      </c>
      <c r="GE102" s="59">
        <f ca="1">AVERAGE(OFFSET($GD$3,0,0,'Données projet'!$E$17+1,1))-AVERAGE(OFFSET($H$3,0,0,'Données projet'!$E$17+1,1))</f>
        <v>196.95560009657527</v>
      </c>
      <c r="GF102" s="59">
        <f t="shared" si="104"/>
        <v>168.90186968005662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0</v>
      </c>
      <c r="GM102" s="21">
        <f>EXP(-LN(2)/25)*GM101+(1-EXP(-LN(2)/25))/(LN(2)/25)*Calculateur!GH102*Calculateur!GJ102*VLOOKUP('Données projet'!$B$17,Paramètres!$A$1:$I$89,3,0)*0.475*44/12</f>
        <v>1.3627088994417857</v>
      </c>
      <c r="GN102" s="21">
        <f>EXP(-LN(2)/2)*GN101+(1-EXP(-LN(2)/2))/(LN(2)/2)*GH102*GK102*VLOOKUP('Données projet'!$B$17,Paramètres!$A$1:$I$89,3,0)*0.475*44/12</f>
        <v>5.2928779367694316E-10</v>
      </c>
      <c r="GO102" s="21">
        <f t="shared" si="81"/>
        <v>1.3627088999710735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726.2</v>
      </c>
      <c r="L103" s="12">
        <f>VLOOKUP(A103,'Données projet'!$A$35:$I$55,9,0)</f>
        <v>18.5</v>
      </c>
      <c r="M103" s="12">
        <f t="array" ref="M103">INDEX(L:L,MIN(IF(ISNUMBER(L103:L299),ROW(L103:L299),"")))</f>
        <v>18.5</v>
      </c>
      <c r="N103" s="13">
        <f>IF('Données projet'!$A$36&gt;35,N102+M103-V102,IF(A103&lt;'Données projet'!$A$36,$K$205^A103,IF(A103='Données projet'!$A$36,'Données projet'!$B$36,N102+M103-V102)))</f>
        <v>726.19999999999993</v>
      </c>
      <c r="O103" s="13">
        <f>N103*VLOOKUP('Données projet'!$B$9,Paramètres!$A$1:$I$89,3,0)*VLOOKUP('Données projet'!$B$9,Paramètres!$A$1:$I$89,5,0)</f>
        <v>339.86159999999995</v>
      </c>
      <c r="P103" s="13">
        <f t="shared" si="87"/>
        <v>79.47135142801136</v>
      </c>
      <c r="Q103" s="20">
        <f t="shared" si="107"/>
        <v>730.33822373711973</v>
      </c>
      <c r="R103" s="59">
        <f t="shared" si="55"/>
        <v>1023.671557070453</v>
      </c>
      <c r="S103" s="59">
        <f ca="1">AVERAGE(OFFSET($R$3,0,0,'Données projet'!$E$9+1,1))-AVERAGE(OFFSET($H$3,0,0,'Données projet'!$E$9+1,1))</f>
        <v>215.23235148064941</v>
      </c>
      <c r="T103" s="59">
        <f t="shared" si="88"/>
        <v>184.07239726900434</v>
      </c>
      <c r="U103" s="15">
        <f>IF(ISNA(VLOOKUP(A103,'Données projet'!$A$35:$I$55,3,0)),0,VLOOKUP(A103,'Données projet'!$A$35:$I$55,3,0))</f>
        <v>9</v>
      </c>
      <c r="V103" s="15">
        <f>IF(ISNA(VLOOKUP(A103,'Données projet'!$A$35:$I$55,4,0)),0,VLOOKUP(A103,'Données projet'!$A$35:$I$55,4,0))</f>
        <v>726.2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0.78364540045516407</v>
      </c>
      <c r="AA103" s="21">
        <f>EXP(-LN(2)/25)*AA102+(1-EXP(-LN(2)/25))/(LN(2)/25)*Calculateur!V103*Calculateur!X103*VLOOKUP('Données projet'!$B$9,Paramètres!$A$1:$I$89,3,0)*0.475*44/12</f>
        <v>1.1279448726462333</v>
      </c>
      <c r="AB103" s="21">
        <f>EXP(-LN(2)/2)*AB102+(1-EXP(-LN(2)/2))/(LN(2)/2)*V103*Y103*VLOOKUP('Données projet'!$B$9,Paramètres!$A$1:$I$89,3,0)*0.475*44/12</f>
        <v>2.8615399730321928E-10</v>
      </c>
      <c r="AC103" s="22">
        <f t="shared" si="57"/>
        <v>1.9115902733875514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5.6843418860808015E-14</v>
      </c>
      <c r="AJ103" s="13">
        <f>AI103*VLOOKUP('Données projet'!$B$10,Paramètres!$A$1:$I$89,3,0)*VLOOKUP('Données projet'!$B$10,Paramètres!$A$1:$I$89,5,0)</f>
        <v>4.1677594708744434E-14</v>
      </c>
      <c r="AK103" s="13">
        <f t="shared" si="89"/>
        <v>6.9326303456159188E-13</v>
      </c>
      <c r="AL103" s="20">
        <f t="shared" si="58"/>
        <v>1.2800215959791691E-12</v>
      </c>
      <c r="AM103" s="59">
        <f t="shared" si="59"/>
        <v>293.33333333333462</v>
      </c>
      <c r="AN103" s="59">
        <f ca="1">AVERAGE(OFFSET($AM$3,0,0,'Données projet'!$E$10+1,1))-AVERAGE(OFFSET($H$3,0,0,'Données projet'!$E$10+1,1))</f>
        <v>178.12968684094687</v>
      </c>
      <c r="AO103" s="59">
        <f t="shared" si="90"/>
        <v>219.36004077210373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1.1039645352860605</v>
      </c>
      <c r="AW103" s="21">
        <f>EXP(-LN(2)/2)*AW102+(1-EXP(-LN(2)/2))/(LN(2)/2)*AQ103*AT103*VLOOKUP('Données projet'!$B$10,Paramètres!$A$1:$I$89,3,0)*0.475*44/12</f>
        <v>2.8863766340287191E-10</v>
      </c>
      <c r="AX103" s="21">
        <f t="shared" si="60"/>
        <v>1.1039645355746981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-5.6843418860808015E-14</v>
      </c>
      <c r="BE103" s="13">
        <f>BD103*VLOOKUP('Données projet'!$B$11,Paramètres!$A$1:$I$89,3,0)*VLOOKUP('Données projet'!$B$11,Paramètres!$A$1:$I$89,5,0)</f>
        <v>-4.9658410716801891E-14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114.02623091248347</v>
      </c>
      <c r="BJ103" s="59">
        <f t="shared" si="92"/>
        <v>185.51554083721635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0.48793959112868113</v>
      </c>
      <c r="BQ103" s="21">
        <f>EXP(-LN(2)/25)*BQ102+(1-EXP(-LN(2)/25))/(LN(2)/25)*Calculateur!BL103*Calculateur!BN103*VLOOKUP('Données projet'!$B$11,Paramètres!$A$1:$I$89,3,0)*0.475*44/12</f>
        <v>1.6162373275118758</v>
      </c>
      <c r="BR103" s="21">
        <f>EXP(-LN(2)/2)*BR102+(1-EXP(-LN(2)/2))/(LN(2)/2)*BL103*BO103*VLOOKUP('Données projet'!$B$11,Paramètres!$A$1:$I$89,3,0)*0.475*44/12</f>
        <v>5.1337042269367734E-10</v>
      </c>
      <c r="BS103" s="22">
        <f t="shared" si="63"/>
        <v>2.104176919153927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303</v>
      </c>
      <c r="BW103" s="12">
        <f>VLOOKUP(A103,'Données projet'!$A$113:$I$133,9,0)</f>
        <v>4.9000000000000004</v>
      </c>
      <c r="BX103" s="12">
        <f t="array" ref="BX103">INDEX(BW:BW,MIN(IF(ISNUMBER(BW103:BW299),ROW(BW103:BW299),"")))</f>
        <v>4.9000000000000004</v>
      </c>
      <c r="BY103" s="12">
        <f>IF('Données projet'!$A$114&gt;35,BY102+BX103-CG102,IF(A103&lt;'Données projet'!$A$114,$BV$205^A103,IF(A103='Données projet'!$A$114,'Données projet'!$B$114,BY102+BX103-CG102)))</f>
        <v>303.00000000000023</v>
      </c>
      <c r="BZ103" s="13">
        <f>BY103*VLOOKUP('Données projet'!$B$12,Paramètres!$A$1:$I$89,3,0)*VLOOKUP('Données projet'!$B$12,Paramètres!$A$1:$I$89,5,0)</f>
        <v>274.15440000000018</v>
      </c>
      <c r="CA103" s="13">
        <f t="shared" si="93"/>
        <v>65.730152764515836</v>
      </c>
      <c r="CB103" s="20">
        <f t="shared" si="64"/>
        <v>591.96559606486528</v>
      </c>
      <c r="CC103" s="59">
        <f t="shared" si="65"/>
        <v>885.29892939819865</v>
      </c>
      <c r="CD103" s="59">
        <f ca="1">AVERAGE(OFFSET($CC$3,0,0,'Données projet'!$E$12+1,1))-AVERAGE(OFFSET($H$3,0,0,'Données projet'!$E$12+1,1))</f>
        <v>237.22177246688199</v>
      </c>
      <c r="CE103" s="59">
        <f t="shared" si="94"/>
        <v>149.27472147904302</v>
      </c>
      <c r="CF103" s="15">
        <f>IF(ISNA(VLOOKUP(A103,'Données projet'!$A$113:$I$133,3,0)),0,VLOOKUP(A103,'Données projet'!$A$113:$I$133,3,0))</f>
        <v>8</v>
      </c>
      <c r="CG103" s="15">
        <f>IF(ISNA(VLOOKUP(A103,'Données projet'!$A$113:$I$133,4,0)),0,VLOOKUP(A103,'Données projet'!$A$113:$I$133,4,0))</f>
        <v>42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0.44597325868270754</v>
      </c>
      <c r="CM103" s="21">
        <f>EXP(-LN(2)/2)*CM102+(1-EXP(-LN(2)/2))/(LN(2)/2)*CG103*CJ103*VLOOKUP('Données projet'!$B$12,Paramètres!$A$1:$I$89,3,0)*0.475*44/12</f>
        <v>1.8013373059303346E-10</v>
      </c>
      <c r="CN103" s="22">
        <f t="shared" si="66"/>
        <v>0.44597325886284128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-5.6843418860808015E-13</v>
      </c>
      <c r="CU103" s="17">
        <f>CT103*VLOOKUP('Données projet'!$B$13,Paramètres!$A$1:$I$89,3,0)*VLOOKUP('Données projet'!$B$13,Paramètres!$A$1:$I$89,5,0)</f>
        <v>-3.177547114319168E-13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326.31232746914907</v>
      </c>
      <c r="CZ103" s="59">
        <f t="shared" si="96"/>
        <v>330.17137761430297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1.1419862771096805</v>
      </c>
      <c r="DG103" s="21">
        <f>EXP(-LN(2)/25)*DG102+(1-EXP(-LN(2)/25))/(LN(2)/25)*Calculateur!DB103*Calculateur!DD103*VLOOKUP('Données projet'!$B$13,Paramètres!$A$1:$I$89,3,0)*0.475*44/12</f>
        <v>4.3324520051847015</v>
      </c>
      <c r="DH103" s="21">
        <f>EXP(-LN(2)/2)*DH102+(1-EXP(-LN(2)/2))/(LN(2)/2)*DB103*DE103*VLOOKUP('Données projet'!$B$13,Paramètres!$A$1:$I$89,3,0)*0.475*44/12</f>
        <v>9.4651734603205817E-10</v>
      </c>
      <c r="DI103" s="22">
        <f t="shared" si="69"/>
        <v>5.4744382832408993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6.2527760746888816E-13</v>
      </c>
      <c r="DP103" s="17">
        <f>DO103*VLOOKUP('Données projet'!$B$14,Paramètres!$A$1:$I$89,3,0)*VLOOKUP('Données projet'!$B$14,Paramètres!$A$1:$I$89,5,0)</f>
        <v>3.9017322706058616E-13</v>
      </c>
      <c r="DQ103" s="13">
        <f t="shared" si="97"/>
        <v>5.0025007393608908E-12</v>
      </c>
      <c r="DR103" s="20">
        <f t="shared" si="70"/>
        <v>9.3922404915174053E-12</v>
      </c>
      <c r="DS103" s="59">
        <f t="shared" si="71"/>
        <v>293.33333333334269</v>
      </c>
      <c r="DT103" s="59">
        <f ca="1">AVERAGE(OFFSET($DS$3,0,0,'Données projet'!$E$14+1,1))-AVERAGE(OFFSET($H$3,0,0,'Données projet'!$E$14+1,1))</f>
        <v>209.93608079129638</v>
      </c>
      <c r="DU103" s="59">
        <f t="shared" si="98"/>
        <v>240.15652428700969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1.7383300624079676</v>
      </c>
      <c r="EB103" s="21">
        <f>EXP(-LN(2)/25)*EB102+(1-EXP(-LN(2)/25))/(LN(2)/25)*Calculateur!DW103*Calculateur!DY103*VLOOKUP('Données projet'!$B$14,Paramètres!$A$1:$I$89,3,0)*0.475*44/12</f>
        <v>2.9848795311688483</v>
      </c>
      <c r="EC103" s="21">
        <f>EXP(-LN(2)/2)*EC102+(1-EXP(-LN(2)/2))/(LN(2)/2)*DW103*DZ103*VLOOKUP('Données projet'!$B$14,Paramètres!$A$1:$I$89,3,0)*0.475*44/12</f>
        <v>5.876300712033147E-10</v>
      </c>
      <c r="ED103" s="22">
        <f t="shared" si="72"/>
        <v>4.7232095941644463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-4.5474735088646412E-13</v>
      </c>
      <c r="EK103" s="17">
        <f>EJ103*VLOOKUP('Données projet'!$B$15,Paramètres!$A$1:$I$89,3,0)*VLOOKUP('Données projet'!$B$15,Paramètres!$A$1:$I$89,5,0)</f>
        <v>-2.7193891583010558E-13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216.94426559495264</v>
      </c>
      <c r="EP103" s="59">
        <f t="shared" si="100"/>
        <v>225.33715877618704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0</v>
      </c>
      <c r="EW103" s="21">
        <f>EXP(-LN(2)/25)*EW102+(1-EXP(-LN(2)/25))/(LN(2)/25)*Calculateur!ER103*Calculateur!ET103*VLOOKUP('Données projet'!$B$15,Paramètres!$A$1:$I$89,3,0)*0.475*44/12</f>
        <v>1.8449909881167175</v>
      </c>
      <c r="EX103" s="21">
        <f>EXP(-LN(2)/2)*EX102+(1-EXP(-LN(2)/2))/(LN(2)/2)*ER103*EU103*VLOOKUP('Données projet'!$B$15,Paramètres!$A$1:$I$89,3,0)*0.475*44/12</f>
        <v>6.9061526661444722E-10</v>
      </c>
      <c r="EY103" s="22">
        <f t="shared" si="75"/>
        <v>1.8449909888073328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>
        <f>FE103*VLOOKUP('Données projet'!$B$16,Paramètres!$A$1:$I$89,3,0)*VLOOKUP('Données projet'!$B$16,Paramètres!$A$1:$I$89,5,0)</f>
        <v>0</v>
      </c>
      <c r="FG103" s="13" t="e">
        <f t="shared" si="101"/>
        <v>#NUM!</v>
      </c>
      <c r="FH103" s="20" t="e">
        <f t="shared" si="76"/>
        <v>#NUM!</v>
      </c>
      <c r="FI103" s="59" t="e">
        <f t="shared" si="77"/>
        <v>#NUM!</v>
      </c>
      <c r="FJ103" s="59">
        <f ca="1">AVERAGE(OFFSET($FI$3,0,0,'Données projet'!$E$16+1,1))-AVERAGE(OFFSET($H$3,0,0,'Données projet'!$E$16+1,1))</f>
        <v>168.08890945052406</v>
      </c>
      <c r="FK103" s="59">
        <f t="shared" si="102"/>
        <v>182.52462557642343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1.5530660518180321</v>
      </c>
      <c r="FR103" s="21">
        <f>EXP(-LN(2)/25)*FR102+(1-EXP(-LN(2)/25))/(LN(2)/25)*Calculateur!FM103*Calculateur!FO103*VLOOKUP('Données projet'!$B$16,Paramètres!$A$1:$I$89,3,0)*0.475*44/12</f>
        <v>1.770558019810472</v>
      </c>
      <c r="FS103" s="21">
        <f>EXP(-LN(2)/2)*FS102+(1-EXP(-LN(2)/2))/(LN(2)/2)*FM103*FP103*VLOOKUP('Données projet'!$B$16,Paramètres!$A$1:$I$89,3,0)*0.475*44/12</f>
        <v>1.5849050757458233E-10</v>
      </c>
      <c r="FT103" s="22">
        <f t="shared" si="78"/>
        <v>3.3236240717869947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-5.6843418860808015E-14</v>
      </c>
      <c r="GA103" s="17">
        <f>FZ103*VLOOKUP('Données projet'!$B$17,Paramètres!$A$1:$I$89,3,0)*VLOOKUP('Données projet'!$B$17,Paramètres!$A$1:$I$89,5,0)</f>
        <v>-3.2514435588382188E-14</v>
      </c>
      <c r="GB103" s="13" t="e">
        <f t="shared" si="103"/>
        <v>#NUM!</v>
      </c>
      <c r="GC103" s="20" t="e">
        <f t="shared" si="79"/>
        <v>#NUM!</v>
      </c>
      <c r="GD103" s="59" t="e">
        <f t="shared" si="80"/>
        <v>#NUM!</v>
      </c>
      <c r="GE103" s="59">
        <f ca="1">AVERAGE(OFFSET($GD$3,0,0,'Données projet'!$E$17+1,1))-AVERAGE(OFFSET($H$3,0,0,'Données projet'!$E$17+1,1))</f>
        <v>196.95560009657527</v>
      </c>
      <c r="GF103" s="59">
        <f t="shared" si="104"/>
        <v>168.90186968005662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0</v>
      </c>
      <c r="GM103" s="21">
        <f>EXP(-LN(2)/25)*GM102+(1-EXP(-LN(2)/25))/(LN(2)/25)*Calculateur!GH103*Calculateur!GJ103*VLOOKUP('Données projet'!$B$17,Paramètres!$A$1:$I$89,3,0)*0.475*44/12</f>
        <v>1.3254455529248037</v>
      </c>
      <c r="GN103" s="21">
        <f>EXP(-LN(2)/2)*GN102+(1-EXP(-LN(2)/2))/(LN(2)/2)*GH103*GK103*VLOOKUP('Données projet'!$B$17,Paramètres!$A$1:$I$89,3,0)*0.475*44/12</f>
        <v>3.7426298810823276E-10</v>
      </c>
      <c r="GO103" s="21">
        <f t="shared" si="81"/>
        <v>1.3254455532990668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-5.3205440053716299E-14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215.23235148064941</v>
      </c>
      <c r="T104" s="59">
        <f t="shared" si="88"/>
        <v>184.07239726900434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0.76827859212873628</v>
      </c>
      <c r="AA104" s="21">
        <f>EXP(-LN(2)/25)*AA103+(1-EXP(-LN(2)/25))/(LN(2)/25)*Calculateur!V104*Calculateur!X104*VLOOKUP('Données projet'!$B$9,Paramètres!$A$1:$I$89,3,0)*0.475*44/12</f>
        <v>1.0971011607876793</v>
      </c>
      <c r="AB104" s="21">
        <f>EXP(-LN(2)/2)*AB103+(1-EXP(-LN(2)/2))/(LN(2)/2)*V104*Y104*VLOOKUP('Données projet'!$B$9,Paramètres!$A$1:$I$89,3,0)*0.475*44/12</f>
        <v>2.0234143195674339E-10</v>
      </c>
      <c r="AC104" s="22">
        <f t="shared" si="57"/>
        <v>1.865379753118757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5.6843418860808015E-14</v>
      </c>
      <c r="AJ104" s="13">
        <f>AI104*VLOOKUP('Données projet'!$B$10,Paramètres!$A$1:$I$89,3,0)*VLOOKUP('Données projet'!$B$10,Paramètres!$A$1:$I$89,5,0)</f>
        <v>4.1677594708744434E-14</v>
      </c>
      <c r="AK104" s="13">
        <f t="shared" si="89"/>
        <v>6.9326303456159188E-13</v>
      </c>
      <c r="AL104" s="20">
        <f t="shared" si="58"/>
        <v>1.2800215959791691E-12</v>
      </c>
      <c r="AM104" s="59">
        <f t="shared" si="59"/>
        <v>293.33333333333462</v>
      </c>
      <c r="AN104" s="59">
        <f ca="1">AVERAGE(OFFSET($AM$3,0,0,'Données projet'!$E$10+1,1))-AVERAGE(OFFSET($H$3,0,0,'Données projet'!$E$10+1,1))</f>
        <v>178.12968684094687</v>
      </c>
      <c r="AO104" s="59">
        <f t="shared" si="90"/>
        <v>219.36004077210373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1.0737765670136914</v>
      </c>
      <c r="AW104" s="21">
        <f>EXP(-LN(2)/2)*AW103+(1-EXP(-LN(2)/2))/(LN(2)/2)*AQ104*AT104*VLOOKUP('Données projet'!$B$10,Paramètres!$A$1:$I$89,3,0)*0.475*44/12</f>
        <v>2.040976490980109E-10</v>
      </c>
      <c r="AX104" s="21">
        <f t="shared" si="60"/>
        <v>1.073776567217789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-5.6843418860808015E-14</v>
      </c>
      <c r="BE104" s="13">
        <f>BD104*VLOOKUP('Données projet'!$B$11,Paramètres!$A$1:$I$89,3,0)*VLOOKUP('Données projet'!$B$11,Paramètres!$A$1:$I$89,5,0)</f>
        <v>-4.9658410716801891E-14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114.02623091248347</v>
      </c>
      <c r="BJ104" s="59">
        <f t="shared" si="92"/>
        <v>185.51554083721635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0.47837139336041135</v>
      </c>
      <c r="BQ104" s="21">
        <f>EXP(-LN(2)/25)*BQ103+(1-EXP(-LN(2)/25))/(LN(2)/25)*Calculateur!BL104*Calculateur!BN104*VLOOKUP('Données projet'!$B$11,Paramètres!$A$1:$I$89,3,0)*0.475*44/12</f>
        <v>1.5720412327968365</v>
      </c>
      <c r="BR104" s="21">
        <f>EXP(-LN(2)/2)*BR103+(1-EXP(-LN(2)/2))/(LN(2)/2)*BL104*BO104*VLOOKUP('Données projet'!$B$11,Paramètres!$A$1:$I$89,3,0)*0.475*44/12</f>
        <v>3.6300770714730352E-10</v>
      </c>
      <c r="BS104" s="22">
        <f t="shared" si="63"/>
        <v>2.0504126265202558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4.4000000000000004</v>
      </c>
      <c r="BY104" s="12">
        <f>IF('Données projet'!$A$114&gt;35,BY103+BX104-CG103,IF(A104&lt;'Données projet'!$A$114,$BV$205^A104,IF(A104='Données projet'!$A$114,'Données projet'!$B$114,BY103+BX104-CG103)))</f>
        <v>265.4000000000002</v>
      </c>
      <c r="BZ104" s="13">
        <f>BY104*VLOOKUP('Données projet'!$B$12,Paramètres!$A$1:$I$89,3,0)*VLOOKUP('Données projet'!$B$12,Paramètres!$A$1:$I$89,5,0)</f>
        <v>240.13392000000016</v>
      </c>
      <c r="CA104" s="13">
        <f t="shared" si="93"/>
        <v>58.468343087048616</v>
      </c>
      <c r="CB104" s="20">
        <f t="shared" si="64"/>
        <v>520.06560820994321</v>
      </c>
      <c r="CC104" s="59">
        <f t="shared" si="65"/>
        <v>813.39894154327658</v>
      </c>
      <c r="CD104" s="59">
        <f ca="1">AVERAGE(OFFSET($CC$3,0,0,'Données projet'!$E$12+1,1))-AVERAGE(OFFSET($H$3,0,0,'Données projet'!$E$12+1,1))</f>
        <v>237.22177246688199</v>
      </c>
      <c r="CE104" s="59">
        <f t="shared" si="94"/>
        <v>149.27472147904302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0.43377809647131449</v>
      </c>
      <c r="CM104" s="21">
        <f>EXP(-LN(2)/2)*CM103+(1-EXP(-LN(2)/2))/(LN(2)/2)*CG104*CJ104*VLOOKUP('Données projet'!$B$12,Paramètres!$A$1:$I$89,3,0)*0.475*44/12</f>
        <v>1.2737378242276461E-10</v>
      </c>
      <c r="CN104" s="22">
        <f t="shared" si="66"/>
        <v>0.43377809659868827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-5.6843418860808015E-13</v>
      </c>
      <c r="CU104" s="17">
        <f>CT104*VLOOKUP('Données projet'!$B$13,Paramètres!$A$1:$I$89,3,0)*VLOOKUP('Données projet'!$B$13,Paramètres!$A$1:$I$89,5,0)</f>
        <v>-3.177547114319168E-13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326.31232746914907</v>
      </c>
      <c r="CZ104" s="59">
        <f t="shared" si="96"/>
        <v>330.17137761430297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1.1195926227584108</v>
      </c>
      <c r="DG104" s="21">
        <f>EXP(-LN(2)/25)*DG103+(1-EXP(-LN(2)/25))/(LN(2)/25)*Calculateur!DB104*Calculateur!DD104*VLOOKUP('Données projet'!$B$13,Paramètres!$A$1:$I$89,3,0)*0.475*44/12</f>
        <v>4.2139808772691767</v>
      </c>
      <c r="DH104" s="21">
        <f>EXP(-LN(2)/2)*DH103+(1-EXP(-LN(2)/2))/(LN(2)/2)*DB104*DE104*VLOOKUP('Données projet'!$B$13,Paramètres!$A$1:$I$89,3,0)*0.475*44/12</f>
        <v>6.6928883388996224E-10</v>
      </c>
      <c r="DI104" s="22">
        <f t="shared" si="69"/>
        <v>5.3335735006968763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6.2527760746888816E-13</v>
      </c>
      <c r="DP104" s="17">
        <f>DO104*VLOOKUP('Données projet'!$B$14,Paramètres!$A$1:$I$89,3,0)*VLOOKUP('Données projet'!$B$14,Paramètres!$A$1:$I$89,5,0)</f>
        <v>3.9017322706058616E-13</v>
      </c>
      <c r="DQ104" s="13">
        <f t="shared" si="97"/>
        <v>5.0025007393608908E-12</v>
      </c>
      <c r="DR104" s="20">
        <f t="shared" si="70"/>
        <v>9.3922404915174053E-12</v>
      </c>
      <c r="DS104" s="59">
        <f t="shared" si="71"/>
        <v>293.33333333334269</v>
      </c>
      <c r="DT104" s="59">
        <f ca="1">AVERAGE(OFFSET($DS$3,0,0,'Données projet'!$E$14+1,1))-AVERAGE(OFFSET($H$3,0,0,'Données projet'!$E$14+1,1))</f>
        <v>209.93608079129638</v>
      </c>
      <c r="DU104" s="59">
        <f t="shared" si="98"/>
        <v>240.15652428700969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1.7042424701607919</v>
      </c>
      <c r="EB104" s="21">
        <f>EXP(-LN(2)/25)*EB103+(1-EXP(-LN(2)/25))/(LN(2)/25)*Calculateur!DW104*Calculateur!DY104*VLOOKUP('Données projet'!$B$14,Paramètres!$A$1:$I$89,3,0)*0.475*44/12</f>
        <v>2.9032578434210436</v>
      </c>
      <c r="EC104" s="21">
        <f>EXP(-LN(2)/2)*EC103+(1-EXP(-LN(2)/2))/(LN(2)/2)*DW104*DZ104*VLOOKUP('Données projet'!$B$14,Paramètres!$A$1:$I$89,3,0)*0.475*44/12</f>
        <v>4.1551720817699759E-10</v>
      </c>
      <c r="ED104" s="22">
        <f t="shared" si="72"/>
        <v>4.6075003139973534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-4.5474735088646412E-13</v>
      </c>
      <c r="EK104" s="17">
        <f>EJ104*VLOOKUP('Données projet'!$B$15,Paramètres!$A$1:$I$89,3,0)*VLOOKUP('Données projet'!$B$15,Paramètres!$A$1:$I$89,5,0)</f>
        <v>-2.7193891583010558E-13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216.94426559495264</v>
      </c>
      <c r="EP104" s="59">
        <f t="shared" si="100"/>
        <v>225.33715877618704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0</v>
      </c>
      <c r="EW104" s="21">
        <f>EXP(-LN(2)/25)*EW103+(1-EXP(-LN(2)/25))/(LN(2)/25)*Calculateur!ER104*Calculateur!ET104*VLOOKUP('Données projet'!$B$15,Paramètres!$A$1:$I$89,3,0)*0.475*44/12</f>
        <v>1.7945396125228066</v>
      </c>
      <c r="EX104" s="21">
        <f>EXP(-LN(2)/2)*EX103+(1-EXP(-LN(2)/2))/(LN(2)/2)*ER104*EU104*VLOOKUP('Données projet'!$B$15,Paramètres!$A$1:$I$89,3,0)*0.475*44/12</f>
        <v>4.883387382140311E-10</v>
      </c>
      <c r="EY104" s="22">
        <f t="shared" si="75"/>
        <v>1.7945396130111453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>
        <f>FE104*VLOOKUP('Données projet'!$B$16,Paramètres!$A$1:$I$89,3,0)*VLOOKUP('Données projet'!$B$16,Paramètres!$A$1:$I$89,5,0)</f>
        <v>0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168.08890945052406</v>
      </c>
      <c r="FK104" s="59">
        <f t="shared" si="102"/>
        <v>182.52462557642343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1.5226113738186364</v>
      </c>
      <c r="FR104" s="21">
        <f>EXP(-LN(2)/25)*FR103+(1-EXP(-LN(2)/25))/(LN(2)/25)*Calculateur!FM104*Calculateur!FO104*VLOOKUP('Données projet'!$B$16,Paramètres!$A$1:$I$89,3,0)*0.475*44/12</f>
        <v>1.7221420176491551</v>
      </c>
      <c r="FS104" s="21">
        <f>EXP(-LN(2)/2)*FS103+(1-EXP(-LN(2)/2))/(LN(2)/2)*FM104*FP104*VLOOKUP('Données projet'!$B$16,Paramètres!$A$1:$I$89,3,0)*0.475*44/12</f>
        <v>1.1206971265968504E-10</v>
      </c>
      <c r="FT104" s="22">
        <f t="shared" si="78"/>
        <v>3.2447533915798616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-5.6843418860808015E-14</v>
      </c>
      <c r="GA104" s="17">
        <f>FZ104*VLOOKUP('Données projet'!$B$17,Paramètres!$A$1:$I$89,3,0)*VLOOKUP('Données projet'!$B$17,Paramètres!$A$1:$I$89,5,0)</f>
        <v>-3.2514435588382188E-14</v>
      </c>
      <c r="GB104" s="13" t="e">
        <f t="shared" si="103"/>
        <v>#NUM!</v>
      </c>
      <c r="GC104" s="20" t="e">
        <f t="shared" si="79"/>
        <v>#NUM!</v>
      </c>
      <c r="GD104" s="59" t="e">
        <f t="shared" si="80"/>
        <v>#NUM!</v>
      </c>
      <c r="GE104" s="59">
        <f ca="1">AVERAGE(OFFSET($GD$3,0,0,'Données projet'!$E$17+1,1))-AVERAGE(OFFSET($H$3,0,0,'Données projet'!$E$17+1,1))</f>
        <v>196.95560009657527</v>
      </c>
      <c r="GF104" s="59">
        <f t="shared" si="104"/>
        <v>168.90186968005662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0</v>
      </c>
      <c r="GM104" s="21">
        <f>EXP(-LN(2)/25)*GM103+(1-EXP(-LN(2)/25))/(LN(2)/25)*Calculateur!GH104*Calculateur!GJ104*VLOOKUP('Données projet'!$B$17,Paramètres!$A$1:$I$89,3,0)*0.475*44/12</f>
        <v>1.2892011745779226</v>
      </c>
      <c r="GN104" s="21">
        <f>EXP(-LN(2)/2)*GN103+(1-EXP(-LN(2)/2))/(LN(2)/2)*GH104*GK104*VLOOKUP('Données projet'!$B$17,Paramètres!$A$1:$I$89,3,0)*0.475*44/12</f>
        <v>2.6464389683847158E-10</v>
      </c>
      <c r="GO104" s="21">
        <f t="shared" si="81"/>
        <v>1.2892011748425665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-5.3205440053716299E-14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215.23235148064941</v>
      </c>
      <c r="T105" s="59">
        <f t="shared" si="88"/>
        <v>184.07239726900434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0.75321311754076214</v>
      </c>
      <c r="AA105" s="21">
        <f>EXP(-LN(2)/25)*AA104+(1-EXP(-LN(2)/25))/(LN(2)/25)*Calculateur!V105*Calculateur!X105*VLOOKUP('Données projet'!$B$9,Paramètres!$A$1:$I$89,3,0)*0.475*44/12</f>
        <v>1.0671008718518975</v>
      </c>
      <c r="AB105" s="21">
        <f>EXP(-LN(2)/2)*AB104+(1-EXP(-LN(2)/2))/(LN(2)/2)*V105*Y105*VLOOKUP('Données projet'!$B$9,Paramètres!$A$1:$I$89,3,0)*0.475*44/12</f>
        <v>1.4307699865160964E-10</v>
      </c>
      <c r="AC105" s="22">
        <f t="shared" si="57"/>
        <v>1.8203139895357368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5.6843418860808015E-14</v>
      </c>
      <c r="AJ105" s="13">
        <f>AI105*VLOOKUP('Données projet'!$B$10,Paramètres!$A$1:$I$89,3,0)*VLOOKUP('Données projet'!$B$10,Paramètres!$A$1:$I$89,5,0)</f>
        <v>4.1677594708744434E-14</v>
      </c>
      <c r="AK105" s="13">
        <f t="shared" si="89"/>
        <v>6.9326303456159188E-13</v>
      </c>
      <c r="AL105" s="20">
        <f t="shared" si="58"/>
        <v>1.2800215959791691E-12</v>
      </c>
      <c r="AM105" s="59">
        <f t="shared" si="59"/>
        <v>293.33333333333462</v>
      </c>
      <c r="AN105" s="59">
        <f ca="1">AVERAGE(OFFSET($AM$3,0,0,'Données projet'!$E$10+1,1))-AVERAGE(OFFSET($H$3,0,0,'Données projet'!$E$10+1,1))</f>
        <v>178.12968684094687</v>
      </c>
      <c r="AO105" s="59">
        <f t="shared" si="90"/>
        <v>219.36004077210373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1.0444140903212464</v>
      </c>
      <c r="AW105" s="21">
        <f>EXP(-LN(2)/2)*AW104+(1-EXP(-LN(2)/2))/(LN(2)/2)*AQ105*AT105*VLOOKUP('Données projet'!$B$10,Paramètres!$A$1:$I$89,3,0)*0.475*44/12</f>
        <v>1.4431883170143595E-10</v>
      </c>
      <c r="AX105" s="21">
        <f t="shared" si="60"/>
        <v>1.0444140904655652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-5.6843418860808015E-14</v>
      </c>
      <c r="BE105" s="13">
        <f>BD105*VLOOKUP('Données projet'!$B$11,Paramètres!$A$1:$I$89,3,0)*VLOOKUP('Données projet'!$B$11,Paramètres!$A$1:$I$89,5,0)</f>
        <v>-4.9658410716801891E-14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114.02623091248347</v>
      </c>
      <c r="BJ105" s="59">
        <f t="shared" si="92"/>
        <v>185.51554083721635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0.46899082211435295</v>
      </c>
      <c r="BQ105" s="21">
        <f>EXP(-LN(2)/25)*BQ104+(1-EXP(-LN(2)/25))/(LN(2)/25)*Calculateur!BL105*Calculateur!BN105*VLOOKUP('Données projet'!$B$11,Paramètres!$A$1:$I$89,3,0)*0.475*44/12</f>
        <v>1.5290536826159515</v>
      </c>
      <c r="BR105" s="21">
        <f>EXP(-LN(2)/2)*BR104+(1-EXP(-LN(2)/2))/(LN(2)/2)*BL105*BO105*VLOOKUP('Données projet'!$B$11,Paramètres!$A$1:$I$89,3,0)*0.475*44/12</f>
        <v>2.5668521134683867E-10</v>
      </c>
      <c r="BS105" s="22">
        <f t="shared" si="63"/>
        <v>1.9980445049869895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4.4000000000000004</v>
      </c>
      <c r="BY105" s="12">
        <f>IF('Données projet'!$A$114&gt;35,BY104+BX105-CG104,IF(A105&lt;'Données projet'!$A$114,$BV$205^A105,IF(A105='Données projet'!$A$114,'Données projet'!$B$114,BY104+BX105-CG104)))</f>
        <v>269.80000000000018</v>
      </c>
      <c r="BZ105" s="13">
        <f>BY105*VLOOKUP('Données projet'!$B$12,Paramètres!$A$1:$I$89,3,0)*VLOOKUP('Données projet'!$B$12,Paramètres!$A$1:$I$89,5,0)</f>
        <v>244.11504000000016</v>
      </c>
      <c r="CA105" s="13">
        <f t="shared" si="93"/>
        <v>59.324023461759062</v>
      </c>
      <c r="CB105" s="20">
        <f t="shared" si="64"/>
        <v>528.48970219589739</v>
      </c>
      <c r="CC105" s="59">
        <f t="shared" si="65"/>
        <v>821.82303552923076</v>
      </c>
      <c r="CD105" s="59">
        <f ca="1">AVERAGE(OFFSET($CC$3,0,0,'Données projet'!$E$12+1,1))-AVERAGE(OFFSET($H$3,0,0,'Données projet'!$E$12+1,1))</f>
        <v>237.22177246688199</v>
      </c>
      <c r="CE105" s="59">
        <f t="shared" si="94"/>
        <v>149.27472147904302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0.42191641161190774</v>
      </c>
      <c r="CM105" s="21">
        <f>EXP(-LN(2)/2)*CM104+(1-EXP(-LN(2)/2))/(LN(2)/2)*CG105*CJ105*VLOOKUP('Données projet'!$B$12,Paramètres!$A$1:$I$89,3,0)*0.475*44/12</f>
        <v>9.0066865296516732E-11</v>
      </c>
      <c r="CN105" s="22">
        <f t="shared" si="66"/>
        <v>0.42191641170197458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-5.6843418860808015E-13</v>
      </c>
      <c r="CU105" s="17">
        <f>CT105*VLOOKUP('Données projet'!$B$13,Paramètres!$A$1:$I$89,3,0)*VLOOKUP('Données projet'!$B$13,Paramètres!$A$1:$I$89,5,0)</f>
        <v>-3.177547114319168E-13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326.31232746914907</v>
      </c>
      <c r="CZ105" s="59">
        <f t="shared" si="96"/>
        <v>330.17137761430297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1.0976380943101891</v>
      </c>
      <c r="DG105" s="21">
        <f>EXP(-LN(2)/25)*DG104+(1-EXP(-LN(2)/25))/(LN(2)/25)*Calculateur!DB105*Calculateur!DD105*VLOOKUP('Données projet'!$B$13,Paramètres!$A$1:$I$89,3,0)*0.475*44/12</f>
        <v>4.0987493485766278</v>
      </c>
      <c r="DH105" s="21">
        <f>EXP(-LN(2)/2)*DH104+(1-EXP(-LN(2)/2))/(LN(2)/2)*DB105*DE105*VLOOKUP('Données projet'!$B$13,Paramètres!$A$1:$I$89,3,0)*0.475*44/12</f>
        <v>4.7325867301602909E-10</v>
      </c>
      <c r="DI105" s="22">
        <f t="shared" si="69"/>
        <v>5.1963874433600754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6.2527760746888816E-13</v>
      </c>
      <c r="DP105" s="17">
        <f>DO105*VLOOKUP('Données projet'!$B$14,Paramètres!$A$1:$I$89,3,0)*VLOOKUP('Données projet'!$B$14,Paramètres!$A$1:$I$89,5,0)</f>
        <v>3.9017322706058616E-13</v>
      </c>
      <c r="DQ105" s="13">
        <f t="shared" si="97"/>
        <v>5.0025007393608908E-12</v>
      </c>
      <c r="DR105" s="20">
        <f t="shared" si="70"/>
        <v>9.3922404915174053E-12</v>
      </c>
      <c r="DS105" s="59">
        <f t="shared" si="71"/>
        <v>293.33333333334269</v>
      </c>
      <c r="DT105" s="59">
        <f ca="1">AVERAGE(OFFSET($DS$3,0,0,'Données projet'!$E$14+1,1))-AVERAGE(OFFSET($H$3,0,0,'Données projet'!$E$14+1,1))</f>
        <v>209.93608079129638</v>
      </c>
      <c r="DU105" s="59">
        <f t="shared" si="98"/>
        <v>240.15652428700969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1.6708233148062048</v>
      </c>
      <c r="EB105" s="21">
        <f>EXP(-LN(2)/25)*EB104+(1-EXP(-LN(2)/25))/(LN(2)/25)*Calculateur!DW105*Calculateur!DY105*VLOOKUP('Données projet'!$B$14,Paramètres!$A$1:$I$89,3,0)*0.475*44/12</f>
        <v>2.8238681050170009</v>
      </c>
      <c r="EC105" s="21">
        <f>EXP(-LN(2)/2)*EC104+(1-EXP(-LN(2)/2))/(LN(2)/2)*DW105*DZ105*VLOOKUP('Données projet'!$B$14,Paramètres!$A$1:$I$89,3,0)*0.475*44/12</f>
        <v>2.9381503560165735E-10</v>
      </c>
      <c r="ED105" s="22">
        <f t="shared" si="72"/>
        <v>4.4946914201170207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-4.5474735088646412E-13</v>
      </c>
      <c r="EK105" s="17">
        <f>EJ105*VLOOKUP('Données projet'!$B$15,Paramètres!$A$1:$I$89,3,0)*VLOOKUP('Données projet'!$B$15,Paramètres!$A$1:$I$89,5,0)</f>
        <v>-2.7193891583010558E-13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216.94426559495264</v>
      </c>
      <c r="EP105" s="59">
        <f t="shared" si="100"/>
        <v>225.33715877618704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0</v>
      </c>
      <c r="EW105" s="21">
        <f>EXP(-LN(2)/25)*EW104+(1-EXP(-LN(2)/25))/(LN(2)/25)*Calculateur!ER105*Calculateur!ET105*VLOOKUP('Données projet'!$B$15,Paramètres!$A$1:$I$89,3,0)*0.475*44/12</f>
        <v>1.7454678324476336</v>
      </c>
      <c r="EX105" s="21">
        <f>EXP(-LN(2)/2)*EX104+(1-EXP(-LN(2)/2))/(LN(2)/2)*ER105*EU105*VLOOKUP('Données projet'!$B$15,Paramètres!$A$1:$I$89,3,0)*0.475*44/12</f>
        <v>3.4530763330722361E-10</v>
      </c>
      <c r="EY105" s="22">
        <f t="shared" si="75"/>
        <v>1.7454678327929412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>
        <f>FE105*VLOOKUP('Données projet'!$B$16,Paramètres!$A$1:$I$89,3,0)*VLOOKUP('Données projet'!$B$16,Paramètres!$A$1:$I$89,5,0)</f>
        <v>0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168.08890945052406</v>
      </c>
      <c r="FK105" s="59">
        <f t="shared" si="102"/>
        <v>182.52462557642343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1.4927538934792894</v>
      </c>
      <c r="FR105" s="21">
        <f>EXP(-LN(2)/25)*FR104+(1-EXP(-LN(2)/25))/(LN(2)/25)*Calculateur!FM105*Calculateur!FO105*VLOOKUP('Données projet'!$B$16,Paramètres!$A$1:$I$89,3,0)*0.475*44/12</f>
        <v>1.6750499536130263</v>
      </c>
      <c r="FS105" s="21">
        <f>EXP(-LN(2)/2)*FS104+(1-EXP(-LN(2)/2))/(LN(2)/2)*FM105*FP105*VLOOKUP('Données projet'!$B$16,Paramètres!$A$1:$I$89,3,0)*0.475*44/12</f>
        <v>7.9245253787291163E-11</v>
      </c>
      <c r="FT105" s="22">
        <f t="shared" si="78"/>
        <v>3.1678038471715606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-5.6843418860808015E-14</v>
      </c>
      <c r="GA105" s="17">
        <f>FZ105*VLOOKUP('Données projet'!$B$17,Paramètres!$A$1:$I$89,3,0)*VLOOKUP('Données projet'!$B$17,Paramètres!$A$1:$I$89,5,0)</f>
        <v>-3.2514435588382188E-14</v>
      </c>
      <c r="GB105" s="13" t="e">
        <f t="shared" si="103"/>
        <v>#NUM!</v>
      </c>
      <c r="GC105" s="20" t="e">
        <f t="shared" si="79"/>
        <v>#NUM!</v>
      </c>
      <c r="GD105" s="59" t="e">
        <f t="shared" si="80"/>
        <v>#NUM!</v>
      </c>
      <c r="GE105" s="59">
        <f ca="1">AVERAGE(OFFSET($GD$3,0,0,'Données projet'!$E$17+1,1))-AVERAGE(OFFSET($H$3,0,0,'Données projet'!$E$17+1,1))</f>
        <v>196.95560009657527</v>
      </c>
      <c r="GF105" s="59">
        <f t="shared" si="104"/>
        <v>168.90186968005662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0</v>
      </c>
      <c r="GM105" s="21">
        <f>EXP(-LN(2)/25)*GM104+(1-EXP(-LN(2)/25))/(LN(2)/25)*Calculateur!GH105*Calculateur!GJ105*VLOOKUP('Données projet'!$B$17,Paramètres!$A$1:$I$89,3,0)*0.475*44/12</f>
        <v>1.2539479006629461</v>
      </c>
      <c r="GN105" s="21">
        <f>EXP(-LN(2)/2)*GN104+(1-EXP(-LN(2)/2))/(LN(2)/2)*GH105*GK105*VLOOKUP('Données projet'!$B$17,Paramètres!$A$1:$I$89,3,0)*0.475*44/12</f>
        <v>1.8713149405411638E-10</v>
      </c>
      <c r="GO105" s="21">
        <f t="shared" si="81"/>
        <v>1.2539479008500776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-5.3205440053716299E-14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215.23235148064941</v>
      </c>
      <c r="T106" s="59">
        <f t="shared" si="88"/>
        <v>184.07239726900434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0.73844306772042612</v>
      </c>
      <c r="AA106" s="21">
        <f>EXP(-LN(2)/25)*AA105+(1-EXP(-LN(2)/25))/(LN(2)/25)*Calculateur!V106*Calculateur!X106*VLOOKUP('Données projet'!$B$9,Paramètres!$A$1:$I$89,3,0)*0.475*44/12</f>
        <v>1.0379209423947113</v>
      </c>
      <c r="AB106" s="21">
        <f>EXP(-LN(2)/2)*AB105+(1-EXP(-LN(2)/2))/(LN(2)/2)*V106*Y106*VLOOKUP('Données projet'!$B$9,Paramètres!$A$1:$I$89,3,0)*0.475*44/12</f>
        <v>1.0117071597837169E-10</v>
      </c>
      <c r="AC106" s="22">
        <f t="shared" si="57"/>
        <v>1.7763640102163081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5.6843418860808015E-14</v>
      </c>
      <c r="AJ106" s="13">
        <f>AI106*VLOOKUP('Données projet'!$B$10,Paramètres!$A$1:$I$89,3,0)*VLOOKUP('Données projet'!$B$10,Paramètres!$A$1:$I$89,5,0)</f>
        <v>4.1677594708744434E-14</v>
      </c>
      <c r="AK106" s="13">
        <f t="shared" si="89"/>
        <v>6.9326303456159188E-13</v>
      </c>
      <c r="AL106" s="20">
        <f t="shared" si="58"/>
        <v>1.2800215959791691E-12</v>
      </c>
      <c r="AM106" s="59">
        <f t="shared" si="59"/>
        <v>293.33333333333462</v>
      </c>
      <c r="AN106" s="59">
        <f ca="1">AVERAGE(OFFSET($AM$3,0,0,'Données projet'!$E$10+1,1))-AVERAGE(OFFSET($H$3,0,0,'Données projet'!$E$10+1,1))</f>
        <v>178.12968684094687</v>
      </c>
      <c r="AO106" s="59">
        <f t="shared" si="90"/>
        <v>219.36004077210373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1.0158545320980621</v>
      </c>
      <c r="AW106" s="21">
        <f>EXP(-LN(2)/2)*AW105+(1-EXP(-LN(2)/2))/(LN(2)/2)*AQ106*AT106*VLOOKUP('Données projet'!$B$10,Paramètres!$A$1:$I$89,3,0)*0.475*44/12</f>
        <v>1.0204882454900545E-10</v>
      </c>
      <c r="AX106" s="21">
        <f t="shared" si="60"/>
        <v>1.0158545322001109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-5.6843418860808015E-14</v>
      </c>
      <c r="BE106" s="13">
        <f>BD106*VLOOKUP('Données projet'!$B$11,Paramètres!$A$1:$I$89,3,0)*VLOOKUP('Données projet'!$B$11,Paramètres!$A$1:$I$89,5,0)</f>
        <v>-4.9658410716801891E-14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114.02623091248347</v>
      </c>
      <c r="BJ106" s="59">
        <f t="shared" si="92"/>
        <v>185.51554083721635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0.45979419814884626</v>
      </c>
      <c r="BQ106" s="21">
        <f>EXP(-LN(2)/25)*BQ105+(1-EXP(-LN(2)/25))/(LN(2)/25)*Calculateur!BL106*Calculateur!BN106*VLOOKUP('Données projet'!$B$11,Paramètres!$A$1:$I$89,3,0)*0.475*44/12</f>
        <v>1.4872416292553798</v>
      </c>
      <c r="BR106" s="21">
        <f>EXP(-LN(2)/2)*BR105+(1-EXP(-LN(2)/2))/(LN(2)/2)*BL106*BO106*VLOOKUP('Données projet'!$B$11,Paramètres!$A$1:$I$89,3,0)*0.475*44/12</f>
        <v>1.8150385357365176E-10</v>
      </c>
      <c r="BS106" s="22">
        <f t="shared" si="63"/>
        <v>1.94703582758573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4.4000000000000004</v>
      </c>
      <c r="BY106" s="12">
        <f>IF('Données projet'!$A$114&gt;35,BY105+BX106-CG105,IF(A106&lt;'Données projet'!$A$114,$BV$205^A106,IF(A106='Données projet'!$A$114,'Données projet'!$B$114,BY105+BX106-CG105)))</f>
        <v>274.20000000000016</v>
      </c>
      <c r="BZ106" s="13">
        <f>BY106*VLOOKUP('Données projet'!$B$12,Paramètres!$A$1:$I$89,3,0)*VLOOKUP('Données projet'!$B$12,Paramètres!$A$1:$I$89,5,0)</f>
        <v>248.09616000000014</v>
      </c>
      <c r="CA106" s="13">
        <f t="shared" si="93"/>
        <v>60.178080967364686</v>
      </c>
      <c r="CB106" s="20">
        <f t="shared" si="64"/>
        <v>536.91096968482714</v>
      </c>
      <c r="CC106" s="59">
        <f t="shared" si="65"/>
        <v>830.24430301816051</v>
      </c>
      <c r="CD106" s="59">
        <f ca="1">AVERAGE(OFFSET($CC$3,0,0,'Données projet'!$E$12+1,1))-AVERAGE(OFFSET($H$3,0,0,'Données projet'!$E$12+1,1))</f>
        <v>237.22177246688199</v>
      </c>
      <c r="CE106" s="59">
        <f t="shared" si="94"/>
        <v>149.27472147904302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0.41037908514876031</v>
      </c>
      <c r="CM106" s="21">
        <f>EXP(-LN(2)/2)*CM105+(1-EXP(-LN(2)/2))/(LN(2)/2)*CG106*CJ106*VLOOKUP('Données projet'!$B$12,Paramètres!$A$1:$I$89,3,0)*0.475*44/12</f>
        <v>6.3686891211382306E-11</v>
      </c>
      <c r="CN106" s="22">
        <f t="shared" si="66"/>
        <v>0.4103790852124472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-5.6843418860808015E-13</v>
      </c>
      <c r="CU106" s="17">
        <f>CT106*VLOOKUP('Données projet'!$B$13,Paramètres!$A$1:$I$89,3,0)*VLOOKUP('Données projet'!$B$13,Paramètres!$A$1:$I$89,5,0)</f>
        <v>-3.177547114319168E-13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326.31232746914907</v>
      </c>
      <c r="CZ106" s="59">
        <f t="shared" si="96"/>
        <v>330.17137761430297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1.0761140807738969</v>
      </c>
      <c r="DG106" s="21">
        <f>EXP(-LN(2)/25)*DG105+(1-EXP(-LN(2)/25))/(LN(2)/25)*Calculateur!DB106*Calculateur!DD106*VLOOKUP('Données projet'!$B$13,Paramètres!$A$1:$I$89,3,0)*0.475*44/12</f>
        <v>3.9866688320959396</v>
      </c>
      <c r="DH106" s="21">
        <f>EXP(-LN(2)/2)*DH105+(1-EXP(-LN(2)/2))/(LN(2)/2)*DB106*DE106*VLOOKUP('Données projet'!$B$13,Paramètres!$A$1:$I$89,3,0)*0.475*44/12</f>
        <v>3.3464441694498112E-10</v>
      </c>
      <c r="DI106" s="22">
        <f t="shared" si="69"/>
        <v>5.0627829132044813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6.2527760746888816E-13</v>
      </c>
      <c r="DP106" s="17">
        <f>DO106*VLOOKUP('Données projet'!$B$14,Paramètres!$A$1:$I$89,3,0)*VLOOKUP('Données projet'!$B$14,Paramètres!$A$1:$I$89,5,0)</f>
        <v>3.9017322706058616E-13</v>
      </c>
      <c r="DQ106" s="13">
        <f t="shared" si="97"/>
        <v>5.0025007393608908E-12</v>
      </c>
      <c r="DR106" s="20">
        <f t="shared" si="70"/>
        <v>9.3922404915174053E-12</v>
      </c>
      <c r="DS106" s="59">
        <f t="shared" si="71"/>
        <v>293.33333333334269</v>
      </c>
      <c r="DT106" s="59">
        <f ca="1">AVERAGE(OFFSET($DS$3,0,0,'Données projet'!$E$14+1,1))-AVERAGE(OFFSET($H$3,0,0,'Données projet'!$E$14+1,1))</f>
        <v>209.93608079129638</v>
      </c>
      <c r="DU106" s="59">
        <f t="shared" si="98"/>
        <v>240.15652428700969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1.6380594887044493</v>
      </c>
      <c r="EB106" s="21">
        <f>EXP(-LN(2)/25)*EB105+(1-EXP(-LN(2)/25))/(LN(2)/25)*Calculateur!DW106*Calculateur!DY106*VLOOKUP('Données projet'!$B$14,Paramètres!$A$1:$I$89,3,0)*0.475*44/12</f>
        <v>2.7466492831845413</v>
      </c>
      <c r="EC106" s="21">
        <f>EXP(-LN(2)/2)*EC105+(1-EXP(-LN(2)/2))/(LN(2)/2)*DW106*DZ106*VLOOKUP('Données projet'!$B$14,Paramètres!$A$1:$I$89,3,0)*0.475*44/12</f>
        <v>2.077586040884988E-10</v>
      </c>
      <c r="ED106" s="22">
        <f t="shared" si="72"/>
        <v>4.384708772096749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-4.5474735088646412E-13</v>
      </c>
      <c r="EK106" s="17">
        <f>EJ106*VLOOKUP('Données projet'!$B$15,Paramètres!$A$1:$I$89,3,0)*VLOOKUP('Données projet'!$B$15,Paramètres!$A$1:$I$89,5,0)</f>
        <v>-2.7193891583010558E-13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216.94426559495264</v>
      </c>
      <c r="EP106" s="59">
        <f t="shared" si="100"/>
        <v>225.33715877618704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0</v>
      </c>
      <c r="EW106" s="21">
        <f>EXP(-LN(2)/25)*EW105+(1-EXP(-LN(2)/25))/(LN(2)/25)*Calculateur!ER106*Calculateur!ET106*VLOOKUP('Données projet'!$B$15,Paramètres!$A$1:$I$89,3,0)*0.475*44/12</f>
        <v>1.6977379227791891</v>
      </c>
      <c r="EX106" s="21">
        <f>EXP(-LN(2)/2)*EX105+(1-EXP(-LN(2)/2))/(LN(2)/2)*ER106*EU106*VLOOKUP('Données projet'!$B$15,Paramètres!$A$1:$I$89,3,0)*0.475*44/12</f>
        <v>2.4416936910701555E-10</v>
      </c>
      <c r="EY106" s="22">
        <f t="shared" si="75"/>
        <v>1.6977379230233585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>
        <f>FE106*VLOOKUP('Données projet'!$B$16,Paramètres!$A$1:$I$89,3,0)*VLOOKUP('Données projet'!$B$16,Paramètres!$A$1:$I$89,5,0)</f>
        <v>0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168.08890945052406</v>
      </c>
      <c r="FK106" s="59">
        <f t="shared" si="102"/>
        <v>182.52462557642343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1.4634819001181323</v>
      </c>
      <c r="FR106" s="21">
        <f>EXP(-LN(2)/25)*FR105+(1-EXP(-LN(2)/25))/(LN(2)/25)*Calculateur!FM106*Calculateur!FO106*VLOOKUP('Données projet'!$B$16,Paramètres!$A$1:$I$89,3,0)*0.475*44/12</f>
        <v>1.6292456245444293</v>
      </c>
      <c r="FS106" s="21">
        <f>EXP(-LN(2)/2)*FS105+(1-EXP(-LN(2)/2))/(LN(2)/2)*FM106*FP106*VLOOKUP('Données projet'!$B$16,Paramètres!$A$1:$I$89,3,0)*0.475*44/12</f>
        <v>5.6034856329842519E-11</v>
      </c>
      <c r="FT106" s="22">
        <f t="shared" si="78"/>
        <v>3.0927275247185961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-5.6843418860808015E-14</v>
      </c>
      <c r="GA106" s="17">
        <f>FZ106*VLOOKUP('Données projet'!$B$17,Paramètres!$A$1:$I$89,3,0)*VLOOKUP('Données projet'!$B$17,Paramètres!$A$1:$I$89,5,0)</f>
        <v>-3.2514435588382188E-14</v>
      </c>
      <c r="GB106" s="13" t="e">
        <f t="shared" si="103"/>
        <v>#NUM!</v>
      </c>
      <c r="GC106" s="20" t="e">
        <f t="shared" si="79"/>
        <v>#NUM!</v>
      </c>
      <c r="GD106" s="59" t="e">
        <f t="shared" si="80"/>
        <v>#NUM!</v>
      </c>
      <c r="GE106" s="59">
        <f ca="1">AVERAGE(OFFSET($GD$3,0,0,'Données projet'!$E$17+1,1))-AVERAGE(OFFSET($H$3,0,0,'Données projet'!$E$17+1,1))</f>
        <v>196.95560009657527</v>
      </c>
      <c r="GF106" s="59">
        <f t="shared" si="104"/>
        <v>168.90186968005662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0</v>
      </c>
      <c r="GM106" s="21">
        <f>EXP(-LN(2)/25)*GM105+(1-EXP(-LN(2)/25))/(LN(2)/25)*Calculateur!GH106*Calculateur!GJ106*VLOOKUP('Données projet'!$B$17,Paramètres!$A$1:$I$89,3,0)*0.475*44/12</f>
        <v>1.2196586293770637</v>
      </c>
      <c r="GN106" s="21">
        <f>EXP(-LN(2)/2)*GN105+(1-EXP(-LN(2)/2))/(LN(2)/2)*GH106*GK106*VLOOKUP('Données projet'!$B$17,Paramètres!$A$1:$I$89,3,0)*0.475*44/12</f>
        <v>1.3232194841923579E-10</v>
      </c>
      <c r="GO106" s="21">
        <f t="shared" si="81"/>
        <v>1.2196586295093856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-5.3205440053716299E-14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215.23235148064941</v>
      </c>
      <c r="T107" s="59">
        <f t="shared" si="88"/>
        <v>184.07239726900434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0.72396264956822598</v>
      </c>
      <c r="AA107" s="21">
        <f>EXP(-LN(2)/25)*AA106+(1-EXP(-LN(2)/25))/(LN(2)/25)*Calculateur!V107*Calculateur!X107*VLOOKUP('Données projet'!$B$9,Paramètres!$A$1:$I$89,3,0)*0.475*44/12</f>
        <v>1.0095389396430379</v>
      </c>
      <c r="AB107" s="21">
        <f>EXP(-LN(2)/2)*AB106+(1-EXP(-LN(2)/2))/(LN(2)/2)*V107*Y107*VLOOKUP('Données projet'!$B$9,Paramètres!$A$1:$I$89,3,0)*0.475*44/12</f>
        <v>7.1538499325804819E-11</v>
      </c>
      <c r="AC107" s="22">
        <f t="shared" si="57"/>
        <v>1.7335015892828023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5.6843418860808015E-14</v>
      </c>
      <c r="AJ107" s="13">
        <f>AI107*VLOOKUP('Données projet'!$B$10,Paramètres!$A$1:$I$89,3,0)*VLOOKUP('Données projet'!$B$10,Paramètres!$A$1:$I$89,5,0)</f>
        <v>4.1677594708744434E-14</v>
      </c>
      <c r="AK107" s="13">
        <f t="shared" si="89"/>
        <v>6.9326303456159188E-13</v>
      </c>
      <c r="AL107" s="20">
        <f t="shared" si="58"/>
        <v>1.2800215959791691E-12</v>
      </c>
      <c r="AM107" s="59">
        <f t="shared" si="59"/>
        <v>293.33333333333462</v>
      </c>
      <c r="AN107" s="59">
        <f ca="1">AVERAGE(OFFSET($AM$3,0,0,'Données projet'!$E$10+1,1))-AVERAGE(OFFSET($H$3,0,0,'Données projet'!$E$10+1,1))</f>
        <v>178.12968684094687</v>
      </c>
      <c r="AO107" s="59">
        <f t="shared" si="90"/>
        <v>219.36004077210373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0.98807593649637249</v>
      </c>
      <c r="AW107" s="21">
        <f>EXP(-LN(2)/2)*AW106+(1-EXP(-LN(2)/2))/(LN(2)/2)*AQ107*AT107*VLOOKUP('Données projet'!$B$10,Paramètres!$A$1:$I$89,3,0)*0.475*44/12</f>
        <v>7.2159415850717977E-11</v>
      </c>
      <c r="AX107" s="21">
        <f t="shared" si="60"/>
        <v>0.98807593656853188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-5.6843418860808015E-14</v>
      </c>
      <c r="BE107" s="13">
        <f>BD107*VLOOKUP('Données projet'!$B$11,Paramètres!$A$1:$I$89,3,0)*VLOOKUP('Données projet'!$B$11,Paramètres!$A$1:$I$89,5,0)</f>
        <v>-4.9658410716801891E-14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114.02623091248347</v>
      </c>
      <c r="BJ107" s="59">
        <f t="shared" si="92"/>
        <v>185.51554083721635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0.45077791436991643</v>
      </c>
      <c r="BQ107" s="21">
        <f>EXP(-LN(2)/25)*BQ106+(1-EXP(-LN(2)/25))/(LN(2)/25)*Calculateur!BL107*Calculateur!BN107*VLOOKUP('Données projet'!$B$11,Paramètres!$A$1:$I$89,3,0)*0.475*44/12</f>
        <v>1.4465729286927533</v>
      </c>
      <c r="BR107" s="21">
        <f>EXP(-LN(2)/2)*BR106+(1-EXP(-LN(2)/2))/(LN(2)/2)*BL107*BO107*VLOOKUP('Données projet'!$B$11,Paramètres!$A$1:$I$89,3,0)*0.475*44/12</f>
        <v>1.2834260567341933E-10</v>
      </c>
      <c r="BS107" s="22">
        <f t="shared" si="63"/>
        <v>1.8973508431910124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4.4000000000000004</v>
      </c>
      <c r="BY107" s="12">
        <f>IF('Données projet'!$A$114&gt;35,BY106+BX107-CG106,IF(A107&lt;'Données projet'!$A$114,$BV$205^A107,IF(A107='Données projet'!$A$114,'Données projet'!$B$114,BY106+BX107-CG106)))</f>
        <v>278.60000000000014</v>
      </c>
      <c r="BZ107" s="13">
        <f>BY107*VLOOKUP('Données projet'!$B$12,Paramètres!$A$1:$I$89,3,0)*VLOOKUP('Données projet'!$B$12,Paramètres!$A$1:$I$89,5,0)</f>
        <v>252.07728000000014</v>
      </c>
      <c r="CA107" s="13">
        <f t="shared" si="93"/>
        <v>61.030544652155044</v>
      </c>
      <c r="CB107" s="20">
        <f t="shared" si="64"/>
        <v>545.32946126917022</v>
      </c>
      <c r="CC107" s="59">
        <f t="shared" si="65"/>
        <v>838.66279460250348</v>
      </c>
      <c r="CD107" s="59">
        <f ca="1">AVERAGE(OFFSET($CC$3,0,0,'Données projet'!$E$12+1,1))-AVERAGE(OFFSET($H$3,0,0,'Données projet'!$E$12+1,1))</f>
        <v>237.22177246688199</v>
      </c>
      <c r="CE107" s="59">
        <f t="shared" si="94"/>
        <v>149.27472147904302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0.39915724748446929</v>
      </c>
      <c r="CM107" s="21">
        <f>EXP(-LN(2)/2)*CM106+(1-EXP(-LN(2)/2))/(LN(2)/2)*CG107*CJ107*VLOOKUP('Données projet'!$B$12,Paramètres!$A$1:$I$89,3,0)*0.475*44/12</f>
        <v>4.5033432648258366E-11</v>
      </c>
      <c r="CN107" s="22">
        <f t="shared" si="66"/>
        <v>0.39915724752950271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-5.6843418860808015E-13</v>
      </c>
      <c r="CU107" s="17">
        <f>CT107*VLOOKUP('Données projet'!$B$13,Paramètres!$A$1:$I$89,3,0)*VLOOKUP('Données projet'!$B$13,Paramètres!$A$1:$I$89,5,0)</f>
        <v>-3.177547114319168E-13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326.31232746914907</v>
      </c>
      <c r="CZ107" s="59">
        <f t="shared" si="96"/>
        <v>330.17137761430297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1.0550121400146995</v>
      </c>
      <c r="DG107" s="21">
        <f>EXP(-LN(2)/25)*DG106+(1-EXP(-LN(2)/25))/(LN(2)/25)*Calculateur!DB107*Calculateur!DD107*VLOOKUP('Données projet'!$B$13,Paramètres!$A$1:$I$89,3,0)*0.475*44/12</f>
        <v>3.8776531632324738</v>
      </c>
      <c r="DH107" s="21">
        <f>EXP(-LN(2)/2)*DH106+(1-EXP(-LN(2)/2))/(LN(2)/2)*DB107*DE107*VLOOKUP('Données projet'!$B$13,Paramètres!$A$1:$I$89,3,0)*0.475*44/12</f>
        <v>2.3662933650801454E-10</v>
      </c>
      <c r="DI107" s="22">
        <f t="shared" si="69"/>
        <v>4.9326653034838026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6.2527760746888816E-13</v>
      </c>
      <c r="DP107" s="17">
        <f>DO107*VLOOKUP('Données projet'!$B$14,Paramètres!$A$1:$I$89,3,0)*VLOOKUP('Données projet'!$B$14,Paramètres!$A$1:$I$89,5,0)</f>
        <v>3.9017322706058616E-13</v>
      </c>
      <c r="DQ107" s="13">
        <f t="shared" si="97"/>
        <v>5.0025007393608908E-12</v>
      </c>
      <c r="DR107" s="20">
        <f t="shared" si="70"/>
        <v>9.3922404915174053E-12</v>
      </c>
      <c r="DS107" s="59">
        <f t="shared" si="71"/>
        <v>293.33333333334269</v>
      </c>
      <c r="DT107" s="59">
        <f ca="1">AVERAGE(OFFSET($DS$3,0,0,'Données projet'!$E$14+1,1))-AVERAGE(OFFSET($H$3,0,0,'Données projet'!$E$14+1,1))</f>
        <v>209.93608079129638</v>
      </c>
      <c r="DU107" s="59">
        <f t="shared" si="98"/>
        <v>240.15652428700969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1.6059381412485885</v>
      </c>
      <c r="EB107" s="21">
        <f>EXP(-LN(2)/25)*EB106+(1-EXP(-LN(2)/25))/(LN(2)/25)*Calculateur!DW107*Calculateur!DY107*VLOOKUP('Données projet'!$B$14,Paramètres!$A$1:$I$89,3,0)*0.475*44/12</f>
        <v>2.6715420140958517</v>
      </c>
      <c r="EC107" s="21">
        <f>EXP(-LN(2)/2)*EC106+(1-EXP(-LN(2)/2))/(LN(2)/2)*DW107*DZ107*VLOOKUP('Données projet'!$B$14,Paramètres!$A$1:$I$89,3,0)*0.475*44/12</f>
        <v>1.4690751780082868E-10</v>
      </c>
      <c r="ED107" s="22">
        <f t="shared" si="72"/>
        <v>4.2774801554913475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-4.5474735088646412E-13</v>
      </c>
      <c r="EK107" s="17">
        <f>EJ107*VLOOKUP('Données projet'!$B$15,Paramètres!$A$1:$I$89,3,0)*VLOOKUP('Données projet'!$B$15,Paramètres!$A$1:$I$89,5,0)</f>
        <v>-2.7193891583010558E-13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216.94426559495264</v>
      </c>
      <c r="EP107" s="59">
        <f t="shared" si="100"/>
        <v>225.33715877618704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0</v>
      </c>
      <c r="EW107" s="21">
        <f>EXP(-LN(2)/25)*EW106+(1-EXP(-LN(2)/25))/(LN(2)/25)*Calculateur!ER107*Calculateur!ET107*VLOOKUP('Données projet'!$B$15,Paramètres!$A$1:$I$89,3,0)*0.475*44/12</f>
        <v>1.651313190000635</v>
      </c>
      <c r="EX107" s="21">
        <f>EXP(-LN(2)/2)*EX106+(1-EXP(-LN(2)/2))/(LN(2)/2)*ER107*EU107*VLOOKUP('Données projet'!$B$15,Paramètres!$A$1:$I$89,3,0)*0.475*44/12</f>
        <v>1.726538166536118E-10</v>
      </c>
      <c r="EY107" s="22">
        <f t="shared" si="75"/>
        <v>1.6513131901732889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>
        <f>FE107*VLOOKUP('Données projet'!$B$16,Paramètres!$A$1:$I$89,3,0)*VLOOKUP('Données projet'!$B$16,Paramètres!$A$1:$I$89,5,0)</f>
        <v>0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168.08890945052406</v>
      </c>
      <c r="FK107" s="59">
        <f t="shared" si="102"/>
        <v>182.52462557642343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1.4347839126926343</v>
      </c>
      <c r="FR107" s="21">
        <f>EXP(-LN(2)/25)*FR106+(1-EXP(-LN(2)/25))/(LN(2)/25)*Calculateur!FM107*Calculateur!FO107*VLOOKUP('Données projet'!$B$16,Paramètres!$A$1:$I$89,3,0)*0.475*44/12</f>
        <v>1.5846938172629581</v>
      </c>
      <c r="FS107" s="21">
        <f>EXP(-LN(2)/2)*FS106+(1-EXP(-LN(2)/2))/(LN(2)/2)*FM107*FP107*VLOOKUP('Données projet'!$B$16,Paramètres!$A$1:$I$89,3,0)*0.475*44/12</f>
        <v>3.9622626893645581E-11</v>
      </c>
      <c r="FT107" s="22">
        <f t="shared" si="78"/>
        <v>3.0194777299952147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-5.6843418860808015E-14</v>
      </c>
      <c r="GA107" s="17">
        <f>FZ107*VLOOKUP('Données projet'!$B$17,Paramètres!$A$1:$I$89,3,0)*VLOOKUP('Données projet'!$B$17,Paramètres!$A$1:$I$89,5,0)</f>
        <v>-3.2514435588382188E-14</v>
      </c>
      <c r="GB107" s="13" t="e">
        <f t="shared" si="103"/>
        <v>#NUM!</v>
      </c>
      <c r="GC107" s="20" t="e">
        <f t="shared" si="79"/>
        <v>#NUM!</v>
      </c>
      <c r="GD107" s="59" t="e">
        <f t="shared" si="80"/>
        <v>#NUM!</v>
      </c>
      <c r="GE107" s="59">
        <f ca="1">AVERAGE(OFFSET($GD$3,0,0,'Données projet'!$E$17+1,1))-AVERAGE(OFFSET($H$3,0,0,'Données projet'!$E$17+1,1))</f>
        <v>196.95560009657527</v>
      </c>
      <c r="GF107" s="59">
        <f t="shared" si="104"/>
        <v>168.90186968005662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0</v>
      </c>
      <c r="GM107" s="21">
        <f>EXP(-LN(2)/25)*GM106+(1-EXP(-LN(2)/25))/(LN(2)/25)*Calculateur!GH107*Calculateur!GJ107*VLOOKUP('Données projet'!$B$17,Paramètres!$A$1:$I$89,3,0)*0.475*44/12</f>
        <v>1.1863070000176881</v>
      </c>
      <c r="GN107" s="21">
        <f>EXP(-LN(2)/2)*GN106+(1-EXP(-LN(2)/2))/(LN(2)/2)*GH107*GK107*VLOOKUP('Données projet'!$B$17,Paramètres!$A$1:$I$89,3,0)*0.475*44/12</f>
        <v>9.356574702705819E-11</v>
      </c>
      <c r="GO107" s="21">
        <f t="shared" si="81"/>
        <v>1.1863070001112539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-5.3205440053716299E-14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215.23235148064941</v>
      </c>
      <c r="T108" s="59">
        <f t="shared" si="88"/>
        <v>184.07239726900434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0.7097661835838075</v>
      </c>
      <c r="AA108" s="21">
        <f>EXP(-LN(2)/25)*AA107+(1-EXP(-LN(2)/25))/(LN(2)/25)*Calculateur!V108*Calculateur!X108*VLOOKUP('Données projet'!$B$9,Paramètres!$A$1:$I$89,3,0)*0.475*44/12</f>
        <v>0.98193304424915351</v>
      </c>
      <c r="AB108" s="21">
        <f>EXP(-LN(2)/2)*AB107+(1-EXP(-LN(2)/2))/(LN(2)/2)*V108*Y108*VLOOKUP('Données projet'!$B$9,Paramètres!$A$1:$I$89,3,0)*0.475*44/12</f>
        <v>5.0585357989185847E-11</v>
      </c>
      <c r="AC108" s="22">
        <f t="shared" si="57"/>
        <v>1.6916992278835463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5.6843418860808015E-14</v>
      </c>
      <c r="AJ108" s="13">
        <f>AI108*VLOOKUP('Données projet'!$B$10,Paramètres!$A$1:$I$89,3,0)*VLOOKUP('Données projet'!$B$10,Paramètres!$A$1:$I$89,5,0)</f>
        <v>4.1677594708744434E-14</v>
      </c>
      <c r="AK108" s="13">
        <f t="shared" si="89"/>
        <v>6.9326303456159188E-13</v>
      </c>
      <c r="AL108" s="20">
        <f t="shared" si="58"/>
        <v>1.2800215959791691E-12</v>
      </c>
      <c r="AM108" s="59">
        <f t="shared" si="59"/>
        <v>293.33333333333462</v>
      </c>
      <c r="AN108" s="59">
        <f ca="1">AVERAGE(OFFSET($AM$3,0,0,'Données projet'!$E$10+1,1))-AVERAGE(OFFSET($H$3,0,0,'Données projet'!$E$10+1,1))</f>
        <v>178.12968684094687</v>
      </c>
      <c r="AO108" s="59">
        <f t="shared" si="90"/>
        <v>219.36004077210373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0.96105694805222397</v>
      </c>
      <c r="AW108" s="21">
        <f>EXP(-LN(2)/2)*AW107+(1-EXP(-LN(2)/2))/(LN(2)/2)*AQ108*AT108*VLOOKUP('Données projet'!$B$10,Paramètres!$A$1:$I$89,3,0)*0.475*44/12</f>
        <v>5.1024412274502726E-11</v>
      </c>
      <c r="AX108" s="21">
        <f t="shared" si="60"/>
        <v>0.96105694810324838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-5.6843418860808015E-14</v>
      </c>
      <c r="BE108" s="13">
        <f>BD108*VLOOKUP('Données projet'!$B$11,Paramètres!$A$1:$I$89,3,0)*VLOOKUP('Données projet'!$B$11,Paramètres!$A$1:$I$89,5,0)</f>
        <v>-4.9658410716801891E-14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114.02623091248347</v>
      </c>
      <c r="BJ108" s="59">
        <f t="shared" si="92"/>
        <v>185.51554083721635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0.44193843441650132</v>
      </c>
      <c r="BQ108" s="21">
        <f>EXP(-LN(2)/25)*BQ107+(1-EXP(-LN(2)/25))/(LN(2)/25)*Calculateur!BL108*Calculateur!BN108*VLOOKUP('Données projet'!$B$11,Paramètres!$A$1:$I$89,3,0)*0.475*44/12</f>
        <v>1.4070163158856859</v>
      </c>
      <c r="BR108" s="21">
        <f>EXP(-LN(2)/2)*BR107+(1-EXP(-LN(2)/2))/(LN(2)/2)*BL108*BO108*VLOOKUP('Données projet'!$B$11,Paramètres!$A$1:$I$89,3,0)*0.475*44/12</f>
        <v>9.075192678682588E-11</v>
      </c>
      <c r="BS108" s="22">
        <f t="shared" si="63"/>
        <v>1.8489547503929391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4.4000000000000004</v>
      </c>
      <c r="BY108" s="12">
        <f>IF('Données projet'!$A$114&gt;35,BY107+BX108-CG107,IF(A108&lt;'Données projet'!$A$114,$BV$205^A108,IF(A108='Données projet'!$A$114,'Données projet'!$B$114,BY107+BX108-CG107)))</f>
        <v>283.00000000000011</v>
      </c>
      <c r="BZ108" s="13">
        <f>BY108*VLOOKUP('Données projet'!$B$12,Paramètres!$A$1:$I$89,3,0)*VLOOKUP('Données projet'!$B$12,Paramètres!$A$1:$I$89,5,0)</f>
        <v>256.05840000000006</v>
      </c>
      <c r="CA108" s="13">
        <f t="shared" si="93"/>
        <v>61.881442594256484</v>
      </c>
      <c r="CB108" s="20">
        <f t="shared" si="64"/>
        <v>553.74522585166358</v>
      </c>
      <c r="CC108" s="59">
        <f t="shared" si="65"/>
        <v>847.07855918499695</v>
      </c>
      <c r="CD108" s="59">
        <f ca="1">AVERAGE(OFFSET($CC$3,0,0,'Données projet'!$E$12+1,1))-AVERAGE(OFFSET($H$3,0,0,'Données projet'!$E$12+1,1))</f>
        <v>237.22177246688199</v>
      </c>
      <c r="CE108" s="59">
        <f t="shared" si="94"/>
        <v>149.27472147904302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0.38824227156123914</v>
      </c>
      <c r="CM108" s="21">
        <f>EXP(-LN(2)/2)*CM107+(1-EXP(-LN(2)/2))/(LN(2)/2)*CG108*CJ108*VLOOKUP('Données projet'!$B$12,Paramètres!$A$1:$I$89,3,0)*0.475*44/12</f>
        <v>3.1843445605691153E-11</v>
      </c>
      <c r="CN108" s="22">
        <f t="shared" si="66"/>
        <v>0.38824227159308261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-5.6843418860808015E-13</v>
      </c>
      <c r="CU108" s="17">
        <f>CT108*VLOOKUP('Données projet'!$B$13,Paramètres!$A$1:$I$89,3,0)*VLOOKUP('Données projet'!$B$13,Paramètres!$A$1:$I$89,5,0)</f>
        <v>-3.177547114319168E-13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326.31232746914907</v>
      </c>
      <c r="CZ108" s="59">
        <f t="shared" si="96"/>
        <v>330.17137761430297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1.0343239954428769</v>
      </c>
      <c r="DG108" s="21">
        <f>EXP(-LN(2)/25)*DG107+(1-EXP(-LN(2)/25))/(LN(2)/25)*Calculateur!DB108*Calculateur!DD108*VLOOKUP('Données projet'!$B$13,Paramètres!$A$1:$I$89,3,0)*0.475*44/12</f>
        <v>3.7716185335669645</v>
      </c>
      <c r="DH108" s="21">
        <f>EXP(-LN(2)/2)*DH107+(1-EXP(-LN(2)/2))/(LN(2)/2)*DB108*DE108*VLOOKUP('Données projet'!$B$13,Paramètres!$A$1:$I$89,3,0)*0.475*44/12</f>
        <v>1.6732220847249056E-10</v>
      </c>
      <c r="DI108" s="22">
        <f t="shared" si="69"/>
        <v>4.8059425291771634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6.2527760746888816E-13</v>
      </c>
      <c r="DP108" s="17">
        <f>DO108*VLOOKUP('Données projet'!$B$14,Paramètres!$A$1:$I$89,3,0)*VLOOKUP('Données projet'!$B$14,Paramètres!$A$1:$I$89,5,0)</f>
        <v>3.9017322706058616E-13</v>
      </c>
      <c r="DQ108" s="13">
        <f t="shared" si="97"/>
        <v>5.0025007393608908E-12</v>
      </c>
      <c r="DR108" s="20">
        <f t="shared" si="70"/>
        <v>9.3922404915174053E-12</v>
      </c>
      <c r="DS108" s="59">
        <f t="shared" si="71"/>
        <v>293.33333333334269</v>
      </c>
      <c r="DT108" s="59">
        <f ca="1">AVERAGE(OFFSET($DS$3,0,0,'Données projet'!$E$14+1,1))-AVERAGE(OFFSET($H$3,0,0,'Données projet'!$E$14+1,1))</f>
        <v>209.93608079129638</v>
      </c>
      <c r="DU108" s="59">
        <f t="shared" si="98"/>
        <v>240.15652428700969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1.5744466738242497</v>
      </c>
      <c r="EB108" s="21">
        <f>EXP(-LN(2)/25)*EB107+(1-EXP(-LN(2)/25))/(LN(2)/25)*Calculateur!DW108*Calculateur!DY108*VLOOKUP('Données projet'!$B$14,Paramètres!$A$1:$I$89,3,0)*0.475*44/12</f>
        <v>2.598488557230112</v>
      </c>
      <c r="EC108" s="21">
        <f>EXP(-LN(2)/2)*EC107+(1-EXP(-LN(2)/2))/(LN(2)/2)*DW108*DZ108*VLOOKUP('Données projet'!$B$14,Paramètres!$A$1:$I$89,3,0)*0.475*44/12</f>
        <v>1.038793020442494E-10</v>
      </c>
      <c r="ED108" s="22">
        <f t="shared" si="72"/>
        <v>4.1729352311582417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-4.5474735088646412E-13</v>
      </c>
      <c r="EK108" s="17">
        <f>EJ108*VLOOKUP('Données projet'!$B$15,Paramètres!$A$1:$I$89,3,0)*VLOOKUP('Données projet'!$B$15,Paramètres!$A$1:$I$89,5,0)</f>
        <v>-2.7193891583010558E-13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216.94426559495264</v>
      </c>
      <c r="EP108" s="59">
        <f t="shared" si="100"/>
        <v>225.33715877618704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0</v>
      </c>
      <c r="EW108" s="21">
        <f>EXP(-LN(2)/25)*EW107+(1-EXP(-LN(2)/25))/(LN(2)/25)*Calculateur!ER108*Calculateur!ET108*VLOOKUP('Données projet'!$B$15,Paramètres!$A$1:$I$89,3,0)*0.475*44/12</f>
        <v>1.6061579439812812</v>
      </c>
      <c r="EX108" s="21">
        <f>EXP(-LN(2)/2)*EX107+(1-EXP(-LN(2)/2))/(LN(2)/2)*ER108*EU108*VLOOKUP('Données projet'!$B$15,Paramètres!$A$1:$I$89,3,0)*0.475*44/12</f>
        <v>1.2208468455350777E-10</v>
      </c>
      <c r="EY108" s="22">
        <f t="shared" si="75"/>
        <v>1.606157944103366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>
        <f>FE108*VLOOKUP('Données projet'!$B$16,Paramètres!$A$1:$I$89,3,0)*VLOOKUP('Données projet'!$B$16,Paramètres!$A$1:$I$89,5,0)</f>
        <v>0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168.08890945052406</v>
      </c>
      <c r="FK108" s="59">
        <f t="shared" si="102"/>
        <v>182.52462557642343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1.4066486752965064</v>
      </c>
      <c r="FR108" s="21">
        <f>EXP(-LN(2)/25)*FR107+(1-EXP(-LN(2)/25))/(LN(2)/25)*Calculateur!FM108*Calculateur!FO108*VLOOKUP('Données projet'!$B$16,Paramètres!$A$1:$I$89,3,0)*0.475*44/12</f>
        <v>1.5413602814944765</v>
      </c>
      <c r="FS108" s="21">
        <f>EXP(-LN(2)/2)*FS107+(1-EXP(-LN(2)/2))/(LN(2)/2)*FM108*FP108*VLOOKUP('Données projet'!$B$16,Paramètres!$A$1:$I$89,3,0)*0.475*44/12</f>
        <v>2.801742816492126E-11</v>
      </c>
      <c r="FT108" s="22">
        <f t="shared" si="78"/>
        <v>2.9480089568190007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-5.6843418860808015E-14</v>
      </c>
      <c r="GA108" s="17">
        <f>FZ108*VLOOKUP('Données projet'!$B$17,Paramètres!$A$1:$I$89,3,0)*VLOOKUP('Données projet'!$B$17,Paramètres!$A$1:$I$89,5,0)</f>
        <v>-3.2514435588382188E-14</v>
      </c>
      <c r="GB108" s="13" t="e">
        <f t="shared" si="103"/>
        <v>#NUM!</v>
      </c>
      <c r="GC108" s="20" t="e">
        <f t="shared" si="79"/>
        <v>#NUM!</v>
      </c>
      <c r="GD108" s="59" t="e">
        <f t="shared" si="80"/>
        <v>#NUM!</v>
      </c>
      <c r="GE108" s="59">
        <f ca="1">AVERAGE(OFFSET($GD$3,0,0,'Données projet'!$E$17+1,1))-AVERAGE(OFFSET($H$3,0,0,'Données projet'!$E$17+1,1))</f>
        <v>196.95560009657527</v>
      </c>
      <c r="GF108" s="59">
        <f t="shared" si="104"/>
        <v>168.90186968005662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0</v>
      </c>
      <c r="GM108" s="21">
        <f>EXP(-LN(2)/25)*GM107+(1-EXP(-LN(2)/25))/(LN(2)/25)*Calculateur!GH108*Calculateur!GJ108*VLOOKUP('Données projet'!$B$17,Paramètres!$A$1:$I$89,3,0)*0.475*44/12</f>
        <v>1.1538673727170305</v>
      </c>
      <c r="GN108" s="21">
        <f>EXP(-LN(2)/2)*GN107+(1-EXP(-LN(2)/2))/(LN(2)/2)*GH108*GK108*VLOOKUP('Données projet'!$B$17,Paramètres!$A$1:$I$89,3,0)*0.475*44/12</f>
        <v>6.6160974209617895E-11</v>
      </c>
      <c r="GO108" s="21">
        <f t="shared" si="81"/>
        <v>1.1538673727831916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-5.3205440053716299E-14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215.23235148064941</v>
      </c>
      <c r="T109" s="59">
        <f t="shared" si="88"/>
        <v>184.07239726900434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0.6958481016383542</v>
      </c>
      <c r="AA109" s="21">
        <f>EXP(-LN(2)/25)*AA108+(1-EXP(-LN(2)/25))/(LN(2)/25)*Calculateur!V109*Calculateur!X109*VLOOKUP('Données projet'!$B$9,Paramètres!$A$1:$I$89,3,0)*0.475*44/12</f>
        <v>0.95508203351654586</v>
      </c>
      <c r="AB109" s="21">
        <f>EXP(-LN(2)/2)*AB108+(1-EXP(-LN(2)/2))/(LN(2)/2)*V109*Y109*VLOOKUP('Données projet'!$B$9,Paramètres!$A$1:$I$89,3,0)*0.475*44/12</f>
        <v>3.576924966290241E-11</v>
      </c>
      <c r="AC109" s="22">
        <f t="shared" si="57"/>
        <v>1.6509301351906691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5.6843418860808015E-14</v>
      </c>
      <c r="AJ109" s="13">
        <f>AI109*VLOOKUP('Données projet'!$B$10,Paramètres!$A$1:$I$89,3,0)*VLOOKUP('Données projet'!$B$10,Paramètres!$A$1:$I$89,5,0)</f>
        <v>4.1677594708744434E-14</v>
      </c>
      <c r="AK109" s="13">
        <f t="shared" si="89"/>
        <v>6.9326303456159188E-13</v>
      </c>
      <c r="AL109" s="20">
        <f t="shared" si="58"/>
        <v>1.2800215959791691E-12</v>
      </c>
      <c r="AM109" s="59">
        <f t="shared" si="59"/>
        <v>293.33333333333462</v>
      </c>
      <c r="AN109" s="59">
        <f ca="1">AVERAGE(OFFSET($AM$3,0,0,'Données projet'!$E$10+1,1))-AVERAGE(OFFSET($H$3,0,0,'Données projet'!$E$10+1,1))</f>
        <v>178.12968684094687</v>
      </c>
      <c r="AO109" s="59">
        <f t="shared" si="90"/>
        <v>219.36004077210373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0.93477679526794755</v>
      </c>
      <c r="AW109" s="21">
        <f>EXP(-LN(2)/2)*AW108+(1-EXP(-LN(2)/2))/(LN(2)/2)*AQ109*AT109*VLOOKUP('Données projet'!$B$10,Paramètres!$A$1:$I$89,3,0)*0.475*44/12</f>
        <v>3.6079707925358988E-11</v>
      </c>
      <c r="AX109" s="21">
        <f t="shared" si="60"/>
        <v>0.93477679530402724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-5.6843418860808015E-14</v>
      </c>
      <c r="BE109" s="13">
        <f>BD109*VLOOKUP('Données projet'!$B$11,Paramètres!$A$1:$I$89,3,0)*VLOOKUP('Données projet'!$B$11,Paramètres!$A$1:$I$89,5,0)</f>
        <v>-4.9658410716801891E-14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114.02623091248347</v>
      </c>
      <c r="BJ109" s="59">
        <f t="shared" si="92"/>
        <v>185.51554083721635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0.43327229127342232</v>
      </c>
      <c r="BQ109" s="21">
        <f>EXP(-LN(2)/25)*BQ108+(1-EXP(-LN(2)/25))/(LN(2)/25)*Calculateur!BL109*Calculateur!BN109*VLOOKUP('Données projet'!$B$11,Paramètres!$A$1:$I$89,3,0)*0.475*44/12</f>
        <v>1.3685413807360196</v>
      </c>
      <c r="BR109" s="21">
        <f>EXP(-LN(2)/2)*BR108+(1-EXP(-LN(2)/2))/(LN(2)/2)*BL109*BO109*VLOOKUP('Données projet'!$B$11,Paramètres!$A$1:$I$89,3,0)*0.475*44/12</f>
        <v>6.4171302836709667E-11</v>
      </c>
      <c r="BS109" s="22">
        <f t="shared" si="63"/>
        <v>1.8018136720736133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4.4000000000000004</v>
      </c>
      <c r="BY109" s="12">
        <f>IF('Données projet'!$A$114&gt;35,BY108+BX109-CG108,IF(A109&lt;'Données projet'!$A$114,$BV$205^A109,IF(A109='Données projet'!$A$114,'Données projet'!$B$114,BY108+BX109-CG108)))</f>
        <v>287.40000000000009</v>
      </c>
      <c r="BZ109" s="13">
        <f>BY109*VLOOKUP('Données projet'!$B$12,Paramètres!$A$1:$I$89,3,0)*VLOOKUP('Données projet'!$B$12,Paramètres!$A$1:$I$89,5,0)</f>
        <v>260.03952000000004</v>
      </c>
      <c r="CA109" s="13">
        <f t="shared" si="93"/>
        <v>62.730801948604871</v>
      </c>
      <c r="CB109" s="20">
        <f t="shared" si="64"/>
        <v>562.15831072715355</v>
      </c>
      <c r="CC109" s="59">
        <f t="shared" si="65"/>
        <v>855.49164406048681</v>
      </c>
      <c r="CD109" s="59">
        <f ca="1">AVERAGE(OFFSET($CC$3,0,0,'Données projet'!$E$12+1,1))-AVERAGE(OFFSET($H$3,0,0,'Données projet'!$E$12+1,1))</f>
        <v>237.22177246688199</v>
      </c>
      <c r="CE109" s="59">
        <f t="shared" si="94"/>
        <v>149.27472147904302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0.37762576622862332</v>
      </c>
      <c r="CM109" s="21">
        <f>EXP(-LN(2)/2)*CM108+(1-EXP(-LN(2)/2))/(LN(2)/2)*CG109*CJ109*VLOOKUP('Données projet'!$B$12,Paramètres!$A$1:$I$89,3,0)*0.475*44/12</f>
        <v>2.2516716324129183E-11</v>
      </c>
      <c r="CN109" s="22">
        <f t="shared" si="66"/>
        <v>0.37762576625114003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-5.6843418860808015E-13</v>
      </c>
      <c r="CU109" s="17">
        <f>CT109*VLOOKUP('Données projet'!$B$13,Paramètres!$A$1:$I$89,3,0)*VLOOKUP('Données projet'!$B$13,Paramètres!$A$1:$I$89,5,0)</f>
        <v>-3.177547114319168E-13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326.31232746914907</v>
      </c>
      <c r="CZ109" s="59">
        <f t="shared" si="96"/>
        <v>330.17137761430297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1.0140415327675856</v>
      </c>
      <c r="DG109" s="21">
        <f>EXP(-LN(2)/25)*DG108+(1-EXP(-LN(2)/25))/(LN(2)/25)*Calculateur!DB109*Calculateur!DD109*VLOOKUP('Données projet'!$B$13,Paramètres!$A$1:$I$89,3,0)*0.475*44/12</f>
        <v>3.6684834264257775</v>
      </c>
      <c r="DH109" s="21">
        <f>EXP(-LN(2)/2)*DH108+(1-EXP(-LN(2)/2))/(LN(2)/2)*DB109*DE109*VLOOKUP('Données projet'!$B$13,Paramètres!$A$1:$I$89,3,0)*0.475*44/12</f>
        <v>1.1831466825400727E-10</v>
      </c>
      <c r="DI109" s="22">
        <f t="shared" si="69"/>
        <v>4.6825249593116771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6.2527760746888816E-13</v>
      </c>
      <c r="DP109" s="17">
        <f>DO109*VLOOKUP('Données projet'!$B$14,Paramètres!$A$1:$I$89,3,0)*VLOOKUP('Données projet'!$B$14,Paramètres!$A$1:$I$89,5,0)</f>
        <v>3.9017322706058616E-13</v>
      </c>
      <c r="DQ109" s="13">
        <f t="shared" si="97"/>
        <v>5.0025007393608908E-12</v>
      </c>
      <c r="DR109" s="20">
        <f t="shared" si="70"/>
        <v>9.3922404915174053E-12</v>
      </c>
      <c r="DS109" s="59">
        <f t="shared" si="71"/>
        <v>293.33333333334269</v>
      </c>
      <c r="DT109" s="59">
        <f ca="1">AVERAGE(OFFSET($DS$3,0,0,'Données projet'!$E$14+1,1))-AVERAGE(OFFSET($H$3,0,0,'Données projet'!$E$14+1,1))</f>
        <v>209.93608079129638</v>
      </c>
      <c r="DU109" s="59">
        <f t="shared" si="98"/>
        <v>240.15652428700969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1.5435727348682038</v>
      </c>
      <c r="EB109" s="21">
        <f>EXP(-LN(2)/25)*EB108+(1-EXP(-LN(2)/25))/(LN(2)/25)*Calculateur!DW109*Calculateur!DY109*VLOOKUP('Données projet'!$B$14,Paramètres!$A$1:$I$89,3,0)*0.475*44/12</f>
        <v>2.5274327509840804</v>
      </c>
      <c r="EC109" s="21">
        <f>EXP(-LN(2)/2)*EC108+(1-EXP(-LN(2)/2))/(LN(2)/2)*DW109*DZ109*VLOOKUP('Données projet'!$B$14,Paramètres!$A$1:$I$89,3,0)*0.475*44/12</f>
        <v>7.3453758900414338E-11</v>
      </c>
      <c r="ED109" s="22">
        <f t="shared" si="72"/>
        <v>4.0710054859257383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-4.5474735088646412E-13</v>
      </c>
      <c r="EK109" s="17">
        <f>EJ109*VLOOKUP('Données projet'!$B$15,Paramètres!$A$1:$I$89,3,0)*VLOOKUP('Données projet'!$B$15,Paramètres!$A$1:$I$89,5,0)</f>
        <v>-2.7193891583010558E-13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216.94426559495264</v>
      </c>
      <c r="EP109" s="59">
        <f t="shared" si="100"/>
        <v>225.33715877618704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0</v>
      </c>
      <c r="EW109" s="21">
        <f>EXP(-LN(2)/25)*EW108+(1-EXP(-LN(2)/25))/(LN(2)/25)*Calculateur!ER109*Calculateur!ET109*VLOOKUP('Données projet'!$B$15,Paramètres!$A$1:$I$89,3,0)*0.475*44/12</f>
        <v>1.5622374705389377</v>
      </c>
      <c r="EX109" s="21">
        <f>EXP(-LN(2)/2)*EX108+(1-EXP(-LN(2)/2))/(LN(2)/2)*ER109*EU109*VLOOKUP('Données projet'!$B$15,Paramètres!$A$1:$I$89,3,0)*0.475*44/12</f>
        <v>8.6326908326805902E-11</v>
      </c>
      <c r="EY109" s="22">
        <f t="shared" si="75"/>
        <v>1.5622374706252646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>
        <f>FE109*VLOOKUP('Données projet'!$B$16,Paramètres!$A$1:$I$89,3,0)*VLOOKUP('Données projet'!$B$16,Paramètres!$A$1:$I$89,5,0)</f>
        <v>0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168.08890945052406</v>
      </c>
      <c r="FK109" s="59">
        <f t="shared" si="102"/>
        <v>182.52462557642343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1.3790651527449163</v>
      </c>
      <c r="FR109" s="21">
        <f>EXP(-LN(2)/25)*FR108+(1-EXP(-LN(2)/25))/(LN(2)/25)*Calculateur!FM109*Calculateur!FO109*VLOOKUP('Données projet'!$B$16,Paramètres!$A$1:$I$89,3,0)*0.475*44/12</f>
        <v>1.4992117035403956</v>
      </c>
      <c r="FS109" s="21">
        <f>EXP(-LN(2)/2)*FS108+(1-EXP(-LN(2)/2))/(LN(2)/2)*FM109*FP109*VLOOKUP('Données projet'!$B$16,Paramètres!$A$1:$I$89,3,0)*0.475*44/12</f>
        <v>1.9811313446822791E-11</v>
      </c>
      <c r="FT109" s="22">
        <f t="shared" si="78"/>
        <v>2.8782768563051229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-5.6843418860808015E-14</v>
      </c>
      <c r="GA109" s="17">
        <f>FZ109*VLOOKUP('Données projet'!$B$17,Paramètres!$A$1:$I$89,3,0)*VLOOKUP('Données projet'!$B$17,Paramètres!$A$1:$I$89,5,0)</f>
        <v>-3.2514435588382188E-14</v>
      </c>
      <c r="GB109" s="13" t="e">
        <f t="shared" si="103"/>
        <v>#NUM!</v>
      </c>
      <c r="GC109" s="20" t="e">
        <f t="shared" si="79"/>
        <v>#NUM!</v>
      </c>
      <c r="GD109" s="59" t="e">
        <f t="shared" si="80"/>
        <v>#NUM!</v>
      </c>
      <c r="GE109" s="59">
        <f ca="1">AVERAGE(OFFSET($GD$3,0,0,'Données projet'!$E$17+1,1))-AVERAGE(OFFSET($H$3,0,0,'Données projet'!$E$17+1,1))</f>
        <v>196.95560009657527</v>
      </c>
      <c r="GF109" s="59">
        <f t="shared" si="104"/>
        <v>168.90186968005662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0</v>
      </c>
      <c r="GM109" s="21">
        <f>EXP(-LN(2)/25)*GM108+(1-EXP(-LN(2)/25))/(LN(2)/25)*Calculateur!GH109*Calculateur!GJ109*VLOOKUP('Données projet'!$B$17,Paramètres!$A$1:$I$89,3,0)*0.475*44/12</f>
        <v>1.1223148087308354</v>
      </c>
      <c r="GN109" s="21">
        <f>EXP(-LN(2)/2)*GN108+(1-EXP(-LN(2)/2))/(LN(2)/2)*GH109*GK109*VLOOKUP('Données projet'!$B$17,Paramètres!$A$1:$I$89,3,0)*0.475*44/12</f>
        <v>4.6782873513529095E-11</v>
      </c>
      <c r="GO109" s="21">
        <f t="shared" si="81"/>
        <v>1.1223148087776182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-5.3205440053716299E-14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215.23235148064941</v>
      </c>
      <c r="T110" s="59">
        <f t="shared" si="88"/>
        <v>184.07239726900434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0.68220294479065957</v>
      </c>
      <c r="AA110" s="21">
        <f>EXP(-LN(2)/25)*AA109+(1-EXP(-LN(2)/25))/(LN(2)/25)*Calculateur!V110*Calculateur!X110*VLOOKUP('Données projet'!$B$9,Paramètres!$A$1:$I$89,3,0)*0.475*44/12</f>
        <v>0.92896526508445465</v>
      </c>
      <c r="AB110" s="21">
        <f>EXP(-LN(2)/2)*AB109+(1-EXP(-LN(2)/2))/(LN(2)/2)*V110*Y110*VLOOKUP('Données projet'!$B$9,Paramètres!$A$1:$I$89,3,0)*0.475*44/12</f>
        <v>2.5292678994592923E-11</v>
      </c>
      <c r="AC110" s="22">
        <f t="shared" si="57"/>
        <v>1.611168209900407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5.6843418860808015E-14</v>
      </c>
      <c r="AJ110" s="13">
        <f>AI110*VLOOKUP('Données projet'!$B$10,Paramètres!$A$1:$I$89,3,0)*VLOOKUP('Données projet'!$B$10,Paramètres!$A$1:$I$89,5,0)</f>
        <v>4.1677594708744434E-14</v>
      </c>
      <c r="AK110" s="13">
        <f t="shared" si="89"/>
        <v>6.9326303456159188E-13</v>
      </c>
      <c r="AL110" s="20">
        <f t="shared" si="58"/>
        <v>1.2800215959791691E-12</v>
      </c>
      <c r="AM110" s="59">
        <f t="shared" si="59"/>
        <v>293.33333333333462</v>
      </c>
      <c r="AN110" s="59">
        <f ca="1">AVERAGE(OFFSET($AM$3,0,0,'Données projet'!$E$10+1,1))-AVERAGE(OFFSET($H$3,0,0,'Données projet'!$E$10+1,1))</f>
        <v>178.12968684094687</v>
      </c>
      <c r="AO110" s="59">
        <f t="shared" si="90"/>
        <v>219.36004077210373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0.90921527464357033</v>
      </c>
      <c r="AW110" s="21">
        <f>EXP(-LN(2)/2)*AW109+(1-EXP(-LN(2)/2))/(LN(2)/2)*AQ110*AT110*VLOOKUP('Données projet'!$B$10,Paramètres!$A$1:$I$89,3,0)*0.475*44/12</f>
        <v>2.5512206137251363E-11</v>
      </c>
      <c r="AX110" s="21">
        <f t="shared" si="60"/>
        <v>0.90921527466908258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-5.6843418860808015E-14</v>
      </c>
      <c r="BE110" s="13">
        <f>BD110*VLOOKUP('Données projet'!$B$11,Paramètres!$A$1:$I$89,3,0)*VLOOKUP('Données projet'!$B$11,Paramètres!$A$1:$I$89,5,0)</f>
        <v>-4.9658410716801891E-14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114.02623091248347</v>
      </c>
      <c r="BJ110" s="59">
        <f t="shared" si="92"/>
        <v>185.51554083721635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0.42477608591155369</v>
      </c>
      <c r="BQ110" s="21">
        <f>EXP(-LN(2)/25)*BQ109+(1-EXP(-LN(2)/25))/(LN(2)/25)*Calculateur!BL110*Calculateur!BN110*VLOOKUP('Données projet'!$B$11,Paramètres!$A$1:$I$89,3,0)*0.475*44/12</f>
        <v>1.3311185447113298</v>
      </c>
      <c r="BR110" s="21">
        <f>EXP(-LN(2)/2)*BR109+(1-EXP(-LN(2)/2))/(LN(2)/2)*BL110*BO110*VLOOKUP('Données projet'!$B$11,Paramètres!$A$1:$I$89,3,0)*0.475*44/12</f>
        <v>4.537596339341294E-11</v>
      </c>
      <c r="BS110" s="22">
        <f t="shared" si="63"/>
        <v>1.7558946306682595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4.4000000000000004</v>
      </c>
      <c r="BY110" s="12">
        <f>IF('Données projet'!$A$114&gt;35,BY109+BX110-CG109,IF(A110&lt;'Données projet'!$A$114,$BV$205^A110,IF(A110='Données projet'!$A$114,'Données projet'!$B$114,BY109+BX110-CG109)))</f>
        <v>291.80000000000007</v>
      </c>
      <c r="BZ110" s="13">
        <f>BY110*VLOOKUP('Données projet'!$B$12,Paramètres!$A$1:$I$89,3,0)*VLOOKUP('Données projet'!$B$12,Paramètres!$A$1:$I$89,5,0)</f>
        <v>264.02064000000007</v>
      </c>
      <c r="CA110" s="13">
        <f t="shared" si="93"/>
        <v>63.578648990959174</v>
      </c>
      <c r="CB110" s="20">
        <f t="shared" si="64"/>
        <v>570.56876165925394</v>
      </c>
      <c r="CC110" s="59">
        <f t="shared" si="65"/>
        <v>863.90209499258731</v>
      </c>
      <c r="CD110" s="59">
        <f ca="1">AVERAGE(OFFSET($CC$3,0,0,'Données projet'!$E$12+1,1))-AVERAGE(OFFSET($H$3,0,0,'Données projet'!$E$12+1,1))</f>
        <v>237.22177246688199</v>
      </c>
      <c r="CE110" s="59">
        <f t="shared" si="94"/>
        <v>149.27472147904302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0.36729956979262562</v>
      </c>
      <c r="CM110" s="21">
        <f>EXP(-LN(2)/2)*CM109+(1-EXP(-LN(2)/2))/(LN(2)/2)*CG110*CJ110*VLOOKUP('Données projet'!$B$12,Paramètres!$A$1:$I$89,3,0)*0.475*44/12</f>
        <v>1.5921722802845577E-11</v>
      </c>
      <c r="CN110" s="22">
        <f t="shared" si="66"/>
        <v>0.36729956980854733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-5.6843418860808015E-13</v>
      </c>
      <c r="CU110" s="17">
        <f>CT110*VLOOKUP('Données projet'!$B$13,Paramètres!$A$1:$I$89,3,0)*VLOOKUP('Données projet'!$B$13,Paramètres!$A$1:$I$89,5,0)</f>
        <v>-3.177547114319168E-13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326.31232746914907</v>
      </c>
      <c r="CZ110" s="59">
        <f t="shared" si="96"/>
        <v>330.17137761430297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0.99415679681427593</v>
      </c>
      <c r="DG110" s="21">
        <f>EXP(-LN(2)/25)*DG109+(1-EXP(-LN(2)/25))/(LN(2)/25)*Calculateur!DB110*Calculateur!DD110*VLOOKUP('Données projet'!$B$13,Paramètres!$A$1:$I$89,3,0)*0.475*44/12</f>
        <v>3.5681685542130057</v>
      </c>
      <c r="DH110" s="21">
        <f>EXP(-LN(2)/2)*DH109+(1-EXP(-LN(2)/2))/(LN(2)/2)*DB110*DE110*VLOOKUP('Données projet'!$B$13,Paramètres!$A$1:$I$89,3,0)*0.475*44/12</f>
        <v>8.366110423624528E-11</v>
      </c>
      <c r="DI110" s="22">
        <f t="shared" si="69"/>
        <v>4.5623253511109425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6.2527760746888816E-13</v>
      </c>
      <c r="DP110" s="17">
        <f>DO110*VLOOKUP('Données projet'!$B$14,Paramètres!$A$1:$I$89,3,0)*VLOOKUP('Données projet'!$B$14,Paramètres!$A$1:$I$89,5,0)</f>
        <v>3.9017322706058616E-13</v>
      </c>
      <c r="DQ110" s="13">
        <f t="shared" si="97"/>
        <v>5.0025007393608908E-12</v>
      </c>
      <c r="DR110" s="20">
        <f t="shared" si="70"/>
        <v>9.3922404915174053E-12</v>
      </c>
      <c r="DS110" s="59">
        <f t="shared" si="71"/>
        <v>293.33333333334269</v>
      </c>
      <c r="DT110" s="59">
        <f ca="1">AVERAGE(OFFSET($DS$3,0,0,'Données projet'!$E$14+1,1))-AVERAGE(OFFSET($H$3,0,0,'Données projet'!$E$14+1,1))</f>
        <v>209.93608079129638</v>
      </c>
      <c r="DU110" s="59">
        <f t="shared" si="98"/>
        <v>240.15652428700969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1.5133042150238425</v>
      </c>
      <c r="EB110" s="21">
        <f>EXP(-LN(2)/25)*EB109+(1-EXP(-LN(2)/25))/(LN(2)/25)*Calculateur!DW110*Calculateur!DY110*VLOOKUP('Données projet'!$B$14,Paramètres!$A$1:$I$89,3,0)*0.475*44/12</f>
        <v>2.4583199694965088</v>
      </c>
      <c r="EC110" s="21">
        <f>EXP(-LN(2)/2)*EC109+(1-EXP(-LN(2)/2))/(LN(2)/2)*DW110*DZ110*VLOOKUP('Données projet'!$B$14,Paramètres!$A$1:$I$89,3,0)*0.475*44/12</f>
        <v>5.1939651022124699E-11</v>
      </c>
      <c r="ED110" s="22">
        <f t="shared" si="72"/>
        <v>3.971624184572291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-4.5474735088646412E-13</v>
      </c>
      <c r="EK110" s="17">
        <f>EJ110*VLOOKUP('Données projet'!$B$15,Paramètres!$A$1:$I$89,3,0)*VLOOKUP('Données projet'!$B$15,Paramètres!$A$1:$I$89,5,0)</f>
        <v>-2.7193891583010558E-13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216.94426559495264</v>
      </c>
      <c r="EP110" s="59">
        <f t="shared" si="100"/>
        <v>225.33715877618704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0</v>
      </c>
      <c r="EW110" s="21">
        <f>EXP(-LN(2)/25)*EW109+(1-EXP(-LN(2)/25))/(LN(2)/25)*Calculateur!ER110*Calculateur!ET110*VLOOKUP('Données projet'!$B$15,Paramètres!$A$1:$I$89,3,0)*0.475*44/12</f>
        <v>1.5195180047525525</v>
      </c>
      <c r="EX110" s="21">
        <f>EXP(-LN(2)/2)*EX109+(1-EXP(-LN(2)/2))/(LN(2)/2)*ER110*EU110*VLOOKUP('Données projet'!$B$15,Paramètres!$A$1:$I$89,3,0)*0.475*44/12</f>
        <v>6.1042342276753887E-11</v>
      </c>
      <c r="EY110" s="22">
        <f t="shared" si="75"/>
        <v>1.5195180048135948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>
        <f>FE110*VLOOKUP('Données projet'!$B$16,Paramètres!$A$1:$I$89,3,0)*VLOOKUP('Données projet'!$B$16,Paramètres!$A$1:$I$89,5,0)</f>
        <v>0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168.08890945052406</v>
      </c>
      <c r="FK110" s="59">
        <f t="shared" si="102"/>
        <v>182.52462557642343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1.3520225262462753</v>
      </c>
      <c r="FR110" s="21">
        <f>EXP(-LN(2)/25)*FR109+(1-EXP(-LN(2)/25))/(LN(2)/25)*Calculateur!FM110*Calculateur!FO110*VLOOKUP('Données projet'!$B$16,Paramètres!$A$1:$I$89,3,0)*0.475*44/12</f>
        <v>1.4582156806669664</v>
      </c>
      <c r="FS110" s="21">
        <f>EXP(-LN(2)/2)*FS109+(1-EXP(-LN(2)/2))/(LN(2)/2)*FM110*FP110*VLOOKUP('Données projet'!$B$16,Paramètres!$A$1:$I$89,3,0)*0.475*44/12</f>
        <v>1.400871408246063E-11</v>
      </c>
      <c r="FT110" s="22">
        <f t="shared" si="78"/>
        <v>2.8102382069272505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-5.6843418860808015E-14</v>
      </c>
      <c r="GA110" s="17">
        <f>FZ110*VLOOKUP('Données projet'!$B$17,Paramètres!$A$1:$I$89,3,0)*VLOOKUP('Données projet'!$B$17,Paramètres!$A$1:$I$89,5,0)</f>
        <v>-3.2514435588382188E-14</v>
      </c>
      <c r="GB110" s="13" t="e">
        <f t="shared" si="103"/>
        <v>#NUM!</v>
      </c>
      <c r="GC110" s="20" t="e">
        <f t="shared" si="79"/>
        <v>#NUM!</v>
      </c>
      <c r="GD110" s="59" t="e">
        <f t="shared" si="80"/>
        <v>#NUM!</v>
      </c>
      <c r="GE110" s="59">
        <f ca="1">AVERAGE(OFFSET($GD$3,0,0,'Données projet'!$E$17+1,1))-AVERAGE(OFFSET($H$3,0,0,'Données projet'!$E$17+1,1))</f>
        <v>196.95560009657527</v>
      </c>
      <c r="GF110" s="59">
        <f t="shared" si="104"/>
        <v>168.90186968005662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0</v>
      </c>
      <c r="GM110" s="21">
        <f>EXP(-LN(2)/25)*GM109+(1-EXP(-LN(2)/25))/(LN(2)/25)*Calculateur!GH110*Calculateur!GJ110*VLOOKUP('Données projet'!$B$17,Paramètres!$A$1:$I$89,3,0)*0.475*44/12</f>
        <v>1.0916250512661201</v>
      </c>
      <c r="GN110" s="21">
        <f>EXP(-LN(2)/2)*GN109+(1-EXP(-LN(2)/2))/(LN(2)/2)*GH110*GK110*VLOOKUP('Données projet'!$B$17,Paramètres!$A$1:$I$89,3,0)*0.475*44/12</f>
        <v>3.3080487104808947E-11</v>
      </c>
      <c r="GO110" s="21">
        <f t="shared" si="81"/>
        <v>1.0916250512992005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-5.3205440053716299E-14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215.23235148064941</v>
      </c>
      <c r="T111" s="59">
        <f t="shared" si="88"/>
        <v>184.07239726900434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0.66882536114602431</v>
      </c>
      <c r="AA111" s="21">
        <f>EXP(-LN(2)/25)*AA110+(1-EXP(-LN(2)/25))/(LN(2)/25)*Calculateur!V111*Calculateur!X111*VLOOKUP('Données projet'!$B$9,Paramètres!$A$1:$I$89,3,0)*0.475*44/12</f>
        <v>0.90356266105856009</v>
      </c>
      <c r="AB111" s="21">
        <f>EXP(-LN(2)/2)*AB110+(1-EXP(-LN(2)/2))/(LN(2)/2)*V111*Y111*VLOOKUP('Données projet'!$B$9,Paramètres!$A$1:$I$89,3,0)*0.475*44/12</f>
        <v>1.7884624831451205E-11</v>
      </c>
      <c r="AC111" s="22">
        <f t="shared" si="57"/>
        <v>1.5723880222224691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5.6843418860808015E-14</v>
      </c>
      <c r="AJ111" s="13">
        <f>AI111*VLOOKUP('Données projet'!$B$10,Paramètres!$A$1:$I$89,3,0)*VLOOKUP('Données projet'!$B$10,Paramètres!$A$1:$I$89,5,0)</f>
        <v>4.1677594708744434E-14</v>
      </c>
      <c r="AK111" s="13">
        <f t="shared" si="89"/>
        <v>6.9326303456159188E-13</v>
      </c>
      <c r="AL111" s="20">
        <f t="shared" si="58"/>
        <v>1.2800215959791691E-12</v>
      </c>
      <c r="AM111" s="59">
        <f t="shared" si="59"/>
        <v>293.33333333333462</v>
      </c>
      <c r="AN111" s="59">
        <f ca="1">AVERAGE(OFFSET($AM$3,0,0,'Données projet'!$E$10+1,1))-AVERAGE(OFFSET($H$3,0,0,'Données projet'!$E$10+1,1))</f>
        <v>178.12968684094687</v>
      </c>
      <c r="AO111" s="59">
        <f t="shared" si="90"/>
        <v>219.36004077210373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0.88435273514488866</v>
      </c>
      <c r="AW111" s="21">
        <f>EXP(-LN(2)/2)*AW110+(1-EXP(-LN(2)/2))/(LN(2)/2)*AQ111*AT111*VLOOKUP('Données projet'!$B$10,Paramètres!$A$1:$I$89,3,0)*0.475*44/12</f>
        <v>1.8039853962679494E-11</v>
      </c>
      <c r="AX111" s="21">
        <f t="shared" si="60"/>
        <v>0.88435273516292856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-5.6843418860808015E-14</v>
      </c>
      <c r="BE111" s="13">
        <f>BD111*VLOOKUP('Données projet'!$B$11,Paramètres!$A$1:$I$89,3,0)*VLOOKUP('Données projet'!$B$11,Paramètres!$A$1:$I$89,5,0)</f>
        <v>-4.9658410716801891E-14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114.02623091248347</v>
      </c>
      <c r="BJ111" s="59">
        <f t="shared" si="92"/>
        <v>185.51554083721635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0.41644648595465772</v>
      </c>
      <c r="BQ111" s="21">
        <f>EXP(-LN(2)/25)*BQ110+(1-EXP(-LN(2)/25))/(LN(2)/25)*Calculateur!BL111*Calculateur!BN111*VLOOKUP('Données projet'!$B$11,Paramètres!$A$1:$I$89,3,0)*0.475*44/12</f>
        <v>1.2947190381057165</v>
      </c>
      <c r="BR111" s="21">
        <f>EXP(-LN(2)/2)*BR110+(1-EXP(-LN(2)/2))/(LN(2)/2)*BL111*BO111*VLOOKUP('Données projet'!$B$11,Paramètres!$A$1:$I$89,3,0)*0.475*44/12</f>
        <v>3.2085651418354834E-11</v>
      </c>
      <c r="BS111" s="22">
        <f t="shared" si="63"/>
        <v>1.7111655240924599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4.4000000000000004</v>
      </c>
      <c r="BY111" s="12">
        <f>IF('Données projet'!$A$114&gt;35,BY110+BX111-CG110,IF(A111&lt;'Données projet'!$A$114,$BV$205^A111,IF(A111='Données projet'!$A$114,'Données projet'!$B$114,BY110+BX111-CG110)))</f>
        <v>296.20000000000005</v>
      </c>
      <c r="BZ111" s="13">
        <f>BY111*VLOOKUP('Données projet'!$B$12,Paramètres!$A$1:$I$89,3,0)*VLOOKUP('Données projet'!$B$12,Paramètres!$A$1:$I$89,5,0)</f>
        <v>268.00176000000005</v>
      </c>
      <c r="CA111" s="13">
        <f t="shared" si="93"/>
        <v>64.425009159185578</v>
      </c>
      <c r="CB111" s="20">
        <f t="shared" si="64"/>
        <v>578.97662295224825</v>
      </c>
      <c r="CC111" s="59">
        <f t="shared" si="65"/>
        <v>872.30995628558162</v>
      </c>
      <c r="CD111" s="59">
        <f ca="1">AVERAGE(OFFSET($CC$3,0,0,'Données projet'!$E$12+1,1))-AVERAGE(OFFSET($H$3,0,0,'Données projet'!$E$12+1,1))</f>
        <v>237.22177246688199</v>
      </c>
      <c r="CE111" s="59">
        <f t="shared" si="94"/>
        <v>149.27472147904302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0.35725574374120139</v>
      </c>
      <c r="CM111" s="21">
        <f>EXP(-LN(2)/2)*CM110+(1-EXP(-LN(2)/2))/(LN(2)/2)*CG111*CJ111*VLOOKUP('Données projet'!$B$12,Paramètres!$A$1:$I$89,3,0)*0.475*44/12</f>
        <v>1.1258358162064591E-11</v>
      </c>
      <c r="CN111" s="22">
        <f t="shared" si="66"/>
        <v>0.35725574375245978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-5.6843418860808015E-13</v>
      </c>
      <c r="CU111" s="17">
        <f>CT111*VLOOKUP('Données projet'!$B$13,Paramètres!$A$1:$I$89,3,0)*VLOOKUP('Données projet'!$B$13,Paramètres!$A$1:$I$89,5,0)</f>
        <v>-3.177547114319168E-13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326.31232746914907</v>
      </c>
      <c r="CZ111" s="59">
        <f t="shared" si="96"/>
        <v>330.17137761430297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0.97466198840451945</v>
      </c>
      <c r="DG111" s="21">
        <f>EXP(-LN(2)/25)*DG110+(1-EXP(-LN(2)/25))/(LN(2)/25)*Calculateur!DB111*Calculateur!DD111*VLOOKUP('Données projet'!$B$13,Paramètres!$A$1:$I$89,3,0)*0.475*44/12</f>
        <v>3.470596797456222</v>
      </c>
      <c r="DH111" s="21">
        <f>EXP(-LN(2)/2)*DH110+(1-EXP(-LN(2)/2))/(LN(2)/2)*DB111*DE111*VLOOKUP('Données projet'!$B$13,Paramètres!$A$1:$I$89,3,0)*0.475*44/12</f>
        <v>5.9157334127003636E-11</v>
      </c>
      <c r="DI111" s="22">
        <f t="shared" si="69"/>
        <v>4.4452587859198989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6.2527760746888816E-13</v>
      </c>
      <c r="DP111" s="17">
        <f>DO111*VLOOKUP('Données projet'!$B$14,Paramètres!$A$1:$I$89,3,0)*VLOOKUP('Données projet'!$B$14,Paramètres!$A$1:$I$89,5,0)</f>
        <v>3.9017322706058616E-13</v>
      </c>
      <c r="DQ111" s="13">
        <f t="shared" si="97"/>
        <v>5.0025007393608908E-12</v>
      </c>
      <c r="DR111" s="20">
        <f t="shared" si="70"/>
        <v>9.3922404915174053E-12</v>
      </c>
      <c r="DS111" s="59">
        <f t="shared" si="71"/>
        <v>293.33333333334269</v>
      </c>
      <c r="DT111" s="59">
        <f ca="1">AVERAGE(OFFSET($DS$3,0,0,'Données projet'!$E$14+1,1))-AVERAGE(OFFSET($H$3,0,0,'Données projet'!$E$14+1,1))</f>
        <v>209.93608079129638</v>
      </c>
      <c r="DU111" s="59">
        <f t="shared" si="98"/>
        <v>240.15652428700969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1.4836292423916551</v>
      </c>
      <c r="EB111" s="21">
        <f>EXP(-LN(2)/25)*EB110+(1-EXP(-LN(2)/25))/(LN(2)/25)*Calculateur!DW111*Calculateur!DY111*VLOOKUP('Données projet'!$B$14,Paramètres!$A$1:$I$89,3,0)*0.475*44/12</f>
        <v>2.3910970806531981</v>
      </c>
      <c r="EC111" s="21">
        <f>EXP(-LN(2)/2)*EC110+(1-EXP(-LN(2)/2))/(LN(2)/2)*DW111*DZ111*VLOOKUP('Données projet'!$B$14,Paramètres!$A$1:$I$89,3,0)*0.475*44/12</f>
        <v>3.6726879450207169E-11</v>
      </c>
      <c r="ED111" s="22">
        <f t="shared" si="72"/>
        <v>3.87472632308158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-4.5474735088646412E-13</v>
      </c>
      <c r="EK111" s="17">
        <f>EJ111*VLOOKUP('Données projet'!$B$15,Paramètres!$A$1:$I$89,3,0)*VLOOKUP('Données projet'!$B$15,Paramètres!$A$1:$I$89,5,0)</f>
        <v>-2.7193891583010558E-13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216.94426559495264</v>
      </c>
      <c r="EP111" s="59">
        <f t="shared" si="100"/>
        <v>225.33715877618704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</v>
      </c>
      <c r="EW111" s="21">
        <f>EXP(-LN(2)/25)*EW110+(1-EXP(-LN(2)/25))/(LN(2)/25)*Calculateur!ER111*Calculateur!ET111*VLOOKUP('Données projet'!$B$15,Paramètres!$A$1:$I$89,3,0)*0.475*44/12</f>
        <v>1.477966705004615</v>
      </c>
      <c r="EX111" s="21">
        <f>EXP(-LN(2)/2)*EX110+(1-EXP(-LN(2)/2))/(LN(2)/2)*ER111*EU111*VLOOKUP('Données projet'!$B$15,Paramètres!$A$1:$I$89,3,0)*0.475*44/12</f>
        <v>4.3163454163402951E-11</v>
      </c>
      <c r="EY111" s="22">
        <f t="shared" si="75"/>
        <v>1.4779667050477785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>
        <f>FE111*VLOOKUP('Données projet'!$B$16,Paramètres!$A$1:$I$89,3,0)*VLOOKUP('Données projet'!$B$16,Paramètres!$A$1:$I$89,5,0)</f>
        <v>0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168.08890945052406</v>
      </c>
      <c r="FK111" s="59">
        <f t="shared" si="102"/>
        <v>182.52462557642343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1.3255101891588992</v>
      </c>
      <c r="FR111" s="21">
        <f>EXP(-LN(2)/25)*FR110+(1-EXP(-LN(2)/25))/(LN(2)/25)*Calculateur!FM111*Calculateur!FO111*VLOOKUP('Données projet'!$B$16,Paramètres!$A$1:$I$89,3,0)*0.475*44/12</f>
        <v>1.4183406961948983</v>
      </c>
      <c r="FS111" s="21">
        <f>EXP(-LN(2)/2)*FS110+(1-EXP(-LN(2)/2))/(LN(2)/2)*FM111*FP111*VLOOKUP('Données projet'!$B$16,Paramètres!$A$1:$I$89,3,0)*0.475*44/12</f>
        <v>9.9056567234113953E-12</v>
      </c>
      <c r="FT111" s="22">
        <f t="shared" si="78"/>
        <v>2.7438508853637034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-5.6843418860808015E-14</v>
      </c>
      <c r="GA111" s="17">
        <f>FZ111*VLOOKUP('Données projet'!$B$17,Paramètres!$A$1:$I$89,3,0)*VLOOKUP('Données projet'!$B$17,Paramètres!$A$1:$I$89,5,0)</f>
        <v>-3.2514435588382188E-14</v>
      </c>
      <c r="GB111" s="13" t="e">
        <f t="shared" si="103"/>
        <v>#NUM!</v>
      </c>
      <c r="GC111" s="20" t="e">
        <f t="shared" si="79"/>
        <v>#NUM!</v>
      </c>
      <c r="GD111" s="59" t="e">
        <f t="shared" si="80"/>
        <v>#NUM!</v>
      </c>
      <c r="GE111" s="59">
        <f ca="1">AVERAGE(OFFSET($GD$3,0,0,'Données projet'!$E$17+1,1))-AVERAGE(OFFSET($H$3,0,0,'Données projet'!$E$17+1,1))</f>
        <v>196.95560009657527</v>
      </c>
      <c r="GF111" s="59">
        <f t="shared" si="104"/>
        <v>168.90186968005662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0</v>
      </c>
      <c r="GM111" s="21">
        <f>EXP(-LN(2)/25)*GM110+(1-EXP(-LN(2)/25))/(LN(2)/25)*Calculateur!GH111*Calculateur!GJ111*VLOOKUP('Données projet'!$B$17,Paramètres!$A$1:$I$89,3,0)*0.475*44/12</f>
        <v>1.0617745068331814</v>
      </c>
      <c r="GN111" s="21">
        <f>EXP(-LN(2)/2)*GN110+(1-EXP(-LN(2)/2))/(LN(2)/2)*GH111*GK111*VLOOKUP('Données projet'!$B$17,Paramètres!$A$1:$I$89,3,0)*0.475*44/12</f>
        <v>2.3391436756764547E-11</v>
      </c>
      <c r="GO111" s="21">
        <f t="shared" si="81"/>
        <v>1.0617745068565729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-5.3205440053716299E-14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215.23235148064941</v>
      </c>
      <c r="T112" s="59">
        <f t="shared" si="88"/>
        <v>184.07239726900434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0.65571010375714001</v>
      </c>
      <c r="AA112" s="21">
        <f>EXP(-LN(2)/25)*AA111+(1-EXP(-LN(2)/25))/(LN(2)/25)*Calculateur!V112*Calculateur!X112*VLOOKUP('Données projet'!$B$9,Paramètres!$A$1:$I$89,3,0)*0.475*44/12</f>
        <v>0.87885469257561855</v>
      </c>
      <c r="AB112" s="21">
        <f>EXP(-LN(2)/2)*AB111+(1-EXP(-LN(2)/2))/(LN(2)/2)*V112*Y112*VLOOKUP('Données projet'!$B$9,Paramètres!$A$1:$I$89,3,0)*0.475*44/12</f>
        <v>1.2646339497296462E-11</v>
      </c>
      <c r="AC112" s="22">
        <f t="shared" si="57"/>
        <v>1.5345647963454048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5.6843418860808015E-14</v>
      </c>
      <c r="AJ112" s="13">
        <f>AI112*VLOOKUP('Données projet'!$B$10,Paramètres!$A$1:$I$89,3,0)*VLOOKUP('Données projet'!$B$10,Paramètres!$A$1:$I$89,5,0)</f>
        <v>4.1677594708744434E-14</v>
      </c>
      <c r="AK112" s="13">
        <f t="shared" si="89"/>
        <v>6.9326303456159188E-13</v>
      </c>
      <c r="AL112" s="20">
        <f t="shared" si="58"/>
        <v>1.2800215959791691E-12</v>
      </c>
      <c r="AM112" s="59">
        <f t="shared" si="59"/>
        <v>293.33333333333462</v>
      </c>
      <c r="AN112" s="59">
        <f ca="1">AVERAGE(OFFSET($AM$3,0,0,'Données projet'!$E$10+1,1))-AVERAGE(OFFSET($H$3,0,0,'Données projet'!$E$10+1,1))</f>
        <v>178.12968684094687</v>
      </c>
      <c r="AO112" s="59">
        <f t="shared" si="90"/>
        <v>219.36004077210373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0.86017006309626254</v>
      </c>
      <c r="AW112" s="21">
        <f>EXP(-LN(2)/2)*AW111+(1-EXP(-LN(2)/2))/(LN(2)/2)*AQ112*AT112*VLOOKUP('Données projet'!$B$10,Paramètres!$A$1:$I$89,3,0)*0.475*44/12</f>
        <v>1.2756103068625681E-11</v>
      </c>
      <c r="AX112" s="21">
        <f t="shared" si="60"/>
        <v>0.86017006310901867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-5.6843418860808015E-14</v>
      </c>
      <c r="BE112" s="13">
        <f>BD112*VLOOKUP('Données projet'!$B$11,Paramètres!$A$1:$I$89,3,0)*VLOOKUP('Données projet'!$B$11,Paramètres!$A$1:$I$89,5,0)</f>
        <v>-4.9658410716801891E-14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114.02623091248347</v>
      </c>
      <c r="BJ112" s="59">
        <f t="shared" si="92"/>
        <v>185.51554083721635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0.40828022437236217</v>
      </c>
      <c r="BQ112" s="21">
        <f>EXP(-LN(2)/25)*BQ111+(1-EXP(-LN(2)/25))/(LN(2)/25)*Calculateur!BL112*Calculateur!BN112*VLOOKUP('Données projet'!$B$11,Paramètres!$A$1:$I$89,3,0)*0.475*44/12</f>
        <v>1.2593148779224006</v>
      </c>
      <c r="BR112" s="21">
        <f>EXP(-LN(2)/2)*BR111+(1-EXP(-LN(2)/2))/(LN(2)/2)*BL112*BO112*VLOOKUP('Données projet'!$B$11,Paramètres!$A$1:$I$89,3,0)*0.475*44/12</f>
        <v>2.268798169670647E-11</v>
      </c>
      <c r="BS112" s="22">
        <f t="shared" si="63"/>
        <v>1.6675951023174509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4.4000000000000004</v>
      </c>
      <c r="BY112" s="12">
        <f>IF('Données projet'!$A$114&gt;35,BY111+BX112-CG111,IF(A112&lt;'Données projet'!$A$114,$BV$205^A112,IF(A112='Données projet'!$A$114,'Données projet'!$B$114,BY111+BX112-CG111)))</f>
        <v>300.60000000000002</v>
      </c>
      <c r="BZ112" s="13">
        <f>BY112*VLOOKUP('Données projet'!$B$12,Paramètres!$A$1:$I$89,3,0)*VLOOKUP('Données projet'!$B$12,Paramètres!$A$1:$I$89,5,0)</f>
        <v>271.98288000000002</v>
      </c>
      <c r="CA112" s="13">
        <f t="shared" si="93"/>
        <v>65.269907092018755</v>
      </c>
      <c r="CB112" s="20">
        <f t="shared" si="64"/>
        <v>587.38193751859933</v>
      </c>
      <c r="CC112" s="59">
        <f t="shared" si="65"/>
        <v>880.7152708519327</v>
      </c>
      <c r="CD112" s="59">
        <f ca="1">AVERAGE(OFFSET($CC$3,0,0,'Données projet'!$E$12+1,1))-AVERAGE(OFFSET($H$3,0,0,'Données projet'!$E$12+1,1))</f>
        <v>237.22177246688199</v>
      </c>
      <c r="CE112" s="59">
        <f t="shared" si="94"/>
        <v>149.27472147904302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0.3474865666413352</v>
      </c>
      <c r="CM112" s="21">
        <f>EXP(-LN(2)/2)*CM111+(1-EXP(-LN(2)/2))/(LN(2)/2)*CG112*CJ112*VLOOKUP('Données projet'!$B$12,Paramètres!$A$1:$I$89,3,0)*0.475*44/12</f>
        <v>7.9608614014227883E-12</v>
      </c>
      <c r="CN112" s="22">
        <f t="shared" si="66"/>
        <v>0.34748656664929606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-5.6843418860808015E-13</v>
      </c>
      <c r="CU112" s="17">
        <f>CT112*VLOOKUP('Données projet'!$B$13,Paramètres!$A$1:$I$89,3,0)*VLOOKUP('Données projet'!$B$13,Paramètres!$A$1:$I$89,5,0)</f>
        <v>-3.177547114319168E-13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326.31232746914907</v>
      </c>
      <c r="CZ112" s="59">
        <f t="shared" si="96"/>
        <v>330.17137761430297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0.95554946129701923</v>
      </c>
      <c r="DG112" s="21">
        <f>EXP(-LN(2)/25)*DG111+(1-EXP(-LN(2)/25))/(LN(2)/25)*Calculateur!DB112*Calculateur!DD112*VLOOKUP('Données projet'!$B$13,Paramètres!$A$1:$I$89,3,0)*0.475*44/12</f>
        <v>3.375693145519028</v>
      </c>
      <c r="DH112" s="21">
        <f>EXP(-LN(2)/2)*DH111+(1-EXP(-LN(2)/2))/(LN(2)/2)*DB112*DE112*VLOOKUP('Données projet'!$B$13,Paramètres!$A$1:$I$89,3,0)*0.475*44/12</f>
        <v>4.183055211812264E-11</v>
      </c>
      <c r="DI112" s="22">
        <f t="shared" si="69"/>
        <v>4.3312426068578782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6.2527760746888816E-13</v>
      </c>
      <c r="DP112" s="17">
        <f>DO112*VLOOKUP('Données projet'!$B$14,Paramètres!$A$1:$I$89,3,0)*VLOOKUP('Données projet'!$B$14,Paramètres!$A$1:$I$89,5,0)</f>
        <v>3.9017322706058616E-13</v>
      </c>
      <c r="DQ112" s="13">
        <f t="shared" si="97"/>
        <v>5.0025007393608908E-12</v>
      </c>
      <c r="DR112" s="20">
        <f t="shared" si="70"/>
        <v>9.3922404915174053E-12</v>
      </c>
      <c r="DS112" s="59">
        <f t="shared" si="71"/>
        <v>293.33333333334269</v>
      </c>
      <c r="DT112" s="59">
        <f ca="1">AVERAGE(OFFSET($DS$3,0,0,'Données projet'!$E$14+1,1))-AVERAGE(OFFSET($H$3,0,0,'Données projet'!$E$14+1,1))</f>
        <v>209.93608079129638</v>
      </c>
      <c r="DU112" s="59">
        <f t="shared" si="98"/>
        <v>240.15652428700969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1.4545361778728387</v>
      </c>
      <c r="EB112" s="21">
        <f>EXP(-LN(2)/25)*EB111+(1-EXP(-LN(2)/25))/(LN(2)/25)*Calculateur!DW112*Calculateur!DY112*VLOOKUP('Données projet'!$B$14,Paramètres!$A$1:$I$89,3,0)*0.475*44/12</f>
        <v>2.3257124052404059</v>
      </c>
      <c r="EC112" s="21">
        <f>EXP(-LN(2)/2)*EC111+(1-EXP(-LN(2)/2))/(LN(2)/2)*DW112*DZ112*VLOOKUP('Données projet'!$B$14,Paramètres!$A$1:$I$89,3,0)*0.475*44/12</f>
        <v>2.596982551106235E-11</v>
      </c>
      <c r="ED112" s="22">
        <f t="shared" si="72"/>
        <v>3.7802485831392145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-4.5474735088646412E-13</v>
      </c>
      <c r="EK112" s="17">
        <f>EJ112*VLOOKUP('Données projet'!$B$15,Paramètres!$A$1:$I$89,3,0)*VLOOKUP('Données projet'!$B$15,Paramètres!$A$1:$I$89,5,0)</f>
        <v>-2.7193891583010558E-13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216.94426559495264</v>
      </c>
      <c r="EP112" s="59">
        <f t="shared" si="100"/>
        <v>225.33715877618704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</v>
      </c>
      <c r="EW112" s="21">
        <f>EXP(-LN(2)/25)*EW111+(1-EXP(-LN(2)/25))/(LN(2)/25)*Calculateur!ER112*Calculateur!ET112*VLOOKUP('Données projet'!$B$15,Paramètres!$A$1:$I$89,3,0)*0.475*44/12</f>
        <v>1.4375516277333726</v>
      </c>
      <c r="EX112" s="21">
        <f>EXP(-LN(2)/2)*EX111+(1-EXP(-LN(2)/2))/(LN(2)/2)*ER112*EU112*VLOOKUP('Données projet'!$B$15,Paramètres!$A$1:$I$89,3,0)*0.475*44/12</f>
        <v>3.0521171138376943E-11</v>
      </c>
      <c r="EY112" s="22">
        <f t="shared" si="75"/>
        <v>1.4375516277638938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>
        <f>FE112*VLOOKUP('Données projet'!$B$16,Paramètres!$A$1:$I$89,3,0)*VLOOKUP('Données projet'!$B$16,Paramètres!$A$1:$I$89,5,0)</f>
        <v>0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168.08890945052406</v>
      </c>
      <c r="FK112" s="59">
        <f t="shared" si="102"/>
        <v>182.52462557642343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1.2995177428308777</v>
      </c>
      <c r="FR112" s="21">
        <f>EXP(-LN(2)/25)*FR111+(1-EXP(-LN(2)/25))/(LN(2)/25)*Calculateur!FM112*Calculateur!FO112*VLOOKUP('Données projet'!$B$16,Paramètres!$A$1:$I$89,3,0)*0.475*44/12</f>
        <v>1.3795560952701533</v>
      </c>
      <c r="FS112" s="21">
        <f>EXP(-LN(2)/2)*FS111+(1-EXP(-LN(2)/2))/(LN(2)/2)*FM112*FP112*VLOOKUP('Données projet'!$B$16,Paramètres!$A$1:$I$89,3,0)*0.475*44/12</f>
        <v>7.0043570412303149E-12</v>
      </c>
      <c r="FT112" s="22">
        <f t="shared" si="78"/>
        <v>2.6790738381080352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-5.6843418860808015E-14</v>
      </c>
      <c r="GA112" s="17">
        <f>FZ112*VLOOKUP('Données projet'!$B$17,Paramètres!$A$1:$I$89,3,0)*VLOOKUP('Données projet'!$B$17,Paramètres!$A$1:$I$89,5,0)</f>
        <v>-3.2514435588382188E-14</v>
      </c>
      <c r="GB112" s="13" t="e">
        <f t="shared" si="103"/>
        <v>#NUM!</v>
      </c>
      <c r="GC112" s="20" t="e">
        <f t="shared" si="79"/>
        <v>#NUM!</v>
      </c>
      <c r="GD112" s="59" t="e">
        <f t="shared" si="80"/>
        <v>#NUM!</v>
      </c>
      <c r="GE112" s="59">
        <f ca="1">AVERAGE(OFFSET($GD$3,0,0,'Données projet'!$E$17+1,1))-AVERAGE(OFFSET($H$3,0,0,'Données projet'!$E$17+1,1))</f>
        <v>196.95560009657527</v>
      </c>
      <c r="GF112" s="59">
        <f t="shared" si="104"/>
        <v>168.90186968005662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0</v>
      </c>
      <c r="GM112" s="21">
        <f>EXP(-LN(2)/25)*GM111+(1-EXP(-LN(2)/25))/(LN(2)/25)*Calculateur!GH112*Calculateur!GJ112*VLOOKUP('Données projet'!$B$17,Paramètres!$A$1:$I$89,3,0)*0.475*44/12</f>
        <v>1.0327402271075334</v>
      </c>
      <c r="GN112" s="21">
        <f>EXP(-LN(2)/2)*GN111+(1-EXP(-LN(2)/2))/(LN(2)/2)*GH112*GK112*VLOOKUP('Données projet'!$B$17,Paramètres!$A$1:$I$89,3,0)*0.475*44/12</f>
        <v>1.6540243552404474E-11</v>
      </c>
      <c r="GO112" s="21">
        <f t="shared" si="81"/>
        <v>1.0327402271240738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-5.3205440053716299E-14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215.23235148064941</v>
      </c>
      <c r="T113" s="59">
        <f t="shared" si="88"/>
        <v>184.07239726900434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0.64285202856613466</v>
      </c>
      <c r="AA113" s="21">
        <f>EXP(-LN(2)/25)*AA112+(1-EXP(-LN(2)/25))/(LN(2)/25)*Calculateur!V113*Calculateur!X113*VLOOKUP('Données projet'!$B$9,Paramètres!$A$1:$I$89,3,0)*0.475*44/12</f>
        <v>0.85482236479017859</v>
      </c>
      <c r="AB113" s="21">
        <f>EXP(-LN(2)/2)*AB112+(1-EXP(-LN(2)/2))/(LN(2)/2)*V113*Y113*VLOOKUP('Données projet'!$B$9,Paramètres!$A$1:$I$89,3,0)*0.475*44/12</f>
        <v>8.9423124157256024E-12</v>
      </c>
      <c r="AC113" s="22">
        <f t="shared" si="57"/>
        <v>1.4976743933652557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5.6843418860808015E-14</v>
      </c>
      <c r="AJ113" s="13">
        <f>AI113*VLOOKUP('Données projet'!$B$10,Paramètres!$A$1:$I$89,3,0)*VLOOKUP('Données projet'!$B$10,Paramètres!$A$1:$I$89,5,0)</f>
        <v>4.1677594708744434E-14</v>
      </c>
      <c r="AK113" s="13">
        <f t="shared" si="89"/>
        <v>6.9326303456159188E-13</v>
      </c>
      <c r="AL113" s="20">
        <f t="shared" si="58"/>
        <v>1.2800215959791691E-12</v>
      </c>
      <c r="AM113" s="59">
        <f t="shared" si="59"/>
        <v>293.33333333333462</v>
      </c>
      <c r="AN113" s="59">
        <f ca="1">AVERAGE(OFFSET($AM$3,0,0,'Données projet'!$E$10+1,1))-AVERAGE(OFFSET($H$3,0,0,'Données projet'!$E$10+1,1))</f>
        <v>178.12968684094687</v>
      </c>
      <c r="AO113" s="59">
        <f t="shared" si="90"/>
        <v>219.36004077210373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0.83664866748651756</v>
      </c>
      <c r="AW113" s="21">
        <f>EXP(-LN(2)/2)*AW112+(1-EXP(-LN(2)/2))/(LN(2)/2)*AQ113*AT113*VLOOKUP('Données projet'!$B$10,Paramètres!$A$1:$I$89,3,0)*0.475*44/12</f>
        <v>9.0199269813397471E-12</v>
      </c>
      <c r="AX113" s="21">
        <f t="shared" si="60"/>
        <v>0.83664866749553746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-5.6843418860808015E-14</v>
      </c>
      <c r="BE113" s="13">
        <f>BD113*VLOOKUP('Données projet'!$B$11,Paramètres!$A$1:$I$89,3,0)*VLOOKUP('Données projet'!$B$11,Paramètres!$A$1:$I$89,5,0)</f>
        <v>-4.9658410716801891E-14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114.02623091248347</v>
      </c>
      <c r="BJ113" s="59">
        <f t="shared" si="92"/>
        <v>185.51554083721635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0.40027409819876769</v>
      </c>
      <c r="BQ113" s="21">
        <f>EXP(-LN(2)/25)*BQ112+(1-EXP(-LN(2)/25))/(LN(2)/25)*Calculateur!BL113*Calculateur!BN113*VLOOKUP('Données projet'!$B$11,Paramètres!$A$1:$I$89,3,0)*0.475*44/12</f>
        <v>1.2248788463611213</v>
      </c>
      <c r="BR113" s="21">
        <f>EXP(-LN(2)/2)*BR112+(1-EXP(-LN(2)/2))/(LN(2)/2)*BL113*BO113*VLOOKUP('Données projet'!$B$11,Paramètres!$A$1:$I$89,3,0)*0.475*44/12</f>
        <v>1.6042825709177417E-11</v>
      </c>
      <c r="BS113" s="22">
        <f t="shared" si="63"/>
        <v>1.6251529445759316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305</v>
      </c>
      <c r="BW113" s="12">
        <f>VLOOKUP(A113,'Données projet'!$A$113:$I$133,9,0)</f>
        <v>4.4000000000000004</v>
      </c>
      <c r="BX113" s="12">
        <f t="array" ref="BX113">INDEX(BW:BW,MIN(IF(ISNUMBER(BW113:BW309),ROW(BW113:BW309),"")))</f>
        <v>4.4000000000000004</v>
      </c>
      <c r="BY113" s="12">
        <f>IF('Données projet'!$A$114&gt;35,BY112+BX113-CG112,IF(A113&lt;'Données projet'!$A$114,$BV$205^A113,IF(A113='Données projet'!$A$114,'Données projet'!$B$114,BY112+BX113-CG112)))</f>
        <v>305</v>
      </c>
      <c r="BZ113" s="13">
        <f>BY113*VLOOKUP('Données projet'!$B$12,Paramètres!$A$1:$I$89,3,0)*VLOOKUP('Données projet'!$B$12,Paramètres!$A$1:$I$89,5,0)</f>
        <v>275.964</v>
      </c>
      <c r="CA113" s="13">
        <f t="shared" si="93"/>
        <v>66.113366665488911</v>
      </c>
      <c r="CB113" s="20">
        <f t="shared" si="64"/>
        <v>595.7847469423931</v>
      </c>
      <c r="CC113" s="59">
        <f t="shared" si="65"/>
        <v>889.11808027572647</v>
      </c>
      <c r="CD113" s="59">
        <f ca="1">AVERAGE(OFFSET($CC$3,0,0,'Données projet'!$E$12+1,1))-AVERAGE(OFFSET($H$3,0,0,'Données projet'!$E$12+1,1))</f>
        <v>237.22177246688199</v>
      </c>
      <c r="CE113" s="59">
        <f t="shared" si="94"/>
        <v>149.27472147904302</v>
      </c>
      <c r="CF113" s="15">
        <f>IF(ISNA(VLOOKUP(A113,'Données projet'!$A$113:$I$133,3,0)),0,VLOOKUP(A113,'Données projet'!$A$113:$I$133,3,0))</f>
        <v>9</v>
      </c>
      <c r="CG113" s="15">
        <f>IF(ISNA(VLOOKUP(A113,'Données projet'!$A$113:$I$133,4,0)),0,VLOOKUP(A113,'Données projet'!$A$113:$I$133,4,0))</f>
        <v>39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0.33798452820300356</v>
      </c>
      <c r="CM113" s="21">
        <f>EXP(-LN(2)/2)*CM112+(1-EXP(-LN(2)/2))/(LN(2)/2)*CG113*CJ113*VLOOKUP('Données projet'!$B$12,Paramètres!$A$1:$I$89,3,0)*0.475*44/12</f>
        <v>5.6291790810322957E-12</v>
      </c>
      <c r="CN113" s="22">
        <f t="shared" si="66"/>
        <v>0.33798452820863273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-5.6843418860808015E-13</v>
      </c>
      <c r="CU113" s="17">
        <f>CT113*VLOOKUP('Données projet'!$B$13,Paramètres!$A$1:$I$89,3,0)*VLOOKUP('Données projet'!$B$13,Paramètres!$A$1:$I$89,5,0)</f>
        <v>-3.177547114319168E-13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326.31232746914907</v>
      </c>
      <c r="CZ113" s="59">
        <f t="shared" si="96"/>
        <v>330.17137761430297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0.93681171918860662</v>
      </c>
      <c r="DG113" s="21">
        <f>EXP(-LN(2)/25)*DG112+(1-EXP(-LN(2)/25))/(LN(2)/25)*Calculateur!DB113*Calculateur!DD113*VLOOKUP('Données projet'!$B$13,Paramètres!$A$1:$I$89,3,0)*0.475*44/12</f>
        <v>3.2833846389348227</v>
      </c>
      <c r="DH113" s="21">
        <f>EXP(-LN(2)/2)*DH112+(1-EXP(-LN(2)/2))/(LN(2)/2)*DB113*DE113*VLOOKUP('Données projet'!$B$13,Paramètres!$A$1:$I$89,3,0)*0.475*44/12</f>
        <v>2.9578667063501818E-11</v>
      </c>
      <c r="DI113" s="22">
        <f t="shared" si="69"/>
        <v>4.2201963581530082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6.2527760746888816E-13</v>
      </c>
      <c r="DP113" s="17">
        <f>DO113*VLOOKUP('Données projet'!$B$14,Paramètres!$A$1:$I$89,3,0)*VLOOKUP('Données projet'!$B$14,Paramètres!$A$1:$I$89,5,0)</f>
        <v>3.9017322706058616E-13</v>
      </c>
      <c r="DQ113" s="13">
        <f t="shared" si="97"/>
        <v>5.0025007393608908E-12</v>
      </c>
      <c r="DR113" s="20">
        <f t="shared" si="70"/>
        <v>9.3922404915174053E-12</v>
      </c>
      <c r="DS113" s="59">
        <f t="shared" si="71"/>
        <v>293.33333333334269</v>
      </c>
      <c r="DT113" s="59">
        <f ca="1">AVERAGE(OFFSET($DS$3,0,0,'Données projet'!$E$14+1,1))-AVERAGE(OFFSET($H$3,0,0,'Données projet'!$E$14+1,1))</f>
        <v>209.93608079129638</v>
      </c>
      <c r="DU113" s="59">
        <f t="shared" si="98"/>
        <v>240.15652428700969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1.4260136106042192</v>
      </c>
      <c r="EB113" s="21">
        <f>EXP(-LN(2)/25)*EB112+(1-EXP(-LN(2)/25))/(LN(2)/25)*Calculateur!DW113*Calculateur!DY113*VLOOKUP('Données projet'!$B$14,Paramètres!$A$1:$I$89,3,0)*0.475*44/12</f>
        <v>2.2621156772152071</v>
      </c>
      <c r="EC113" s="21">
        <f>EXP(-LN(2)/2)*EC112+(1-EXP(-LN(2)/2))/(LN(2)/2)*DW113*DZ113*VLOOKUP('Données projet'!$B$14,Paramètres!$A$1:$I$89,3,0)*0.475*44/12</f>
        <v>1.8363439725103584E-11</v>
      </c>
      <c r="ED113" s="22">
        <f t="shared" si="72"/>
        <v>3.6881292878377896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-4.5474735088646412E-13</v>
      </c>
      <c r="EK113" s="17">
        <f>EJ113*VLOOKUP('Données projet'!$B$15,Paramètres!$A$1:$I$89,3,0)*VLOOKUP('Données projet'!$B$15,Paramètres!$A$1:$I$89,5,0)</f>
        <v>-2.7193891583010558E-13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216.94426559495264</v>
      </c>
      <c r="EP113" s="59">
        <f t="shared" si="100"/>
        <v>225.33715877618704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0</v>
      </c>
      <c r="EW113" s="21">
        <f>EXP(-LN(2)/25)*EW112+(1-EXP(-LN(2)/25))/(LN(2)/25)*Calculateur!ER113*Calculateur!ET113*VLOOKUP('Données projet'!$B$15,Paramètres!$A$1:$I$89,3,0)*0.475*44/12</f>
        <v>1.398241702875449</v>
      </c>
      <c r="EX113" s="21">
        <f>EXP(-LN(2)/2)*EX112+(1-EXP(-LN(2)/2))/(LN(2)/2)*ER113*EU113*VLOOKUP('Données projet'!$B$15,Paramètres!$A$1:$I$89,3,0)*0.475*44/12</f>
        <v>2.1581727081701476E-11</v>
      </c>
      <c r="EY113" s="22">
        <f t="shared" si="75"/>
        <v>1.3982417028970306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>
        <f>FE113*VLOOKUP('Données projet'!$B$16,Paramètres!$A$1:$I$89,3,0)*VLOOKUP('Données projet'!$B$16,Paramètres!$A$1:$I$89,5,0)</f>
        <v>0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168.08890945052406</v>
      </c>
      <c r="FK113" s="59">
        <f t="shared" si="102"/>
        <v>182.52462557642343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1.274034992521522</v>
      </c>
      <c r="FR113" s="21">
        <f>EXP(-LN(2)/25)*FR112+(1-EXP(-LN(2)/25))/(LN(2)/25)*Calculateur!FM113*Calculateur!FO113*VLOOKUP('Données projet'!$B$16,Paramètres!$A$1:$I$89,3,0)*0.475*44/12</f>
        <v>1.3418320612972889</v>
      </c>
      <c r="FS113" s="21">
        <f>EXP(-LN(2)/2)*FS112+(1-EXP(-LN(2)/2))/(LN(2)/2)*FM113*FP113*VLOOKUP('Données projet'!$B$16,Paramètres!$A$1:$I$89,3,0)*0.475*44/12</f>
        <v>4.9528283617056977E-12</v>
      </c>
      <c r="FT113" s="22">
        <f t="shared" si="78"/>
        <v>2.6158670538237638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-5.6843418860808015E-14</v>
      </c>
      <c r="GA113" s="17">
        <f>FZ113*VLOOKUP('Données projet'!$B$17,Paramètres!$A$1:$I$89,3,0)*VLOOKUP('Données projet'!$B$17,Paramètres!$A$1:$I$89,5,0)</f>
        <v>-3.2514435588382188E-14</v>
      </c>
      <c r="GB113" s="13" t="e">
        <f t="shared" si="103"/>
        <v>#NUM!</v>
      </c>
      <c r="GC113" s="20" t="e">
        <f t="shared" si="79"/>
        <v>#NUM!</v>
      </c>
      <c r="GD113" s="59" t="e">
        <f t="shared" si="80"/>
        <v>#NUM!</v>
      </c>
      <c r="GE113" s="59">
        <f ca="1">AVERAGE(OFFSET($GD$3,0,0,'Données projet'!$E$17+1,1))-AVERAGE(OFFSET($H$3,0,0,'Données projet'!$E$17+1,1))</f>
        <v>196.95560009657527</v>
      </c>
      <c r="GF113" s="59">
        <f t="shared" si="104"/>
        <v>168.90186968005662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0</v>
      </c>
      <c r="GM113" s="21">
        <f>EXP(-LN(2)/25)*GM112+(1-EXP(-LN(2)/25))/(LN(2)/25)*Calculateur!GH113*Calculateur!GJ113*VLOOKUP('Données projet'!$B$17,Paramètres!$A$1:$I$89,3,0)*0.475*44/12</f>
        <v>1.0044998912878298</v>
      </c>
      <c r="GN113" s="21">
        <f>EXP(-LN(2)/2)*GN112+(1-EXP(-LN(2)/2))/(LN(2)/2)*GH113*GK113*VLOOKUP('Données projet'!$B$17,Paramètres!$A$1:$I$89,3,0)*0.475*44/12</f>
        <v>1.1695718378382274E-11</v>
      </c>
      <c r="GO113" s="21">
        <f t="shared" si="81"/>
        <v>1.0044998912995255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-5.3205440053716299E-14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215.23235148064941</v>
      </c>
      <c r="T114" s="59">
        <f t="shared" si="88"/>
        <v>184.07239726900434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0.63024609238697338</v>
      </c>
      <c r="AA114" s="21">
        <f>EXP(-LN(2)/25)*AA113+(1-EXP(-LN(2)/25))/(LN(2)/25)*Calculateur!V114*Calculateur!X114*VLOOKUP('Données projet'!$B$9,Paramètres!$A$1:$I$89,3,0)*0.475*44/12</f>
        <v>0.83144720227183666</v>
      </c>
      <c r="AB114" s="21">
        <f>EXP(-LN(2)/2)*AB113+(1-EXP(-LN(2)/2))/(LN(2)/2)*V114*Y114*VLOOKUP('Données projet'!$B$9,Paramètres!$A$1:$I$89,3,0)*0.475*44/12</f>
        <v>6.3231697486482308E-12</v>
      </c>
      <c r="AC114" s="22">
        <f t="shared" si="57"/>
        <v>1.4616932946651333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5.6843418860808015E-14</v>
      </c>
      <c r="AJ114" s="13">
        <f>AI114*VLOOKUP('Données projet'!$B$10,Paramètres!$A$1:$I$89,3,0)*VLOOKUP('Données projet'!$B$10,Paramètres!$A$1:$I$89,5,0)</f>
        <v>4.1677594708744434E-14</v>
      </c>
      <c r="AK114" s="13">
        <f t="shared" si="89"/>
        <v>6.9326303456159188E-13</v>
      </c>
      <c r="AL114" s="20">
        <f t="shared" si="58"/>
        <v>1.2800215959791691E-12</v>
      </c>
      <c r="AM114" s="59">
        <f t="shared" si="59"/>
        <v>293.33333333333462</v>
      </c>
      <c r="AN114" s="59">
        <f ca="1">AVERAGE(OFFSET($AM$3,0,0,'Données projet'!$E$10+1,1))-AVERAGE(OFFSET($H$3,0,0,'Données projet'!$E$10+1,1))</f>
        <v>178.12968684094687</v>
      </c>
      <c r="AO114" s="59">
        <f t="shared" si="90"/>
        <v>219.36004077210373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0.81377046567665745</v>
      </c>
      <c r="AW114" s="21">
        <f>EXP(-LN(2)/2)*AW113+(1-EXP(-LN(2)/2))/(LN(2)/2)*AQ114*AT114*VLOOKUP('Données projet'!$B$10,Paramètres!$A$1:$I$89,3,0)*0.475*44/12</f>
        <v>6.3780515343128407E-12</v>
      </c>
      <c r="AX114" s="21">
        <f t="shared" si="60"/>
        <v>0.81377046568303546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-5.6843418860808015E-14</v>
      </c>
      <c r="BE114" s="13">
        <f>BD114*VLOOKUP('Données projet'!$B$11,Paramètres!$A$1:$I$89,3,0)*VLOOKUP('Données projet'!$B$11,Paramètres!$A$1:$I$89,5,0)</f>
        <v>-4.9658410716801891E-14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114.02623091248347</v>
      </c>
      <c r="BJ114" s="59">
        <f t="shared" si="92"/>
        <v>185.51554083721635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0.39242496727618265</v>
      </c>
      <c r="BQ114" s="21">
        <f>EXP(-LN(2)/25)*BQ113+(1-EXP(-LN(2)/25))/(LN(2)/25)*Calculateur!BL114*Calculateur!BN114*VLOOKUP('Données projet'!$B$11,Paramètres!$A$1:$I$89,3,0)*0.475*44/12</f>
        <v>1.1913844698937974</v>
      </c>
      <c r="BR114" s="21">
        <f>EXP(-LN(2)/2)*BR113+(1-EXP(-LN(2)/2))/(LN(2)/2)*BL114*BO114*VLOOKUP('Données projet'!$B$11,Paramètres!$A$1:$I$89,3,0)*0.475*44/12</f>
        <v>1.1343990848353235E-11</v>
      </c>
      <c r="BS114" s="22">
        <f t="shared" si="63"/>
        <v>1.5838094371813241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3.7</v>
      </c>
      <c r="BY114" s="12">
        <f>IF('Données projet'!$A$114&gt;35,BY113+BX114-CG113,IF(A114&lt;'Données projet'!$A$114,$BV$205^A114,IF(A114='Données projet'!$A$114,'Données projet'!$B$114,BY113+BX114-CG113)))</f>
        <v>269.7</v>
      </c>
      <c r="BZ114" s="13">
        <f>BY114*VLOOKUP('Données projet'!$B$12,Paramètres!$A$1:$I$89,3,0)*VLOOKUP('Données projet'!$B$12,Paramètres!$A$1:$I$89,5,0)</f>
        <v>244.02455999999998</v>
      </c>
      <c r="CA114" s="13">
        <f t="shared" si="93"/>
        <v>59.304594314969279</v>
      </c>
      <c r="CB114" s="20">
        <f t="shared" si="64"/>
        <v>528.29827709857148</v>
      </c>
      <c r="CC114" s="59">
        <f t="shared" si="65"/>
        <v>821.63161043190485</v>
      </c>
      <c r="CD114" s="59">
        <f ca="1">AVERAGE(OFFSET($CC$3,0,0,'Données projet'!$E$12+1,1))-AVERAGE(OFFSET($H$3,0,0,'Données projet'!$E$12+1,1))</f>
        <v>237.22177246688199</v>
      </c>
      <c r="CE114" s="59">
        <f t="shared" si="94"/>
        <v>149.27472147904302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0.32874232350545857</v>
      </c>
      <c r="CM114" s="21">
        <f>EXP(-LN(2)/2)*CM113+(1-EXP(-LN(2)/2))/(LN(2)/2)*CG114*CJ114*VLOOKUP('Données projet'!$B$12,Paramètres!$A$1:$I$89,3,0)*0.475*44/12</f>
        <v>3.9804307007113941E-12</v>
      </c>
      <c r="CN114" s="22">
        <f t="shared" si="66"/>
        <v>0.32874232350943899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-5.6843418860808015E-13</v>
      </c>
      <c r="CU114" s="17">
        <f>CT114*VLOOKUP('Données projet'!$B$13,Paramètres!$A$1:$I$89,3,0)*VLOOKUP('Données projet'!$B$13,Paramètres!$A$1:$I$89,5,0)</f>
        <v>-3.177547114319168E-13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326.31232746914907</v>
      </c>
      <c r="CZ114" s="59">
        <f t="shared" si="96"/>
        <v>330.17137761430297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0.91844141277404578</v>
      </c>
      <c r="DG114" s="21">
        <f>EXP(-LN(2)/25)*DG113+(1-EXP(-LN(2)/25))/(LN(2)/25)*Calculateur!DB114*Calculateur!DD114*VLOOKUP('Données projet'!$B$13,Paramètres!$A$1:$I$89,3,0)*0.475*44/12</f>
        <v>3.193600313317456</v>
      </c>
      <c r="DH114" s="21">
        <f>EXP(-LN(2)/2)*DH113+(1-EXP(-LN(2)/2))/(LN(2)/2)*DB114*DE114*VLOOKUP('Données projet'!$B$13,Paramètres!$A$1:$I$89,3,0)*0.475*44/12</f>
        <v>2.091527605906132E-11</v>
      </c>
      <c r="DI114" s="22">
        <f t="shared" si="69"/>
        <v>4.1120417261124178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6.2527760746888816E-13</v>
      </c>
      <c r="DP114" s="17">
        <f>DO114*VLOOKUP('Données projet'!$B$14,Paramètres!$A$1:$I$89,3,0)*VLOOKUP('Données projet'!$B$14,Paramètres!$A$1:$I$89,5,0)</f>
        <v>3.9017322706058616E-13</v>
      </c>
      <c r="DQ114" s="13">
        <f t="shared" si="97"/>
        <v>5.0025007393608908E-12</v>
      </c>
      <c r="DR114" s="20">
        <f t="shared" si="70"/>
        <v>9.3922404915174053E-12</v>
      </c>
      <c r="DS114" s="59">
        <f t="shared" si="71"/>
        <v>293.33333333334269</v>
      </c>
      <c r="DT114" s="59">
        <f ca="1">AVERAGE(OFFSET($DS$3,0,0,'Données projet'!$E$14+1,1))-AVERAGE(OFFSET($H$3,0,0,'Données projet'!$E$14+1,1))</f>
        <v>209.93608079129638</v>
      </c>
      <c r="DU114" s="59">
        <f t="shared" si="98"/>
        <v>240.15652428700969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1.3980503534826889</v>
      </c>
      <c r="EB114" s="21">
        <f>EXP(-LN(2)/25)*EB113+(1-EXP(-LN(2)/25))/(LN(2)/25)*Calculateur!DW114*Calculateur!DY114*VLOOKUP('Données projet'!$B$14,Paramètres!$A$1:$I$89,3,0)*0.475*44/12</f>
        <v>2.2002580050622638</v>
      </c>
      <c r="EC114" s="21">
        <f>EXP(-LN(2)/2)*EC113+(1-EXP(-LN(2)/2))/(LN(2)/2)*DW114*DZ114*VLOOKUP('Données projet'!$B$14,Paramètres!$A$1:$I$89,3,0)*0.475*44/12</f>
        <v>1.2984912755531175E-11</v>
      </c>
      <c r="ED114" s="22">
        <f t="shared" si="72"/>
        <v>3.5983083585579374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-4.5474735088646412E-13</v>
      </c>
      <c r="EK114" s="17">
        <f>EJ114*VLOOKUP('Données projet'!$B$15,Paramètres!$A$1:$I$89,3,0)*VLOOKUP('Données projet'!$B$15,Paramètres!$A$1:$I$89,5,0)</f>
        <v>-2.7193891583010558E-13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216.94426559495264</v>
      </c>
      <c r="EP114" s="59">
        <f t="shared" si="100"/>
        <v>225.33715877618704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</v>
      </c>
      <c r="EW114" s="21">
        <f>EXP(-LN(2)/25)*EW113+(1-EXP(-LN(2)/25))/(LN(2)/25)*Calculateur!ER114*Calculateur!ET114*VLOOKUP('Données projet'!$B$15,Paramètres!$A$1:$I$89,3,0)*0.475*44/12</f>
        <v>1.3600067099799844</v>
      </c>
      <c r="EX114" s="21">
        <f>EXP(-LN(2)/2)*EX113+(1-EXP(-LN(2)/2))/(LN(2)/2)*ER114*EU114*VLOOKUP('Données projet'!$B$15,Paramètres!$A$1:$I$89,3,0)*0.475*44/12</f>
        <v>1.5260585569188472E-11</v>
      </c>
      <c r="EY114" s="22">
        <f t="shared" si="75"/>
        <v>1.3600067099952451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>
        <f>FE114*VLOOKUP('Données projet'!$B$16,Paramètres!$A$1:$I$89,3,0)*VLOOKUP('Données projet'!$B$16,Paramètres!$A$1:$I$89,5,0)</f>
        <v>0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168.08890945052406</v>
      </c>
      <c r="FK114" s="59">
        <f t="shared" si="102"/>
        <v>182.52462557642343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1.2490519434027896</v>
      </c>
      <c r="FR114" s="21">
        <f>EXP(-LN(2)/25)*FR113+(1-EXP(-LN(2)/25))/(LN(2)/25)*Calculateur!FM114*Calculateur!FO114*VLOOKUP('Données projet'!$B$16,Paramètres!$A$1:$I$89,3,0)*0.475*44/12</f>
        <v>1.3051395930172334</v>
      </c>
      <c r="FS114" s="21">
        <f>EXP(-LN(2)/2)*FS113+(1-EXP(-LN(2)/2))/(LN(2)/2)*FM114*FP114*VLOOKUP('Données projet'!$B$16,Paramètres!$A$1:$I$89,3,0)*0.475*44/12</f>
        <v>3.5021785206151575E-12</v>
      </c>
      <c r="FT114" s="22">
        <f t="shared" si="78"/>
        <v>2.554191536423525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-5.6843418860808015E-14</v>
      </c>
      <c r="GA114" s="17">
        <f>FZ114*VLOOKUP('Données projet'!$B$17,Paramètres!$A$1:$I$89,3,0)*VLOOKUP('Données projet'!$B$17,Paramètres!$A$1:$I$89,5,0)</f>
        <v>-3.2514435588382188E-14</v>
      </c>
      <c r="GB114" s="13" t="e">
        <f t="shared" si="103"/>
        <v>#NUM!</v>
      </c>
      <c r="GC114" s="20" t="e">
        <f t="shared" si="79"/>
        <v>#NUM!</v>
      </c>
      <c r="GD114" s="59" t="e">
        <f t="shared" si="80"/>
        <v>#NUM!</v>
      </c>
      <c r="GE114" s="59">
        <f ca="1">AVERAGE(OFFSET($GD$3,0,0,'Données projet'!$E$17+1,1))-AVERAGE(OFFSET($H$3,0,0,'Données projet'!$E$17+1,1))</f>
        <v>196.95560009657527</v>
      </c>
      <c r="GF114" s="59">
        <f t="shared" si="104"/>
        <v>168.90186968005662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0</v>
      </c>
      <c r="GM114" s="21">
        <f>EXP(-LN(2)/25)*GM113+(1-EXP(-LN(2)/25))/(LN(2)/25)*Calculateur!GH114*Calculateur!GJ114*VLOOKUP('Données projet'!$B$17,Paramètres!$A$1:$I$89,3,0)*0.475*44/12</f>
        <v>0.97703178893621057</v>
      </c>
      <c r="GN114" s="21">
        <f>EXP(-LN(2)/2)*GN113+(1-EXP(-LN(2)/2))/(LN(2)/2)*GH114*GK114*VLOOKUP('Données projet'!$B$17,Paramètres!$A$1:$I$89,3,0)*0.475*44/12</f>
        <v>8.2701217762022369E-12</v>
      </c>
      <c r="GO114" s="21">
        <f t="shared" si="81"/>
        <v>0.97703178894448073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-5.3205440053716299E-14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215.23235148064941</v>
      </c>
      <c r="T115" s="59">
        <f t="shared" si="88"/>
        <v>184.07239726900434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0.61788735092742364</v>
      </c>
      <c r="AA115" s="21">
        <f>EXP(-LN(2)/25)*AA114+(1-EXP(-LN(2)/25))/(LN(2)/25)*Calculateur!V115*Calculateur!X115*VLOOKUP('Données projet'!$B$9,Paramètres!$A$1:$I$89,3,0)*0.475*44/12</f>
        <v>0.80871123480180518</v>
      </c>
      <c r="AB115" s="21">
        <f>EXP(-LN(2)/2)*AB114+(1-EXP(-LN(2)/2))/(LN(2)/2)*V115*Y115*VLOOKUP('Données projet'!$B$9,Paramètres!$A$1:$I$89,3,0)*0.475*44/12</f>
        <v>4.4711562078628012E-12</v>
      </c>
      <c r="AC115" s="22">
        <f t="shared" si="57"/>
        <v>1.4265985857337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5.6843418860808015E-14</v>
      </c>
      <c r="AJ115" s="13">
        <f>AI115*VLOOKUP('Données projet'!$B$10,Paramètres!$A$1:$I$89,3,0)*VLOOKUP('Données projet'!$B$10,Paramètres!$A$1:$I$89,5,0)</f>
        <v>4.1677594708744434E-14</v>
      </c>
      <c r="AK115" s="13">
        <f t="shared" si="89"/>
        <v>6.9326303456159188E-13</v>
      </c>
      <c r="AL115" s="20">
        <f t="shared" si="58"/>
        <v>1.2800215959791691E-12</v>
      </c>
      <c r="AM115" s="59">
        <f t="shared" si="59"/>
        <v>293.33333333333462</v>
      </c>
      <c r="AN115" s="59">
        <f ca="1">AVERAGE(OFFSET($AM$3,0,0,'Données projet'!$E$10+1,1))-AVERAGE(OFFSET($H$3,0,0,'Données projet'!$E$10+1,1))</f>
        <v>178.12968684094687</v>
      </c>
      <c r="AO115" s="59">
        <f t="shared" si="90"/>
        <v>219.36004077210373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0.79151786949840031</v>
      </c>
      <c r="AW115" s="21">
        <f>EXP(-LN(2)/2)*AW114+(1-EXP(-LN(2)/2))/(LN(2)/2)*AQ115*AT115*VLOOKUP('Données projet'!$B$10,Paramètres!$A$1:$I$89,3,0)*0.475*44/12</f>
        <v>4.5099634906698735E-12</v>
      </c>
      <c r="AX115" s="21">
        <f t="shared" si="60"/>
        <v>0.79151786950291025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-5.6843418860808015E-14</v>
      </c>
      <c r="BE115" s="13">
        <f>BD115*VLOOKUP('Données projet'!$B$11,Paramètres!$A$1:$I$89,3,0)*VLOOKUP('Données projet'!$B$11,Paramètres!$A$1:$I$89,5,0)</f>
        <v>-4.9658410716801891E-14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114.02623091248347</v>
      </c>
      <c r="BJ115" s="59">
        <f t="shared" si="92"/>
        <v>185.51554083721635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0.38472975302349233</v>
      </c>
      <c r="BQ115" s="21">
        <f>EXP(-LN(2)/25)*BQ114+(1-EXP(-LN(2)/25))/(LN(2)/25)*Calculateur!BL115*Calculateur!BN115*VLOOKUP('Données projet'!$B$11,Paramètres!$A$1:$I$89,3,0)*0.475*44/12</f>
        <v>1.1588059989123651</v>
      </c>
      <c r="BR115" s="21">
        <f>EXP(-LN(2)/2)*BR114+(1-EXP(-LN(2)/2))/(LN(2)/2)*BL115*BO115*VLOOKUP('Données projet'!$B$11,Paramètres!$A$1:$I$89,3,0)*0.475*44/12</f>
        <v>8.0214128545887084E-12</v>
      </c>
      <c r="BS115" s="22">
        <f t="shared" si="63"/>
        <v>1.5435357519438788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3.7</v>
      </c>
      <c r="BY115" s="12">
        <f>IF('Données projet'!$A$114&gt;35,BY114+BX115-CG114,IF(A115&lt;'Données projet'!$A$114,$BV$205^A115,IF(A115='Données projet'!$A$114,'Données projet'!$B$114,BY114+BX115-CG114)))</f>
        <v>273.39999999999998</v>
      </c>
      <c r="BZ115" s="13">
        <f>BY115*VLOOKUP('Données projet'!$B$12,Paramètres!$A$1:$I$89,3,0)*VLOOKUP('Données projet'!$B$12,Paramètres!$A$1:$I$89,5,0)</f>
        <v>247.37231999999997</v>
      </c>
      <c r="CA115" s="13">
        <f t="shared" si="93"/>
        <v>60.022917171131049</v>
      </c>
      <c r="CB115" s="20">
        <f t="shared" si="64"/>
        <v>535.38003807305324</v>
      </c>
      <c r="CC115" s="59">
        <f t="shared" si="65"/>
        <v>828.71337140638661</v>
      </c>
      <c r="CD115" s="59">
        <f ca="1">AVERAGE(OFFSET($CC$3,0,0,'Données projet'!$E$12+1,1))-AVERAGE(OFFSET($H$3,0,0,'Données projet'!$E$12+1,1))</f>
        <v>237.22177246688199</v>
      </c>
      <c r="CE115" s="59">
        <f t="shared" si="94"/>
        <v>149.27472147904302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0.31975284738139437</v>
      </c>
      <c r="CM115" s="21">
        <f>EXP(-LN(2)/2)*CM114+(1-EXP(-LN(2)/2))/(LN(2)/2)*CG115*CJ115*VLOOKUP('Données projet'!$B$12,Paramètres!$A$1:$I$89,3,0)*0.475*44/12</f>
        <v>2.8145895405161479E-12</v>
      </c>
      <c r="CN115" s="22">
        <f t="shared" si="66"/>
        <v>0.31975284738420895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-5.6843418860808015E-13</v>
      </c>
      <c r="CU115" s="17">
        <f>CT115*VLOOKUP('Données projet'!$B$13,Paramètres!$A$1:$I$89,3,0)*VLOOKUP('Données projet'!$B$13,Paramètres!$A$1:$I$89,5,0)</f>
        <v>-3.177547114319168E-13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326.31232746914907</v>
      </c>
      <c r="CZ115" s="59">
        <f t="shared" si="96"/>
        <v>330.17137761430297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0.90043133686349397</v>
      </c>
      <c r="DG115" s="21">
        <f>EXP(-LN(2)/25)*DG114+(1-EXP(-LN(2)/25))/(LN(2)/25)*Calculateur!DB115*Calculateur!DD115*VLOOKUP('Données projet'!$B$13,Paramètres!$A$1:$I$89,3,0)*0.475*44/12</f>
        <v>3.1062711448056488</v>
      </c>
      <c r="DH115" s="21">
        <f>EXP(-LN(2)/2)*DH114+(1-EXP(-LN(2)/2))/(LN(2)/2)*DB115*DE115*VLOOKUP('Données projet'!$B$13,Paramètres!$A$1:$I$89,3,0)*0.475*44/12</f>
        <v>1.4789333531750909E-11</v>
      </c>
      <c r="DI115" s="22">
        <f t="shared" si="69"/>
        <v>4.0067024816839316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6.2527760746888816E-13</v>
      </c>
      <c r="DP115" s="17">
        <f>DO115*VLOOKUP('Données projet'!$B$14,Paramètres!$A$1:$I$89,3,0)*VLOOKUP('Données projet'!$B$14,Paramètres!$A$1:$I$89,5,0)</f>
        <v>3.9017322706058616E-13</v>
      </c>
      <c r="DQ115" s="13">
        <f t="shared" si="97"/>
        <v>5.0025007393608908E-12</v>
      </c>
      <c r="DR115" s="20">
        <f t="shared" si="70"/>
        <v>9.3922404915174053E-12</v>
      </c>
      <c r="DS115" s="59">
        <f t="shared" si="71"/>
        <v>293.33333333334269</v>
      </c>
      <c r="DT115" s="59">
        <f ca="1">AVERAGE(OFFSET($DS$3,0,0,'Données projet'!$E$14+1,1))-AVERAGE(OFFSET($H$3,0,0,'Données projet'!$E$14+1,1))</f>
        <v>209.93608079129638</v>
      </c>
      <c r="DU115" s="59">
        <f t="shared" si="98"/>
        <v>240.15652428700969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1.3706354387774093</v>
      </c>
      <c r="EB115" s="21">
        <f>EXP(-LN(2)/25)*EB114+(1-EXP(-LN(2)/25))/(LN(2)/25)*Calculateur!DW115*Calculateur!DY115*VLOOKUP('Données projet'!$B$14,Paramètres!$A$1:$I$89,3,0)*0.475*44/12</f>
        <v>2.1400918342072965</v>
      </c>
      <c r="EC115" s="21">
        <f>EXP(-LN(2)/2)*EC114+(1-EXP(-LN(2)/2))/(LN(2)/2)*DW115*DZ115*VLOOKUP('Données projet'!$B$14,Paramètres!$A$1:$I$89,3,0)*0.475*44/12</f>
        <v>9.1817198625517922E-12</v>
      </c>
      <c r="ED115" s="22">
        <f t="shared" si="72"/>
        <v>3.5107272729938876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-4.5474735088646412E-13</v>
      </c>
      <c r="EK115" s="17">
        <f>EJ115*VLOOKUP('Données projet'!$B$15,Paramètres!$A$1:$I$89,3,0)*VLOOKUP('Données projet'!$B$15,Paramètres!$A$1:$I$89,5,0)</f>
        <v>-2.7193891583010558E-13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216.94426559495264</v>
      </c>
      <c r="EP115" s="59">
        <f t="shared" si="100"/>
        <v>225.33715877618704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</v>
      </c>
      <c r="EW115" s="21">
        <f>EXP(-LN(2)/25)*EW114+(1-EXP(-LN(2)/25))/(LN(2)/25)*Calculateur!ER115*Calculateur!ET115*VLOOKUP('Données projet'!$B$15,Paramètres!$A$1:$I$89,3,0)*0.475*44/12</f>
        <v>1.3228172549759372</v>
      </c>
      <c r="EX115" s="21">
        <f>EXP(-LN(2)/2)*EX114+(1-EXP(-LN(2)/2))/(LN(2)/2)*ER115*EU115*VLOOKUP('Données projet'!$B$15,Paramètres!$A$1:$I$89,3,0)*0.475*44/12</f>
        <v>1.0790863540850738E-11</v>
      </c>
      <c r="EY115" s="22">
        <f t="shared" si="75"/>
        <v>1.3228172549867281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>
        <f>FE115*VLOOKUP('Données projet'!$B$16,Paramètres!$A$1:$I$89,3,0)*VLOOKUP('Données projet'!$B$16,Paramètres!$A$1:$I$89,5,0)</f>
        <v>0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168.08890945052406</v>
      </c>
      <c r="FK115" s="59">
        <f t="shared" si="102"/>
        <v>182.52462557642343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1.2245587966391203</v>
      </c>
      <c r="FR115" s="21">
        <f>EXP(-LN(2)/25)*FR114+(1-EXP(-LN(2)/25))/(LN(2)/25)*Calculateur!FM115*Calculateur!FO115*VLOOKUP('Données projet'!$B$16,Paramètres!$A$1:$I$89,3,0)*0.475*44/12</f>
        <v>1.2694504822118688</v>
      </c>
      <c r="FS115" s="21">
        <f>EXP(-LN(2)/2)*FS114+(1-EXP(-LN(2)/2))/(LN(2)/2)*FM115*FP115*VLOOKUP('Données projet'!$B$16,Paramètres!$A$1:$I$89,3,0)*0.475*44/12</f>
        <v>2.4764141808528488E-12</v>
      </c>
      <c r="FT115" s="22">
        <f t="shared" si="78"/>
        <v>2.4940092788534654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-5.6843418860808015E-14</v>
      </c>
      <c r="GA115" s="17">
        <f>FZ115*VLOOKUP('Données projet'!$B$17,Paramètres!$A$1:$I$89,3,0)*VLOOKUP('Données projet'!$B$17,Paramètres!$A$1:$I$89,5,0)</f>
        <v>-3.2514435588382188E-14</v>
      </c>
      <c r="GB115" s="13" t="e">
        <f t="shared" si="103"/>
        <v>#NUM!</v>
      </c>
      <c r="GC115" s="20" t="e">
        <f t="shared" si="79"/>
        <v>#NUM!</v>
      </c>
      <c r="GD115" s="59" t="e">
        <f t="shared" si="80"/>
        <v>#NUM!</v>
      </c>
      <c r="GE115" s="59">
        <f ca="1">AVERAGE(OFFSET($GD$3,0,0,'Données projet'!$E$17+1,1))-AVERAGE(OFFSET($H$3,0,0,'Données projet'!$E$17+1,1))</f>
        <v>196.95560009657527</v>
      </c>
      <c r="GF115" s="59">
        <f t="shared" si="104"/>
        <v>168.90186968005662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0</v>
      </c>
      <c r="GM115" s="21">
        <f>EXP(-LN(2)/25)*GM114+(1-EXP(-LN(2)/25))/(LN(2)/25)*Calculateur!GH115*Calculateur!GJ115*VLOOKUP('Données projet'!$B$17,Paramètres!$A$1:$I$89,3,0)*0.475*44/12</f>
        <v>0.95031480328788109</v>
      </c>
      <c r="GN115" s="21">
        <f>EXP(-LN(2)/2)*GN114+(1-EXP(-LN(2)/2))/(LN(2)/2)*GH115*GK115*VLOOKUP('Données projet'!$B$17,Paramètres!$A$1:$I$89,3,0)*0.475*44/12</f>
        <v>5.8478591891911369E-12</v>
      </c>
      <c r="GO115" s="21">
        <f t="shared" si="81"/>
        <v>0.95031480329372897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-5.3205440053716299E-14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215.23235148064941</v>
      </c>
      <c r="T116" s="59">
        <f t="shared" si="88"/>
        <v>184.07239726900434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0.60577095684980775</v>
      </c>
      <c r="AA116" s="21">
        <f>EXP(-LN(2)/25)*AA115+(1-EXP(-LN(2)/25))/(LN(2)/25)*Calculateur!V116*Calculateur!X116*VLOOKUP('Données projet'!$B$9,Paramètres!$A$1:$I$89,3,0)*0.475*44/12</f>
        <v>0.78659698355787433</v>
      </c>
      <c r="AB116" s="21">
        <f>EXP(-LN(2)/2)*AB115+(1-EXP(-LN(2)/2))/(LN(2)/2)*V116*Y116*VLOOKUP('Données projet'!$B$9,Paramètres!$A$1:$I$89,3,0)*0.475*44/12</f>
        <v>3.1615848743241154E-12</v>
      </c>
      <c r="AC116" s="22">
        <f t="shared" si="57"/>
        <v>1.3923679404108438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5.6843418860808015E-14</v>
      </c>
      <c r="AJ116" s="13">
        <f>AI116*VLOOKUP('Données projet'!$B$10,Paramètres!$A$1:$I$89,3,0)*VLOOKUP('Données projet'!$B$10,Paramètres!$A$1:$I$89,5,0)</f>
        <v>4.1677594708744434E-14</v>
      </c>
      <c r="AK116" s="13">
        <f t="shared" si="89"/>
        <v>6.9326303456159188E-13</v>
      </c>
      <c r="AL116" s="20">
        <f t="shared" si="58"/>
        <v>1.2800215959791691E-12</v>
      </c>
      <c r="AM116" s="59">
        <f t="shared" si="59"/>
        <v>293.33333333333462</v>
      </c>
      <c r="AN116" s="59">
        <f ca="1">AVERAGE(OFFSET($AM$3,0,0,'Données projet'!$E$10+1,1))-AVERAGE(OFFSET($H$3,0,0,'Données projet'!$E$10+1,1))</f>
        <v>178.12968684094687</v>
      </c>
      <c r="AO116" s="59">
        <f t="shared" si="90"/>
        <v>219.36004077210373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0.76987377173285088</v>
      </c>
      <c r="AW116" s="21">
        <f>EXP(-LN(2)/2)*AW115+(1-EXP(-LN(2)/2))/(LN(2)/2)*AQ116*AT116*VLOOKUP('Données projet'!$B$10,Paramètres!$A$1:$I$89,3,0)*0.475*44/12</f>
        <v>3.1890257671564204E-12</v>
      </c>
      <c r="AX116" s="21">
        <f t="shared" si="60"/>
        <v>0.76987377173603988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-5.6843418860808015E-14</v>
      </c>
      <c r="BE116" s="13">
        <f>BD116*VLOOKUP('Données projet'!$B$11,Paramètres!$A$1:$I$89,3,0)*VLOOKUP('Données projet'!$B$11,Paramètres!$A$1:$I$89,5,0)</f>
        <v>-4.9658410716801891E-14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114.02623091248347</v>
      </c>
      <c r="BJ116" s="59">
        <f t="shared" si="92"/>
        <v>185.51554083721635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0.37718543722868003</v>
      </c>
      <c r="BQ116" s="21">
        <f>EXP(-LN(2)/25)*BQ115+(1-EXP(-LN(2)/25))/(LN(2)/25)*Calculateur!BL116*Calculateur!BN116*VLOOKUP('Données projet'!$B$11,Paramètres!$A$1:$I$89,3,0)*0.475*44/12</f>
        <v>1.1271183879331474</v>
      </c>
      <c r="BR116" s="21">
        <f>EXP(-LN(2)/2)*BR115+(1-EXP(-LN(2)/2))/(LN(2)/2)*BL116*BO116*VLOOKUP('Données projet'!$B$11,Paramètres!$A$1:$I$89,3,0)*0.475*44/12</f>
        <v>5.6719954241766175E-12</v>
      </c>
      <c r="BS116" s="22">
        <f t="shared" si="63"/>
        <v>1.5043038251674994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3.7</v>
      </c>
      <c r="BY116" s="12">
        <f>IF('Données projet'!$A$114&gt;35,BY115+BX116-CG115,IF(A116&lt;'Données projet'!$A$114,$BV$205^A116,IF(A116='Données projet'!$A$114,'Données projet'!$B$114,BY115+BX116-CG115)))</f>
        <v>277.09999999999997</v>
      </c>
      <c r="BZ116" s="13">
        <f>BY116*VLOOKUP('Données projet'!$B$12,Paramètres!$A$1:$I$89,3,0)*VLOOKUP('Données projet'!$B$12,Paramètres!$A$1:$I$89,5,0)</f>
        <v>250.72007999999994</v>
      </c>
      <c r="CA116" s="13">
        <f t="shared" si="93"/>
        <v>60.740109326032758</v>
      </c>
      <c r="CB116" s="20">
        <f t="shared" si="64"/>
        <v>542.45982974284027</v>
      </c>
      <c r="CC116" s="59">
        <f t="shared" si="65"/>
        <v>835.79316307617364</v>
      </c>
      <c r="CD116" s="59">
        <f ca="1">AVERAGE(OFFSET($CC$3,0,0,'Données projet'!$E$12+1,1))-AVERAGE(OFFSET($H$3,0,0,'Données projet'!$E$12+1,1))</f>
        <v>237.22177246688199</v>
      </c>
      <c r="CE116" s="59">
        <f t="shared" si="94"/>
        <v>149.27472147904302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0.31100918895467872</v>
      </c>
      <c r="CM116" s="21">
        <f>EXP(-LN(2)/2)*CM115+(1-EXP(-LN(2)/2))/(LN(2)/2)*CG116*CJ116*VLOOKUP('Données projet'!$B$12,Paramètres!$A$1:$I$89,3,0)*0.475*44/12</f>
        <v>1.9902153503556971E-12</v>
      </c>
      <c r="CN116" s="22">
        <f t="shared" si="66"/>
        <v>0.31100918895666896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-5.6843418860808015E-13</v>
      </c>
      <c r="CU116" s="17">
        <f>CT116*VLOOKUP('Données projet'!$B$13,Paramètres!$A$1:$I$89,3,0)*VLOOKUP('Données projet'!$B$13,Paramètres!$A$1:$I$89,5,0)</f>
        <v>-3.177547114319168E-13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326.31232746914907</v>
      </c>
      <c r="CZ116" s="59">
        <f t="shared" si="96"/>
        <v>330.17137761430297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0.8827744275564865</v>
      </c>
      <c r="DG116" s="21">
        <f>EXP(-LN(2)/25)*DG115+(1-EXP(-LN(2)/25))/(LN(2)/25)*Calculateur!DB116*Calculateur!DD116*VLOOKUP('Données projet'!$B$13,Paramètres!$A$1:$I$89,3,0)*0.475*44/12</f>
        <v>3.0213299969992384</v>
      </c>
      <c r="DH116" s="21">
        <f>EXP(-LN(2)/2)*DH115+(1-EXP(-LN(2)/2))/(LN(2)/2)*DB116*DE116*VLOOKUP('Données projet'!$B$13,Paramètres!$A$1:$I$89,3,0)*0.475*44/12</f>
        <v>1.045763802953066E-11</v>
      </c>
      <c r="DI116" s="22">
        <f t="shared" si="69"/>
        <v>3.9041044245661829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6.2527760746888816E-13</v>
      </c>
      <c r="DP116" s="17">
        <f>DO116*VLOOKUP('Données projet'!$B$14,Paramètres!$A$1:$I$89,3,0)*VLOOKUP('Données projet'!$B$14,Paramètres!$A$1:$I$89,5,0)</f>
        <v>3.9017322706058616E-13</v>
      </c>
      <c r="DQ116" s="13">
        <f t="shared" si="97"/>
        <v>5.0025007393608908E-12</v>
      </c>
      <c r="DR116" s="20">
        <f t="shared" si="70"/>
        <v>9.3922404915174053E-12</v>
      </c>
      <c r="DS116" s="59">
        <f t="shared" si="71"/>
        <v>293.33333333334269</v>
      </c>
      <c r="DT116" s="59">
        <f ca="1">AVERAGE(OFFSET($DS$3,0,0,'Données projet'!$E$14+1,1))-AVERAGE(OFFSET($H$3,0,0,'Données projet'!$E$14+1,1))</f>
        <v>209.93608079129638</v>
      </c>
      <c r="DU116" s="59">
        <f t="shared" si="98"/>
        <v>240.15652428700969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1.3437581138280534</v>
      </c>
      <c r="EB116" s="21">
        <f>EXP(-LN(2)/25)*EB115+(1-EXP(-LN(2)/25))/(LN(2)/25)*Calculateur!DW116*Calculateur!DY116*VLOOKUP('Données projet'!$B$14,Paramètres!$A$1:$I$89,3,0)*0.475*44/12</f>
        <v>2.0815709104583595</v>
      </c>
      <c r="EC116" s="21">
        <f>EXP(-LN(2)/2)*EC115+(1-EXP(-LN(2)/2))/(LN(2)/2)*DW116*DZ116*VLOOKUP('Données projet'!$B$14,Paramètres!$A$1:$I$89,3,0)*0.475*44/12</f>
        <v>6.4924563777655874E-12</v>
      </c>
      <c r="ED116" s="22">
        <f t="shared" si="72"/>
        <v>3.4253290242929055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-4.5474735088646412E-13</v>
      </c>
      <c r="EK116" s="17">
        <f>EJ116*VLOOKUP('Données projet'!$B$15,Paramètres!$A$1:$I$89,3,0)*VLOOKUP('Données projet'!$B$15,Paramètres!$A$1:$I$89,5,0)</f>
        <v>-2.7193891583010558E-13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216.94426559495264</v>
      </c>
      <c r="EP116" s="59">
        <f t="shared" si="100"/>
        <v>225.33715877618704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</v>
      </c>
      <c r="EW116" s="21">
        <f>EXP(-LN(2)/25)*EW115+(1-EXP(-LN(2)/25))/(LN(2)/25)*Calculateur!ER116*Calculateur!ET116*VLOOKUP('Données projet'!$B$15,Paramètres!$A$1:$I$89,3,0)*0.475*44/12</f>
        <v>1.2866447475746841</v>
      </c>
      <c r="EX116" s="21">
        <f>EXP(-LN(2)/2)*EX115+(1-EXP(-LN(2)/2))/(LN(2)/2)*ER116*EU116*VLOOKUP('Données projet'!$B$15,Paramètres!$A$1:$I$89,3,0)*0.475*44/12</f>
        <v>7.6302927845942359E-12</v>
      </c>
      <c r="EY116" s="22">
        <f t="shared" si="75"/>
        <v>1.2866447475823144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>
        <f>FE116*VLOOKUP('Données projet'!$B$16,Paramètres!$A$1:$I$89,3,0)*VLOOKUP('Données projet'!$B$16,Paramètres!$A$1:$I$89,5,0)</f>
        <v>0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168.08890945052406</v>
      </c>
      <c r="FK116" s="59">
        <f t="shared" si="102"/>
        <v>182.52462557642343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1.2005459455441421</v>
      </c>
      <c r="FR116" s="21">
        <f>EXP(-LN(2)/25)*FR115+(1-EXP(-LN(2)/25))/(LN(2)/25)*Calculateur!FM116*Calculateur!FO116*VLOOKUP('Données projet'!$B$16,Paramètres!$A$1:$I$89,3,0)*0.475*44/12</f>
        <v>1.2347372920182857</v>
      </c>
      <c r="FS116" s="21">
        <f>EXP(-LN(2)/2)*FS115+(1-EXP(-LN(2)/2))/(LN(2)/2)*FM116*FP116*VLOOKUP('Données projet'!$B$16,Paramètres!$A$1:$I$89,3,0)*0.475*44/12</f>
        <v>1.7510892603075787E-12</v>
      </c>
      <c r="FT116" s="22">
        <f t="shared" si="78"/>
        <v>2.4352832375641786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-5.6843418860808015E-14</v>
      </c>
      <c r="GA116" s="17">
        <f>FZ116*VLOOKUP('Données projet'!$B$17,Paramètres!$A$1:$I$89,3,0)*VLOOKUP('Données projet'!$B$17,Paramètres!$A$1:$I$89,5,0)</f>
        <v>-3.2514435588382188E-14</v>
      </c>
      <c r="GB116" s="13" t="e">
        <f t="shared" si="103"/>
        <v>#NUM!</v>
      </c>
      <c r="GC116" s="20" t="e">
        <f t="shared" si="79"/>
        <v>#NUM!</v>
      </c>
      <c r="GD116" s="59" t="e">
        <f t="shared" si="80"/>
        <v>#NUM!</v>
      </c>
      <c r="GE116" s="59">
        <f ca="1">AVERAGE(OFFSET($GD$3,0,0,'Données projet'!$E$17+1,1))-AVERAGE(OFFSET($H$3,0,0,'Données projet'!$E$17+1,1))</f>
        <v>196.95560009657527</v>
      </c>
      <c r="GF116" s="59">
        <f t="shared" si="104"/>
        <v>168.90186968005662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0</v>
      </c>
      <c r="GM116" s="21">
        <f>EXP(-LN(2)/25)*GM115+(1-EXP(-LN(2)/25))/(LN(2)/25)*Calculateur!GH116*Calculateur!GJ116*VLOOKUP('Données projet'!$B$17,Paramètres!$A$1:$I$89,3,0)*0.475*44/12</f>
        <v>0.92432839501709041</v>
      </c>
      <c r="GN116" s="21">
        <f>EXP(-LN(2)/2)*GN115+(1-EXP(-LN(2)/2))/(LN(2)/2)*GH116*GK116*VLOOKUP('Données projet'!$B$17,Paramètres!$A$1:$I$89,3,0)*0.475*44/12</f>
        <v>4.1350608881011184E-12</v>
      </c>
      <c r="GO116" s="21">
        <f t="shared" si="81"/>
        <v>0.92432839502122544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-5.3205440053716299E-14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215.23235148064941</v>
      </c>
      <c r="T117" s="59">
        <f t="shared" si="88"/>
        <v>184.07239726900434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0.59389215786978322</v>
      </c>
      <c r="AA117" s="21">
        <f>EXP(-LN(2)/25)*AA116+(1-EXP(-LN(2)/25))/(LN(2)/25)*Calculateur!V117*Calculateur!X117*VLOOKUP('Données projet'!$B$9,Paramètres!$A$1:$I$89,3,0)*0.475*44/12</f>
        <v>0.76508744767714665</v>
      </c>
      <c r="AB117" s="21">
        <f>EXP(-LN(2)/2)*AB116+(1-EXP(-LN(2)/2))/(LN(2)/2)*V117*Y117*VLOOKUP('Données projet'!$B$9,Paramètres!$A$1:$I$89,3,0)*0.475*44/12</f>
        <v>2.2355781039314006E-12</v>
      </c>
      <c r="AC117" s="22">
        <f t="shared" si="57"/>
        <v>1.3589796055491654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5.6843418860808015E-14</v>
      </c>
      <c r="AJ117" s="13">
        <f>AI117*VLOOKUP('Données projet'!$B$10,Paramètres!$A$1:$I$89,3,0)*VLOOKUP('Données projet'!$B$10,Paramètres!$A$1:$I$89,5,0)</f>
        <v>4.1677594708744434E-14</v>
      </c>
      <c r="AK117" s="13">
        <f t="shared" si="89"/>
        <v>6.9326303456159188E-13</v>
      </c>
      <c r="AL117" s="20">
        <f t="shared" si="58"/>
        <v>1.2800215959791691E-12</v>
      </c>
      <c r="AM117" s="59">
        <f t="shared" si="59"/>
        <v>293.33333333333462</v>
      </c>
      <c r="AN117" s="59">
        <f ca="1">AVERAGE(OFFSET($AM$3,0,0,'Données projet'!$E$10+1,1))-AVERAGE(OFFSET($H$3,0,0,'Données projet'!$E$10+1,1))</f>
        <v>178.12968684094687</v>
      </c>
      <c r="AO117" s="59">
        <f t="shared" si="90"/>
        <v>219.36004077210373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0.74882153295891396</v>
      </c>
      <c r="AW117" s="21">
        <f>EXP(-LN(2)/2)*AW116+(1-EXP(-LN(2)/2))/(LN(2)/2)*AQ117*AT117*VLOOKUP('Données projet'!$B$10,Paramètres!$A$1:$I$89,3,0)*0.475*44/12</f>
        <v>2.2549817453349368E-12</v>
      </c>
      <c r="AX117" s="21">
        <f t="shared" si="60"/>
        <v>0.74882153296116893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-5.6843418860808015E-14</v>
      </c>
      <c r="BE117" s="13">
        <f>BD117*VLOOKUP('Données projet'!$B$11,Paramètres!$A$1:$I$89,3,0)*VLOOKUP('Données projet'!$B$11,Paramètres!$A$1:$I$89,5,0)</f>
        <v>-4.9658410716801891E-14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114.02623091248347</v>
      </c>
      <c r="BJ117" s="59">
        <f t="shared" si="92"/>
        <v>185.51554083721635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0.36978906086502572</v>
      </c>
      <c r="BQ117" s="21">
        <f>EXP(-LN(2)/25)*BQ116+(1-EXP(-LN(2)/25))/(LN(2)/25)*Calculateur!BL117*Calculateur!BN117*VLOOKUP('Données projet'!$B$11,Paramètres!$A$1:$I$89,3,0)*0.475*44/12</f>
        <v>1.0962972763425356</v>
      </c>
      <c r="BR117" s="21">
        <f>EXP(-LN(2)/2)*BR116+(1-EXP(-LN(2)/2))/(LN(2)/2)*BL117*BO117*VLOOKUP('Données projet'!$B$11,Paramètres!$A$1:$I$89,3,0)*0.475*44/12</f>
        <v>4.0107064272943542E-12</v>
      </c>
      <c r="BS117" s="22">
        <f t="shared" si="63"/>
        <v>1.466086337211572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3.7</v>
      </c>
      <c r="BY117" s="12">
        <f>IF('Données projet'!$A$114&gt;35,BY116+BX117-CG116,IF(A117&lt;'Données projet'!$A$114,$BV$205^A117,IF(A117='Données projet'!$A$114,'Données projet'!$B$114,BY116+BX117-CG116)))</f>
        <v>280.79999999999995</v>
      </c>
      <c r="BZ117" s="13">
        <f>BY117*VLOOKUP('Données projet'!$B$12,Paramètres!$A$1:$I$89,3,0)*VLOOKUP('Données projet'!$B$12,Paramètres!$A$1:$I$89,5,0)</f>
        <v>254.06783999999996</v>
      </c>
      <c r="CA117" s="13">
        <f t="shared" si="93"/>
        <v>61.456187622750718</v>
      </c>
      <c r="CB117" s="20">
        <f t="shared" si="64"/>
        <v>549.53768144295748</v>
      </c>
      <c r="CC117" s="59">
        <f t="shared" si="65"/>
        <v>842.87101477629085</v>
      </c>
      <c r="CD117" s="59">
        <f ca="1">AVERAGE(OFFSET($CC$3,0,0,'Données projet'!$E$12+1,1))-AVERAGE(OFFSET($H$3,0,0,'Données projet'!$E$12+1,1))</f>
        <v>237.22177246688199</v>
      </c>
      <c r="CE117" s="59">
        <f t="shared" si="94"/>
        <v>149.27472147904302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0.30250462632745062</v>
      </c>
      <c r="CM117" s="21">
        <f>EXP(-LN(2)/2)*CM116+(1-EXP(-LN(2)/2))/(LN(2)/2)*CG117*CJ117*VLOOKUP('Données projet'!$B$12,Paramètres!$A$1:$I$89,3,0)*0.475*44/12</f>
        <v>1.4072947702580739E-12</v>
      </c>
      <c r="CN117" s="22">
        <f t="shared" si="66"/>
        <v>0.30250462632885794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-5.6843418860808015E-13</v>
      </c>
      <c r="CU117" s="17">
        <f>CT117*VLOOKUP('Données projet'!$B$13,Paramètres!$A$1:$I$89,3,0)*VLOOKUP('Données projet'!$B$13,Paramètres!$A$1:$I$89,5,0)</f>
        <v>-3.177547114319168E-13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326.31232746914907</v>
      </c>
      <c r="CZ117" s="59">
        <f t="shared" si="96"/>
        <v>330.17137761430297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0.86546375947133813</v>
      </c>
      <c r="DG117" s="21">
        <f>EXP(-LN(2)/25)*DG116+(1-EXP(-LN(2)/25))/(LN(2)/25)*Calculateur!DB117*Calculateur!DD117*VLOOKUP('Données projet'!$B$13,Paramètres!$A$1:$I$89,3,0)*0.475*44/12</f>
        <v>2.9387115693464549</v>
      </c>
      <c r="DH117" s="21">
        <f>EXP(-LN(2)/2)*DH116+(1-EXP(-LN(2)/2))/(LN(2)/2)*DB117*DE117*VLOOKUP('Données projet'!$B$13,Paramètres!$A$1:$I$89,3,0)*0.475*44/12</f>
        <v>7.3946667658754545E-12</v>
      </c>
      <c r="DI117" s="22">
        <f t="shared" si="69"/>
        <v>3.8041753288251878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6.2527760746888816E-13</v>
      </c>
      <c r="DP117" s="17">
        <f>DO117*VLOOKUP('Données projet'!$B$14,Paramètres!$A$1:$I$89,3,0)*VLOOKUP('Données projet'!$B$14,Paramètres!$A$1:$I$89,5,0)</f>
        <v>3.9017322706058616E-13</v>
      </c>
      <c r="DQ117" s="13">
        <f t="shared" si="97"/>
        <v>5.0025007393608908E-12</v>
      </c>
      <c r="DR117" s="20">
        <f t="shared" si="70"/>
        <v>9.3922404915174053E-12</v>
      </c>
      <c r="DS117" s="59">
        <f t="shared" si="71"/>
        <v>293.33333333334269</v>
      </c>
      <c r="DT117" s="59">
        <f ca="1">AVERAGE(OFFSET($DS$3,0,0,'Données projet'!$E$14+1,1))-AVERAGE(OFFSET($H$3,0,0,'Données projet'!$E$14+1,1))</f>
        <v>209.93608079129638</v>
      </c>
      <c r="DU117" s="59">
        <f t="shared" si="98"/>
        <v>240.15652428700969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1.3174078368274049</v>
      </c>
      <c r="EB117" s="21">
        <f>EXP(-LN(2)/25)*EB116+(1-EXP(-LN(2)/25))/(LN(2)/25)*Calculateur!DW117*Calculateur!DY117*VLOOKUP('Données projet'!$B$14,Paramètres!$A$1:$I$89,3,0)*0.475*44/12</f>
        <v>2.0246502444468191</v>
      </c>
      <c r="EC117" s="21">
        <f>EXP(-LN(2)/2)*EC116+(1-EXP(-LN(2)/2))/(LN(2)/2)*DW117*DZ117*VLOOKUP('Données projet'!$B$14,Paramètres!$A$1:$I$89,3,0)*0.475*44/12</f>
        <v>4.5908599312758961E-12</v>
      </c>
      <c r="ED117" s="22">
        <f t="shared" si="72"/>
        <v>3.342058081278815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-4.5474735088646412E-13</v>
      </c>
      <c r="EK117" s="17">
        <f>EJ117*VLOOKUP('Données projet'!$B$15,Paramètres!$A$1:$I$89,3,0)*VLOOKUP('Données projet'!$B$15,Paramètres!$A$1:$I$89,5,0)</f>
        <v>-2.7193891583010558E-13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216.94426559495264</v>
      </c>
      <c r="EP117" s="59">
        <f t="shared" si="100"/>
        <v>225.33715877618704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</v>
      </c>
      <c r="EW117" s="21">
        <f>EXP(-LN(2)/25)*EW116+(1-EXP(-LN(2)/25))/(LN(2)/25)*Calculateur!ER117*Calculateur!ET117*VLOOKUP('Données projet'!$B$15,Paramètres!$A$1:$I$89,3,0)*0.475*44/12</f>
        <v>1.2514613792905478</v>
      </c>
      <c r="EX117" s="21">
        <f>EXP(-LN(2)/2)*EX116+(1-EXP(-LN(2)/2))/(LN(2)/2)*ER117*EU117*VLOOKUP('Données projet'!$B$15,Paramètres!$A$1:$I$89,3,0)*0.475*44/12</f>
        <v>5.3954317704253689E-12</v>
      </c>
      <c r="EY117" s="22">
        <f t="shared" si="75"/>
        <v>1.2514613792959433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>
        <f>FE117*VLOOKUP('Données projet'!$B$16,Paramètres!$A$1:$I$89,3,0)*VLOOKUP('Données projet'!$B$16,Paramètres!$A$1:$I$89,5,0)</f>
        <v>0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168.08890945052406</v>
      </c>
      <c r="FK117" s="59">
        <f t="shared" si="102"/>
        <v>182.52462557642343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1.1770039718127434</v>
      </c>
      <c r="FR117" s="21">
        <f>EXP(-LN(2)/25)*FR116+(1-EXP(-LN(2)/25))/(LN(2)/25)*Calculateur!FM117*Calculateur!FO117*VLOOKUP('Données projet'!$B$16,Paramètres!$A$1:$I$89,3,0)*0.475*44/12</f>
        <v>1.2009733358360335</v>
      </c>
      <c r="FS117" s="21">
        <f>EXP(-LN(2)/2)*FS116+(1-EXP(-LN(2)/2))/(LN(2)/2)*FM117*FP117*VLOOKUP('Données projet'!$B$16,Paramètres!$A$1:$I$89,3,0)*0.475*44/12</f>
        <v>1.2382070904264244E-12</v>
      </c>
      <c r="FT117" s="22">
        <f t="shared" si="78"/>
        <v>2.3779773076500152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-5.6843418860808015E-14</v>
      </c>
      <c r="GA117" s="17">
        <f>FZ117*VLOOKUP('Données projet'!$B$17,Paramètres!$A$1:$I$89,3,0)*VLOOKUP('Données projet'!$B$17,Paramètres!$A$1:$I$89,5,0)</f>
        <v>-3.2514435588382188E-14</v>
      </c>
      <c r="GB117" s="13" t="e">
        <f t="shared" si="103"/>
        <v>#NUM!</v>
      </c>
      <c r="GC117" s="20" t="e">
        <f t="shared" si="79"/>
        <v>#NUM!</v>
      </c>
      <c r="GD117" s="59" t="e">
        <f t="shared" si="80"/>
        <v>#NUM!</v>
      </c>
      <c r="GE117" s="59">
        <f ca="1">AVERAGE(OFFSET($GD$3,0,0,'Données projet'!$E$17+1,1))-AVERAGE(OFFSET($H$3,0,0,'Données projet'!$E$17+1,1))</f>
        <v>196.95560009657527</v>
      </c>
      <c r="GF117" s="59">
        <f t="shared" si="104"/>
        <v>168.90186968005662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0</v>
      </c>
      <c r="GM117" s="21">
        <f>EXP(-LN(2)/25)*GM116+(1-EXP(-LN(2)/25))/(LN(2)/25)*Calculateur!GH117*Calculateur!GJ117*VLOOKUP('Données projet'!$B$17,Paramètres!$A$1:$I$89,3,0)*0.475*44/12</f>
        <v>0.89905258644703034</v>
      </c>
      <c r="GN117" s="21">
        <f>EXP(-LN(2)/2)*GN116+(1-EXP(-LN(2)/2))/(LN(2)/2)*GH117*GK117*VLOOKUP('Données projet'!$B$17,Paramètres!$A$1:$I$89,3,0)*0.475*44/12</f>
        <v>2.9239295945955684E-12</v>
      </c>
      <c r="GO117" s="21">
        <f t="shared" si="81"/>
        <v>0.89905258644995423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-5.3205440053716299E-14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215.23235148064941</v>
      </c>
      <c r="T118" s="59">
        <f t="shared" si="88"/>
        <v>184.07239726900434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0.58224629489240498</v>
      </c>
      <c r="AA118" s="21">
        <f>EXP(-LN(2)/25)*AA117+(1-EXP(-LN(2)/25))/(LN(2)/25)*Calculateur!V118*Calculateur!X118*VLOOKUP('Données projet'!$B$9,Paramètres!$A$1:$I$89,3,0)*0.475*44/12</f>
        <v>0.7441660911862148</v>
      </c>
      <c r="AB118" s="21">
        <f>EXP(-LN(2)/2)*AB117+(1-EXP(-LN(2)/2))/(LN(2)/2)*V118*Y118*VLOOKUP('Données projet'!$B$9,Paramètres!$A$1:$I$89,3,0)*0.475*44/12</f>
        <v>1.5807924371620577E-12</v>
      </c>
      <c r="AC118" s="22">
        <f t="shared" si="57"/>
        <v>1.3264123860802004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5.6843418860808015E-14</v>
      </c>
      <c r="AJ118" s="13">
        <f>AI118*VLOOKUP('Données projet'!$B$10,Paramètres!$A$1:$I$89,3,0)*VLOOKUP('Données projet'!$B$10,Paramètres!$A$1:$I$89,5,0)</f>
        <v>4.1677594708744434E-14</v>
      </c>
      <c r="AK118" s="13">
        <f t="shared" si="89"/>
        <v>6.9326303456159188E-13</v>
      </c>
      <c r="AL118" s="20">
        <f t="shared" si="58"/>
        <v>1.2800215959791691E-12</v>
      </c>
      <c r="AM118" s="59">
        <f t="shared" si="59"/>
        <v>293.33333333333462</v>
      </c>
      <c r="AN118" s="59">
        <f ca="1">AVERAGE(OFFSET($AM$3,0,0,'Données projet'!$E$10+1,1))-AVERAGE(OFFSET($H$3,0,0,'Données projet'!$E$10+1,1))</f>
        <v>178.12968684094687</v>
      </c>
      <c r="AO118" s="59">
        <f t="shared" si="90"/>
        <v>219.36004077210373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0.72834496876133947</v>
      </c>
      <c r="AW118" s="21">
        <f>EXP(-LN(2)/2)*AW117+(1-EXP(-LN(2)/2))/(LN(2)/2)*AQ118*AT118*VLOOKUP('Données projet'!$B$10,Paramètres!$A$1:$I$89,3,0)*0.475*44/12</f>
        <v>1.5945128835782102E-12</v>
      </c>
      <c r="AX118" s="21">
        <f t="shared" si="60"/>
        <v>0.72834496876293398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-5.6843418860808015E-14</v>
      </c>
      <c r="BE118" s="13">
        <f>BD118*VLOOKUP('Données projet'!$B$11,Paramètres!$A$1:$I$89,3,0)*VLOOKUP('Données projet'!$B$11,Paramètres!$A$1:$I$89,5,0)</f>
        <v>-4.9658410716801891E-14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114.02623091248347</v>
      </c>
      <c r="BJ118" s="59">
        <f t="shared" si="92"/>
        <v>185.51554083721635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0.36253772293051856</v>
      </c>
      <c r="BQ118" s="21">
        <f>EXP(-LN(2)/25)*BQ117+(1-EXP(-LN(2)/25))/(LN(2)/25)*Calculateur!BL118*Calculateur!BN118*VLOOKUP('Données projet'!$B$11,Paramètres!$A$1:$I$89,3,0)*0.475*44/12</f>
        <v>1.0663189696691808</v>
      </c>
      <c r="BR118" s="21">
        <f>EXP(-LN(2)/2)*BR117+(1-EXP(-LN(2)/2))/(LN(2)/2)*BL118*BO118*VLOOKUP('Données projet'!$B$11,Paramètres!$A$1:$I$89,3,0)*0.475*44/12</f>
        <v>2.8359977120883087E-12</v>
      </c>
      <c r="BS118" s="22">
        <f t="shared" si="63"/>
        <v>1.4288566926025354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3.7</v>
      </c>
      <c r="BY118" s="12">
        <f>IF('Données projet'!$A$114&gt;35,BY117+BX118-CG117,IF(A118&lt;'Données projet'!$A$114,$BV$205^A118,IF(A118='Données projet'!$A$114,'Données projet'!$B$114,BY117+BX118-CG117)))</f>
        <v>284.49999999999994</v>
      </c>
      <c r="BZ118" s="13">
        <f>BY118*VLOOKUP('Données projet'!$B$12,Paramètres!$A$1:$I$89,3,0)*VLOOKUP('Données projet'!$B$12,Paramètres!$A$1:$I$89,5,0)</f>
        <v>257.41559999999993</v>
      </c>
      <c r="CA118" s="13">
        <f t="shared" si="93"/>
        <v>62.171168434977119</v>
      </c>
      <c r="CB118" s="20">
        <f t="shared" si="64"/>
        <v>556.61362169091831</v>
      </c>
      <c r="CC118" s="59">
        <f t="shared" si="65"/>
        <v>849.94695502425157</v>
      </c>
      <c r="CD118" s="59">
        <f ca="1">AVERAGE(OFFSET($CC$3,0,0,'Données projet'!$E$12+1,1))-AVERAGE(OFFSET($H$3,0,0,'Données projet'!$E$12+1,1))</f>
        <v>237.22177246688199</v>
      </c>
      <c r="CE118" s="59">
        <f t="shared" si="94"/>
        <v>149.27472147904302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0.29423262141249956</v>
      </c>
      <c r="CM118" s="21">
        <f>EXP(-LN(2)/2)*CM117+(1-EXP(-LN(2)/2))/(LN(2)/2)*CG118*CJ118*VLOOKUP('Données projet'!$B$12,Paramètres!$A$1:$I$89,3,0)*0.475*44/12</f>
        <v>9.9510767517784854E-13</v>
      </c>
      <c r="CN118" s="22">
        <f t="shared" si="66"/>
        <v>0.29423262141349465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-5.6843418860808015E-13</v>
      </c>
      <c r="CU118" s="17">
        <f>CT118*VLOOKUP('Données projet'!$B$13,Paramètres!$A$1:$I$89,3,0)*VLOOKUP('Données projet'!$B$13,Paramètres!$A$1:$I$89,5,0)</f>
        <v>-3.177547114319168E-13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326.31232746914907</v>
      </c>
      <c r="CZ118" s="59">
        <f t="shared" si="96"/>
        <v>330.17137761430297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0.84849254302887456</v>
      </c>
      <c r="DG118" s="21">
        <f>EXP(-LN(2)/25)*DG117+(1-EXP(-LN(2)/25))/(LN(2)/25)*Calculateur!DB118*Calculateur!DD118*VLOOKUP('Données projet'!$B$13,Paramètres!$A$1:$I$89,3,0)*0.475*44/12</f>
        <v>2.8583523469425511</v>
      </c>
      <c r="DH118" s="21">
        <f>EXP(-LN(2)/2)*DH117+(1-EXP(-LN(2)/2))/(LN(2)/2)*DB118*DE118*VLOOKUP('Données projet'!$B$13,Paramètres!$A$1:$I$89,3,0)*0.475*44/12</f>
        <v>5.22881901476533E-12</v>
      </c>
      <c r="DI118" s="22">
        <f t="shared" si="69"/>
        <v>3.7068448899766544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6.2527760746888816E-13</v>
      </c>
      <c r="DP118" s="17">
        <f>DO118*VLOOKUP('Données projet'!$B$14,Paramètres!$A$1:$I$89,3,0)*VLOOKUP('Données projet'!$B$14,Paramètres!$A$1:$I$89,5,0)</f>
        <v>3.9017322706058616E-13</v>
      </c>
      <c r="DQ118" s="13">
        <f t="shared" si="97"/>
        <v>5.0025007393608908E-12</v>
      </c>
      <c r="DR118" s="20">
        <f t="shared" si="70"/>
        <v>9.3922404915174053E-12</v>
      </c>
      <c r="DS118" s="59">
        <f t="shared" si="71"/>
        <v>293.33333333334269</v>
      </c>
      <c r="DT118" s="59">
        <f ca="1">AVERAGE(OFFSET($DS$3,0,0,'Données projet'!$E$14+1,1))-AVERAGE(OFFSET($H$3,0,0,'Données projet'!$E$14+1,1))</f>
        <v>209.93608079129638</v>
      </c>
      <c r="DU118" s="59">
        <f t="shared" si="98"/>
        <v>240.15652428700969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1.291574272686657</v>
      </c>
      <c r="EB118" s="21">
        <f>EXP(-LN(2)/25)*EB117+(1-EXP(-LN(2)/25))/(LN(2)/25)*Calculateur!DW118*Calculateur!DY118*VLOOKUP('Données projet'!$B$14,Paramètres!$A$1:$I$89,3,0)*0.475*44/12</f>
        <v>1.9692860770406919</v>
      </c>
      <c r="EC118" s="21">
        <f>EXP(-LN(2)/2)*EC117+(1-EXP(-LN(2)/2))/(LN(2)/2)*DW118*DZ118*VLOOKUP('Données projet'!$B$14,Paramètres!$A$1:$I$89,3,0)*0.475*44/12</f>
        <v>3.2462281888827937E-12</v>
      </c>
      <c r="ED118" s="22">
        <f t="shared" si="72"/>
        <v>3.2608603497305952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-4.5474735088646412E-13</v>
      </c>
      <c r="EK118" s="17">
        <f>EJ118*VLOOKUP('Données projet'!$B$15,Paramètres!$A$1:$I$89,3,0)*VLOOKUP('Données projet'!$B$15,Paramètres!$A$1:$I$89,5,0)</f>
        <v>-2.7193891583010558E-13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216.94426559495264</v>
      </c>
      <c r="EP118" s="59">
        <f t="shared" si="100"/>
        <v>225.33715877618704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0</v>
      </c>
      <c r="EW118" s="21">
        <f>EXP(-LN(2)/25)*EW117+(1-EXP(-LN(2)/25))/(LN(2)/25)*Calculateur!ER118*Calculateur!ET118*VLOOKUP('Données projet'!$B$15,Paramètres!$A$1:$I$89,3,0)*0.475*44/12</f>
        <v>1.217240102062354</v>
      </c>
      <c r="EX118" s="21">
        <f>EXP(-LN(2)/2)*EX117+(1-EXP(-LN(2)/2))/(LN(2)/2)*ER118*EU118*VLOOKUP('Données projet'!$B$15,Paramètres!$A$1:$I$89,3,0)*0.475*44/12</f>
        <v>3.8151463922971179E-12</v>
      </c>
      <c r="EY118" s="22">
        <f t="shared" si="75"/>
        <v>1.2172401020661692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>
        <f>FE118*VLOOKUP('Données projet'!$B$16,Paramètres!$A$1:$I$89,3,0)*VLOOKUP('Données projet'!$B$16,Paramètres!$A$1:$I$89,5,0)</f>
        <v>0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168.08890945052406</v>
      </c>
      <c r="FK118" s="59">
        <f t="shared" si="102"/>
        <v>182.52462557642343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1.1539236418270313</v>
      </c>
      <c r="FR118" s="21">
        <f>EXP(-LN(2)/25)*FR117+(1-EXP(-LN(2)/25))/(LN(2)/25)*Calculateur!FM118*Calculateur!FO118*VLOOKUP('Données projet'!$B$16,Paramètres!$A$1:$I$89,3,0)*0.475*44/12</f>
        <v>1.1681326568111543</v>
      </c>
      <c r="FS118" s="21">
        <f>EXP(-LN(2)/2)*FS117+(1-EXP(-LN(2)/2))/(LN(2)/2)*FM118*FP118*VLOOKUP('Données projet'!$B$16,Paramètres!$A$1:$I$89,3,0)*0.475*44/12</f>
        <v>8.7554463015378937E-13</v>
      </c>
      <c r="FT118" s="22">
        <f t="shared" si="78"/>
        <v>2.3220562986390614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-5.6843418860808015E-14</v>
      </c>
      <c r="GA118" s="17">
        <f>FZ118*VLOOKUP('Données projet'!$B$17,Paramètres!$A$1:$I$89,3,0)*VLOOKUP('Données projet'!$B$17,Paramètres!$A$1:$I$89,5,0)</f>
        <v>-3.2514435588382188E-14</v>
      </c>
      <c r="GB118" s="13" t="e">
        <f t="shared" si="103"/>
        <v>#NUM!</v>
      </c>
      <c r="GC118" s="20" t="e">
        <f t="shared" si="79"/>
        <v>#NUM!</v>
      </c>
      <c r="GD118" s="59" t="e">
        <f t="shared" si="80"/>
        <v>#NUM!</v>
      </c>
      <c r="GE118" s="59">
        <f ca="1">AVERAGE(OFFSET($GD$3,0,0,'Données projet'!$E$17+1,1))-AVERAGE(OFFSET($H$3,0,0,'Données projet'!$E$17+1,1))</f>
        <v>196.95560009657527</v>
      </c>
      <c r="GF118" s="59">
        <f t="shared" si="104"/>
        <v>168.90186968005662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0</v>
      </c>
      <c r="GM118" s="21">
        <f>EXP(-LN(2)/25)*GM117+(1-EXP(-LN(2)/25))/(LN(2)/25)*Calculateur!GH118*Calculateur!GJ118*VLOOKUP('Données projet'!$B$17,Paramètres!$A$1:$I$89,3,0)*0.475*44/12</f>
        <v>0.87446794619151558</v>
      </c>
      <c r="GN118" s="21">
        <f>EXP(-LN(2)/2)*GN117+(1-EXP(-LN(2)/2))/(LN(2)/2)*GH118*GK118*VLOOKUP('Données projet'!$B$17,Paramètres!$A$1:$I$89,3,0)*0.475*44/12</f>
        <v>2.0675304440505592E-12</v>
      </c>
      <c r="GO118" s="21">
        <f t="shared" si="81"/>
        <v>0.87446794619358315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-5.3205440053716299E-14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215.23235148064941</v>
      </c>
      <c r="T119" s="59">
        <f t="shared" si="88"/>
        <v>184.07239726900434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0.57082880018473814</v>
      </c>
      <c r="AA119" s="21">
        <f>EXP(-LN(2)/25)*AA118+(1-EXP(-LN(2)/25))/(LN(2)/25)*Calculateur!V119*Calculateur!X119*VLOOKUP('Données projet'!$B$9,Paramètres!$A$1:$I$89,3,0)*0.475*44/12</f>
        <v>0.72381683028873378</v>
      </c>
      <c r="AB119" s="21">
        <f>EXP(-LN(2)/2)*AB118+(1-EXP(-LN(2)/2))/(LN(2)/2)*V119*Y119*VLOOKUP('Données projet'!$B$9,Paramètres!$A$1:$I$89,3,0)*0.475*44/12</f>
        <v>1.1177890519657003E-12</v>
      </c>
      <c r="AC119" s="22">
        <f t="shared" si="57"/>
        <v>1.2946456304745897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5.6843418860808015E-14</v>
      </c>
      <c r="AJ119" s="13">
        <f>AI119*VLOOKUP('Données projet'!$B$10,Paramètres!$A$1:$I$89,3,0)*VLOOKUP('Données projet'!$B$10,Paramètres!$A$1:$I$89,5,0)</f>
        <v>4.1677594708744434E-14</v>
      </c>
      <c r="AK119" s="13">
        <f t="shared" si="89"/>
        <v>6.9326303456159188E-13</v>
      </c>
      <c r="AL119" s="20">
        <f t="shared" si="58"/>
        <v>1.2800215959791691E-12</v>
      </c>
      <c r="AM119" s="59">
        <f t="shared" si="59"/>
        <v>293.33333333333462</v>
      </c>
      <c r="AN119" s="59">
        <f ca="1">AVERAGE(OFFSET($AM$3,0,0,'Données projet'!$E$10+1,1))-AVERAGE(OFFSET($H$3,0,0,'Données projet'!$E$10+1,1))</f>
        <v>178.12968684094687</v>
      </c>
      <c r="AO119" s="59">
        <f t="shared" si="90"/>
        <v>219.36004077210373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0.70842833728856336</v>
      </c>
      <c r="AW119" s="21">
        <f>EXP(-LN(2)/2)*AW118+(1-EXP(-LN(2)/2))/(LN(2)/2)*AQ119*AT119*VLOOKUP('Données projet'!$B$10,Paramètres!$A$1:$I$89,3,0)*0.475*44/12</f>
        <v>1.1274908726674684E-12</v>
      </c>
      <c r="AX119" s="21">
        <f t="shared" si="60"/>
        <v>0.7084283372896909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-5.6843418860808015E-14</v>
      </c>
      <c r="BE119" s="13">
        <f>BD119*VLOOKUP('Données projet'!$B$11,Paramètres!$A$1:$I$89,3,0)*VLOOKUP('Données projet'!$B$11,Paramètres!$A$1:$I$89,5,0)</f>
        <v>-4.9658410716801891E-14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114.02623091248347</v>
      </c>
      <c r="BJ119" s="59">
        <f t="shared" si="92"/>
        <v>185.51554083721635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0.35542857931002769</v>
      </c>
      <c r="BQ119" s="21">
        <f>EXP(-LN(2)/25)*BQ118+(1-EXP(-LN(2)/25))/(LN(2)/25)*Calculateur!BL119*Calculateur!BN119*VLOOKUP('Données projet'!$B$11,Paramètres!$A$1:$I$89,3,0)*0.475*44/12</f>
        <v>1.0371604213682997</v>
      </c>
      <c r="BR119" s="21">
        <f>EXP(-LN(2)/2)*BR118+(1-EXP(-LN(2)/2))/(LN(2)/2)*BL119*BO119*VLOOKUP('Données projet'!$B$11,Paramètres!$A$1:$I$89,3,0)*0.475*44/12</f>
        <v>2.0053532136471771E-12</v>
      </c>
      <c r="BS119" s="22">
        <f t="shared" si="63"/>
        <v>1.3925890006803325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3.7</v>
      </c>
      <c r="BY119" s="12">
        <f>IF('Données projet'!$A$114&gt;35,BY118+BX119-CG118,IF(A119&lt;'Données projet'!$A$114,$BV$205^A119,IF(A119='Données projet'!$A$114,'Données projet'!$B$114,BY118+BX119-CG118)))</f>
        <v>288.19999999999993</v>
      </c>
      <c r="BZ119" s="13">
        <f>BY119*VLOOKUP('Données projet'!$B$12,Paramètres!$A$1:$I$89,3,0)*VLOOKUP('Données projet'!$B$12,Paramètres!$A$1:$I$89,5,0)</f>
        <v>260.76335999999992</v>
      </c>
      <c r="CA119" s="13">
        <f t="shared" si="93"/>
        <v>62.885067686031952</v>
      </c>
      <c r="CB119" s="20">
        <f t="shared" si="64"/>
        <v>563.68767821983886</v>
      </c>
      <c r="CC119" s="59">
        <f t="shared" si="65"/>
        <v>857.02101155317223</v>
      </c>
      <c r="CD119" s="59">
        <f ca="1">AVERAGE(OFFSET($CC$3,0,0,'Données projet'!$E$12+1,1))-AVERAGE(OFFSET($H$3,0,0,'Données projet'!$E$12+1,1))</f>
        <v>237.22177246688199</v>
      </c>
      <c r="CE119" s="59">
        <f t="shared" si="94"/>
        <v>149.27472147904302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0.28618681490695369</v>
      </c>
      <c r="CM119" s="21">
        <f>EXP(-LN(2)/2)*CM118+(1-EXP(-LN(2)/2))/(LN(2)/2)*CG119*CJ119*VLOOKUP('Données projet'!$B$12,Paramètres!$A$1:$I$89,3,0)*0.475*44/12</f>
        <v>7.0364738512903697E-13</v>
      </c>
      <c r="CN119" s="22">
        <f t="shared" si="66"/>
        <v>0.28618681490765735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-5.6843418860808015E-13</v>
      </c>
      <c r="CU119" s="17">
        <f>CT119*VLOOKUP('Données projet'!$B$13,Paramètres!$A$1:$I$89,3,0)*VLOOKUP('Données projet'!$B$13,Paramètres!$A$1:$I$89,5,0)</f>
        <v>-3.177547114319168E-13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326.31232746914907</v>
      </c>
      <c r="CZ119" s="59">
        <f t="shared" si="96"/>
        <v>330.17137761430297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0.83185412178942775</v>
      </c>
      <c r="DG119" s="21">
        <f>EXP(-LN(2)/25)*DG118+(1-EXP(-LN(2)/25))/(LN(2)/25)*Calculateur!DB119*Calculateur!DD119*VLOOKUP('Données projet'!$B$13,Paramètres!$A$1:$I$89,3,0)*0.475*44/12</f>
        <v>2.7801905517011898</v>
      </c>
      <c r="DH119" s="21">
        <f>EXP(-LN(2)/2)*DH118+(1-EXP(-LN(2)/2))/(LN(2)/2)*DB119*DE119*VLOOKUP('Données projet'!$B$13,Paramètres!$A$1:$I$89,3,0)*0.475*44/12</f>
        <v>3.6973333829377272E-12</v>
      </c>
      <c r="DI119" s="22">
        <f t="shared" si="69"/>
        <v>3.612044673494315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6.2527760746888816E-13</v>
      </c>
      <c r="DP119" s="17">
        <f>DO119*VLOOKUP('Données projet'!$B$14,Paramètres!$A$1:$I$89,3,0)*VLOOKUP('Données projet'!$B$14,Paramètres!$A$1:$I$89,5,0)</f>
        <v>3.9017322706058616E-13</v>
      </c>
      <c r="DQ119" s="13">
        <f t="shared" si="97"/>
        <v>5.0025007393608908E-12</v>
      </c>
      <c r="DR119" s="20">
        <f t="shared" si="70"/>
        <v>9.3922404915174053E-12</v>
      </c>
      <c r="DS119" s="59">
        <f t="shared" si="71"/>
        <v>293.33333333334269</v>
      </c>
      <c r="DT119" s="59">
        <f ca="1">AVERAGE(OFFSET($DS$3,0,0,'Données projet'!$E$14+1,1))-AVERAGE(OFFSET($H$3,0,0,'Données projet'!$E$14+1,1))</f>
        <v>209.93608079129638</v>
      </c>
      <c r="DU119" s="59">
        <f t="shared" si="98"/>
        <v>240.15652428700969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1.2662472889817911</v>
      </c>
      <c r="EB119" s="21">
        <f>EXP(-LN(2)/25)*EB118+(1-EXP(-LN(2)/25))/(LN(2)/25)*Calculateur!DW119*Calculateur!DY119*VLOOKUP('Données projet'!$B$14,Paramètres!$A$1:$I$89,3,0)*0.475*44/12</f>
        <v>1.9154358457037604</v>
      </c>
      <c r="EC119" s="21">
        <f>EXP(-LN(2)/2)*EC118+(1-EXP(-LN(2)/2))/(LN(2)/2)*DW119*DZ119*VLOOKUP('Données projet'!$B$14,Paramètres!$A$1:$I$89,3,0)*0.475*44/12</f>
        <v>2.295429965637948E-12</v>
      </c>
      <c r="ED119" s="22">
        <f t="shared" si="72"/>
        <v>3.1816831346878467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-4.5474735088646412E-13</v>
      </c>
      <c r="EK119" s="17">
        <f>EJ119*VLOOKUP('Données projet'!$B$15,Paramètres!$A$1:$I$89,3,0)*VLOOKUP('Données projet'!$B$15,Paramètres!$A$1:$I$89,5,0)</f>
        <v>-2.7193891583010558E-13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216.94426559495264</v>
      </c>
      <c r="EP119" s="59">
        <f t="shared" si="100"/>
        <v>225.33715877618704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</v>
      </c>
      <c r="EW119" s="21">
        <f>EXP(-LN(2)/25)*EW118+(1-EXP(-LN(2)/25))/(LN(2)/25)*Calculateur!ER119*Calculateur!ET119*VLOOKUP('Données projet'!$B$15,Paramètres!$A$1:$I$89,3,0)*0.475*44/12</f>
        <v>1.1839546074595839</v>
      </c>
      <c r="EX119" s="21">
        <f>EXP(-LN(2)/2)*EX118+(1-EXP(-LN(2)/2))/(LN(2)/2)*ER119*EU119*VLOOKUP('Données projet'!$B$15,Paramètres!$A$1:$I$89,3,0)*0.475*44/12</f>
        <v>2.6977158852126844E-12</v>
      </c>
      <c r="EY119" s="22">
        <f t="shared" si="75"/>
        <v>1.1839546074622815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>
        <f>FE119*VLOOKUP('Données projet'!$B$16,Paramètres!$A$1:$I$89,3,0)*VLOOKUP('Données projet'!$B$16,Paramètres!$A$1:$I$89,5,0)</f>
        <v>0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168.08890945052406</v>
      </c>
      <c r="FK119" s="59">
        <f t="shared" si="102"/>
        <v>182.52462557642343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1.1312959030347278</v>
      </c>
      <c r="FR119" s="21">
        <f>EXP(-LN(2)/25)*FR118+(1-EXP(-LN(2)/25))/(LN(2)/25)*Calculateur!FM119*Calculateur!FO119*VLOOKUP('Données projet'!$B$16,Paramètres!$A$1:$I$89,3,0)*0.475*44/12</f>
        <v>1.1361900078812266</v>
      </c>
      <c r="FS119" s="21">
        <f>EXP(-LN(2)/2)*FS118+(1-EXP(-LN(2)/2))/(LN(2)/2)*FM119*FP119*VLOOKUP('Données projet'!$B$16,Paramètres!$A$1:$I$89,3,0)*0.475*44/12</f>
        <v>6.1910354521321221E-13</v>
      </c>
      <c r="FT119" s="22">
        <f t="shared" si="78"/>
        <v>2.2674859109165735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-5.6843418860808015E-14</v>
      </c>
      <c r="GA119" s="17">
        <f>FZ119*VLOOKUP('Données projet'!$B$17,Paramètres!$A$1:$I$89,3,0)*VLOOKUP('Données projet'!$B$17,Paramètres!$A$1:$I$89,5,0)</f>
        <v>-3.2514435588382188E-14</v>
      </c>
      <c r="GB119" s="13" t="e">
        <f t="shared" si="103"/>
        <v>#NUM!</v>
      </c>
      <c r="GC119" s="20" t="e">
        <f t="shared" si="79"/>
        <v>#NUM!</v>
      </c>
      <c r="GD119" s="59" t="e">
        <f t="shared" si="80"/>
        <v>#NUM!</v>
      </c>
      <c r="GE119" s="59">
        <f ca="1">AVERAGE(OFFSET($GD$3,0,0,'Données projet'!$E$17+1,1))-AVERAGE(OFFSET($H$3,0,0,'Données projet'!$E$17+1,1))</f>
        <v>196.95560009657527</v>
      </c>
      <c r="GF119" s="59">
        <f t="shared" si="104"/>
        <v>168.90186968005662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0</v>
      </c>
      <c r="GM119" s="21">
        <f>EXP(-LN(2)/25)*GM118+(1-EXP(-LN(2)/25))/(LN(2)/25)*Calculateur!GH119*Calculateur!GJ119*VLOOKUP('Données projet'!$B$17,Paramètres!$A$1:$I$89,3,0)*0.475*44/12</f>
        <v>0.85055557421663797</v>
      </c>
      <c r="GN119" s="21">
        <f>EXP(-LN(2)/2)*GN118+(1-EXP(-LN(2)/2))/(LN(2)/2)*GH119*GK119*VLOOKUP('Données projet'!$B$17,Paramètres!$A$1:$I$89,3,0)*0.475*44/12</f>
        <v>1.4619647972977842E-12</v>
      </c>
      <c r="GO119" s="21">
        <f t="shared" si="81"/>
        <v>0.85055557421809991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-5.3205440053716299E-14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215.23235148064941</v>
      </c>
      <c r="T120" s="59">
        <f t="shared" si="88"/>
        <v>184.07239726900434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0.55963519558430452</v>
      </c>
      <c r="AA120" s="21">
        <f>EXP(-LN(2)/25)*AA119+(1-EXP(-LN(2)/25))/(LN(2)/25)*Calculateur!V120*Calculateur!X120*VLOOKUP('Données projet'!$B$9,Paramètres!$A$1:$I$89,3,0)*0.475*44/12</f>
        <v>0.70402402100061556</v>
      </c>
      <c r="AB120" s="21">
        <f>EXP(-LN(2)/2)*AB119+(1-EXP(-LN(2)/2))/(LN(2)/2)*V120*Y120*VLOOKUP('Données projet'!$B$9,Paramètres!$A$1:$I$89,3,0)*0.475*44/12</f>
        <v>7.9039621858102885E-13</v>
      </c>
      <c r="AC120" s="22">
        <f t="shared" si="57"/>
        <v>1.2636592165857106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5.6843418860808015E-14</v>
      </c>
      <c r="AJ120" s="13">
        <f>AI120*VLOOKUP('Données projet'!$B$10,Paramètres!$A$1:$I$89,3,0)*VLOOKUP('Données projet'!$B$10,Paramètres!$A$1:$I$89,5,0)</f>
        <v>4.1677594708744434E-14</v>
      </c>
      <c r="AK120" s="13">
        <f t="shared" si="89"/>
        <v>6.9326303456159188E-13</v>
      </c>
      <c r="AL120" s="20">
        <f t="shared" si="58"/>
        <v>1.2800215959791691E-12</v>
      </c>
      <c r="AM120" s="59">
        <f t="shared" si="59"/>
        <v>293.33333333333462</v>
      </c>
      <c r="AN120" s="59">
        <f ca="1">AVERAGE(OFFSET($AM$3,0,0,'Données projet'!$E$10+1,1))-AVERAGE(OFFSET($H$3,0,0,'Données projet'!$E$10+1,1))</f>
        <v>178.12968684094687</v>
      </c>
      <c r="AO120" s="59">
        <f t="shared" si="90"/>
        <v>219.36004077210373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0.68905632715078047</v>
      </c>
      <c r="AW120" s="21">
        <f>EXP(-LN(2)/2)*AW119+(1-EXP(-LN(2)/2))/(LN(2)/2)*AQ120*AT120*VLOOKUP('Données projet'!$B$10,Paramètres!$A$1:$I$89,3,0)*0.475*44/12</f>
        <v>7.9725644178910509E-13</v>
      </c>
      <c r="AX120" s="21">
        <f t="shared" si="60"/>
        <v>0.68905632715157772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-5.6843418860808015E-14</v>
      </c>
      <c r="BE120" s="13">
        <f>BD120*VLOOKUP('Données projet'!$B$11,Paramètres!$A$1:$I$89,3,0)*VLOOKUP('Données projet'!$B$11,Paramètres!$A$1:$I$89,5,0)</f>
        <v>-4.9658410716801891E-14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114.02623091248347</v>
      </c>
      <c r="BJ120" s="59">
        <f t="shared" si="92"/>
        <v>185.51554083721635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0.34845884165978519</v>
      </c>
      <c r="BQ120" s="21">
        <f>EXP(-LN(2)/25)*BQ119+(1-EXP(-LN(2)/25))/(LN(2)/25)*Calculateur!BL120*Calculateur!BN120*VLOOKUP('Données projet'!$B$11,Paramètres!$A$1:$I$89,3,0)*0.475*44/12</f>
        <v>1.0087992151040874</v>
      </c>
      <c r="BR120" s="21">
        <f>EXP(-LN(2)/2)*BR119+(1-EXP(-LN(2)/2))/(LN(2)/2)*BL120*BO120*VLOOKUP('Données projet'!$B$11,Paramètres!$A$1:$I$89,3,0)*0.475*44/12</f>
        <v>1.4179988560441544E-12</v>
      </c>
      <c r="BS120" s="22">
        <f t="shared" si="63"/>
        <v>1.3572580567652905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3.7</v>
      </c>
      <c r="BY120" s="12">
        <f>IF('Données projet'!$A$114&gt;35,BY119+BX120-CG119,IF(A120&lt;'Données projet'!$A$114,$BV$205^A120,IF(A120='Données projet'!$A$114,'Données projet'!$B$114,BY119+BX120-CG119)))</f>
        <v>291.89999999999992</v>
      </c>
      <c r="BZ120" s="13">
        <f>BY120*VLOOKUP('Données projet'!$B$12,Paramètres!$A$1:$I$89,3,0)*VLOOKUP('Données projet'!$B$12,Paramètres!$A$1:$I$89,5,0)</f>
        <v>264.11111999999991</v>
      </c>
      <c r="CA120" s="13">
        <f t="shared" si="93"/>
        <v>63.59790086687066</v>
      </c>
      <c r="CB120" s="20">
        <f t="shared" si="64"/>
        <v>570.75987800979954</v>
      </c>
      <c r="CC120" s="59">
        <f t="shared" si="65"/>
        <v>864.09321134313291</v>
      </c>
      <c r="CD120" s="59">
        <f ca="1">AVERAGE(OFFSET($CC$3,0,0,'Données projet'!$E$12+1,1))-AVERAGE(OFFSET($H$3,0,0,'Données projet'!$E$12+1,1))</f>
        <v>237.22177246688199</v>
      </c>
      <c r="CE120" s="59">
        <f t="shared" si="94"/>
        <v>149.27472147904302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0.27836102140341251</v>
      </c>
      <c r="CM120" s="21">
        <f>EXP(-LN(2)/2)*CM119+(1-EXP(-LN(2)/2))/(LN(2)/2)*CG120*CJ120*VLOOKUP('Données projet'!$B$12,Paramètres!$A$1:$I$89,3,0)*0.475*44/12</f>
        <v>4.9755383758892427E-13</v>
      </c>
      <c r="CN120" s="22">
        <f t="shared" si="66"/>
        <v>0.27836102140391006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-5.6843418860808015E-13</v>
      </c>
      <c r="CU120" s="17">
        <f>CT120*VLOOKUP('Données projet'!$B$13,Paramètres!$A$1:$I$89,3,0)*VLOOKUP('Données projet'!$B$13,Paramètres!$A$1:$I$89,5,0)</f>
        <v>-3.177547114319168E-13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326.31232746914907</v>
      </c>
      <c r="CZ120" s="59">
        <f t="shared" si="96"/>
        <v>330.17137761430297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0.81554196984205163</v>
      </c>
      <c r="DG120" s="21">
        <f>EXP(-LN(2)/25)*DG119+(1-EXP(-LN(2)/25))/(LN(2)/25)*Calculateur!DB120*Calculateur!DD120*VLOOKUP('Données projet'!$B$13,Paramètres!$A$1:$I$89,3,0)*0.475*44/12</f>
        <v>2.704166094861054</v>
      </c>
      <c r="DH120" s="21">
        <f>EXP(-LN(2)/2)*DH119+(1-EXP(-LN(2)/2))/(LN(2)/2)*DB120*DE120*VLOOKUP('Données projet'!$B$13,Paramètres!$A$1:$I$89,3,0)*0.475*44/12</f>
        <v>2.614409507382665E-12</v>
      </c>
      <c r="DI120" s="22">
        <f t="shared" si="69"/>
        <v>3.51970806470572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6.2527760746888816E-13</v>
      </c>
      <c r="DP120" s="17">
        <f>DO120*VLOOKUP('Données projet'!$B$14,Paramètres!$A$1:$I$89,3,0)*VLOOKUP('Données projet'!$B$14,Paramètres!$A$1:$I$89,5,0)</f>
        <v>3.9017322706058616E-13</v>
      </c>
      <c r="DQ120" s="13">
        <f t="shared" si="97"/>
        <v>5.0025007393608908E-12</v>
      </c>
      <c r="DR120" s="20">
        <f t="shared" si="70"/>
        <v>9.3922404915174053E-12</v>
      </c>
      <c r="DS120" s="59">
        <f t="shared" si="71"/>
        <v>293.33333333334269</v>
      </c>
      <c r="DT120" s="59">
        <f ca="1">AVERAGE(OFFSET($DS$3,0,0,'Données projet'!$E$14+1,1))-AVERAGE(OFFSET($H$3,0,0,'Données projet'!$E$14+1,1))</f>
        <v>209.93608079129638</v>
      </c>
      <c r="DU120" s="59">
        <f t="shared" si="98"/>
        <v>240.15652428700969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1.2414169519794427</v>
      </c>
      <c r="EB120" s="21">
        <f>EXP(-LN(2)/25)*EB119+(1-EXP(-LN(2)/25))/(LN(2)/25)*Calculateur!DW120*Calculateur!DY120*VLOOKUP('Données projet'!$B$14,Paramètres!$A$1:$I$89,3,0)*0.475*44/12</f>
        <v>1.8630581517745977</v>
      </c>
      <c r="EC120" s="21">
        <f>EXP(-LN(2)/2)*EC119+(1-EXP(-LN(2)/2))/(LN(2)/2)*DW120*DZ120*VLOOKUP('Données projet'!$B$14,Paramètres!$A$1:$I$89,3,0)*0.475*44/12</f>
        <v>1.6231140944413969E-12</v>
      </c>
      <c r="ED120" s="22">
        <f t="shared" si="72"/>
        <v>3.1044751037556635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-4.5474735088646412E-13</v>
      </c>
      <c r="EK120" s="17">
        <f>EJ120*VLOOKUP('Données projet'!$B$15,Paramètres!$A$1:$I$89,3,0)*VLOOKUP('Données projet'!$B$15,Paramètres!$A$1:$I$89,5,0)</f>
        <v>-2.7193891583010558E-13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216.94426559495264</v>
      </c>
      <c r="EP120" s="59">
        <f t="shared" si="100"/>
        <v>225.33715877618704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</v>
      </c>
      <c r="EW120" s="21">
        <f>EXP(-LN(2)/25)*EW119+(1-EXP(-LN(2)/25))/(LN(2)/25)*Calculateur!ER120*Calculateur!ET120*VLOOKUP('Données projet'!$B$15,Paramètres!$A$1:$I$89,3,0)*0.475*44/12</f>
        <v>1.1515793064571347</v>
      </c>
      <c r="EX120" s="21">
        <f>EXP(-LN(2)/2)*EX119+(1-EXP(-LN(2)/2))/(LN(2)/2)*ER120*EU120*VLOOKUP('Données projet'!$B$15,Paramètres!$A$1:$I$89,3,0)*0.475*44/12</f>
        <v>1.907573196148559E-12</v>
      </c>
      <c r="EY120" s="22">
        <f t="shared" si="75"/>
        <v>1.1515793064590423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>
        <f>FE120*VLOOKUP('Données projet'!$B$16,Paramètres!$A$1:$I$89,3,0)*VLOOKUP('Données projet'!$B$16,Paramètres!$A$1:$I$89,5,0)</f>
        <v>0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168.08890945052406</v>
      </c>
      <c r="FK120" s="59">
        <f t="shared" si="102"/>
        <v>182.52462557642343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1.1091118803985835</v>
      </c>
      <c r="FR120" s="21">
        <f>EXP(-LN(2)/25)*FR119+(1-EXP(-LN(2)/25))/(LN(2)/25)*Calculateur!FM120*Calculateur!FO120*VLOOKUP('Données projet'!$B$16,Paramètres!$A$1:$I$89,3,0)*0.475*44/12</f>
        <v>1.1051208323660788</v>
      </c>
      <c r="FS120" s="21">
        <f>EXP(-LN(2)/2)*FS119+(1-EXP(-LN(2)/2))/(LN(2)/2)*FM120*FP120*VLOOKUP('Données projet'!$B$16,Paramètres!$A$1:$I$89,3,0)*0.475*44/12</f>
        <v>4.3777231507689468E-13</v>
      </c>
      <c r="FT120" s="22">
        <f t="shared" si="78"/>
        <v>2.2142327127651003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-5.6843418860808015E-14</v>
      </c>
      <c r="GA120" s="17">
        <f>FZ120*VLOOKUP('Données projet'!$B$17,Paramètres!$A$1:$I$89,3,0)*VLOOKUP('Données projet'!$B$17,Paramètres!$A$1:$I$89,5,0)</f>
        <v>-3.2514435588382188E-14</v>
      </c>
      <c r="GB120" s="13" t="e">
        <f t="shared" si="103"/>
        <v>#NUM!</v>
      </c>
      <c r="GC120" s="20" t="e">
        <f t="shared" si="79"/>
        <v>#NUM!</v>
      </c>
      <c r="GD120" s="59" t="e">
        <f t="shared" si="80"/>
        <v>#NUM!</v>
      </c>
      <c r="GE120" s="59">
        <f ca="1">AVERAGE(OFFSET($GD$3,0,0,'Données projet'!$E$17+1,1))-AVERAGE(OFFSET($H$3,0,0,'Données projet'!$E$17+1,1))</f>
        <v>196.95560009657527</v>
      </c>
      <c r="GF120" s="59">
        <f t="shared" si="104"/>
        <v>168.90186968005662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0</v>
      </c>
      <c r="GM120" s="21">
        <f>EXP(-LN(2)/25)*GM119+(1-EXP(-LN(2)/25))/(LN(2)/25)*Calculateur!GH120*Calculateur!GJ120*VLOOKUP('Données projet'!$B$17,Paramètres!$A$1:$I$89,3,0)*0.475*44/12</f>
        <v>0.82729708731091034</v>
      </c>
      <c r="GN120" s="21">
        <f>EXP(-LN(2)/2)*GN119+(1-EXP(-LN(2)/2))/(LN(2)/2)*GH120*GK120*VLOOKUP('Données projet'!$B$17,Paramètres!$A$1:$I$89,3,0)*0.475*44/12</f>
        <v>1.0337652220252796E-12</v>
      </c>
      <c r="GO120" s="21">
        <f t="shared" si="81"/>
        <v>0.82729708731194407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-5.3205440053716299E-14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215.23235148064941</v>
      </c>
      <c r="T121" s="59">
        <f t="shared" si="88"/>
        <v>184.07239726900434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0.54866109074266067</v>
      </c>
      <c r="AA121" s="21">
        <f>EXP(-LN(2)/25)*AA120+(1-EXP(-LN(2)/25))/(LN(2)/25)*Calculateur!V121*Calculateur!X121*VLOOKUP('Données projet'!$B$9,Paramètres!$A$1:$I$89,3,0)*0.475*44/12</f>
        <v>0.68477244712333951</v>
      </c>
      <c r="AB121" s="21">
        <f>EXP(-LN(2)/2)*AB120+(1-EXP(-LN(2)/2))/(LN(2)/2)*V121*Y121*VLOOKUP('Données projet'!$B$9,Paramètres!$A$1:$I$89,3,0)*0.475*44/12</f>
        <v>5.5889452598285015E-13</v>
      </c>
      <c r="AC121" s="22">
        <f t="shared" si="57"/>
        <v>1.2334335378665591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5.6843418860808015E-14</v>
      </c>
      <c r="AJ121" s="13">
        <f>AI121*VLOOKUP('Données projet'!$B$10,Paramètres!$A$1:$I$89,3,0)*VLOOKUP('Données projet'!$B$10,Paramètres!$A$1:$I$89,5,0)</f>
        <v>4.1677594708744434E-14</v>
      </c>
      <c r="AK121" s="13">
        <f t="shared" si="89"/>
        <v>6.9326303456159188E-13</v>
      </c>
      <c r="AL121" s="20">
        <f t="shared" si="58"/>
        <v>1.2800215959791691E-12</v>
      </c>
      <c r="AM121" s="59">
        <f t="shared" si="59"/>
        <v>293.33333333333462</v>
      </c>
      <c r="AN121" s="59">
        <f ca="1">AVERAGE(OFFSET($AM$3,0,0,'Données projet'!$E$10+1,1))-AVERAGE(OFFSET($H$3,0,0,'Données projet'!$E$10+1,1))</f>
        <v>178.12968684094687</v>
      </c>
      <c r="AO121" s="59">
        <f t="shared" si="90"/>
        <v>219.36004077210373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0.67021404564894504</v>
      </c>
      <c r="AW121" s="21">
        <f>EXP(-LN(2)/2)*AW120+(1-EXP(-LN(2)/2))/(LN(2)/2)*AQ121*AT121*VLOOKUP('Données projet'!$B$10,Paramètres!$A$1:$I$89,3,0)*0.475*44/12</f>
        <v>5.6374543633373419E-13</v>
      </c>
      <c r="AX121" s="21">
        <f t="shared" si="60"/>
        <v>0.67021404564950882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-5.6843418860808015E-14</v>
      </c>
      <c r="BE121" s="13">
        <f>BD121*VLOOKUP('Données projet'!$B$11,Paramètres!$A$1:$I$89,3,0)*VLOOKUP('Données projet'!$B$11,Paramètres!$A$1:$I$89,5,0)</f>
        <v>-4.9658410716801891E-14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114.02623091248347</v>
      </c>
      <c r="BJ121" s="59">
        <f t="shared" si="92"/>
        <v>185.51554083721635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0.34162577631374375</v>
      </c>
      <c r="BQ121" s="21">
        <f>EXP(-LN(2)/25)*BQ120+(1-EXP(-LN(2)/25))/(LN(2)/25)*Calculateur!BL121*Calculateur!BN121*VLOOKUP('Données projet'!$B$11,Paramètres!$A$1:$I$89,3,0)*0.475*44/12</f>
        <v>0.98121354751662104</v>
      </c>
      <c r="BR121" s="21">
        <f>EXP(-LN(2)/2)*BR120+(1-EXP(-LN(2)/2))/(LN(2)/2)*BL121*BO121*VLOOKUP('Données projet'!$B$11,Paramètres!$A$1:$I$89,3,0)*0.475*44/12</f>
        <v>1.0026766068235885E-12</v>
      </c>
      <c r="BS121" s="22">
        <f t="shared" si="63"/>
        <v>1.3228393238313676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3.7</v>
      </c>
      <c r="BY121" s="12">
        <f>IF('Données projet'!$A$114&gt;35,BY120+BX121-CG120,IF(A121&lt;'Données projet'!$A$114,$BV$205^A121,IF(A121='Données projet'!$A$114,'Données projet'!$B$114,BY120+BX121-CG120)))</f>
        <v>295.59999999999991</v>
      </c>
      <c r="BZ121" s="13">
        <f>BY121*VLOOKUP('Données projet'!$B$12,Paramètres!$A$1:$I$89,3,0)*VLOOKUP('Données projet'!$B$12,Paramètres!$A$1:$I$89,5,0)</f>
        <v>267.45887999999991</v>
      </c>
      <c r="CA121" s="13">
        <f t="shared" si="93"/>
        <v>64.309683053152384</v>
      </c>
      <c r="CB121" s="20">
        <f t="shared" si="64"/>
        <v>577.83024731757359</v>
      </c>
      <c r="CC121" s="59">
        <f t="shared" si="65"/>
        <v>871.16358065090685</v>
      </c>
      <c r="CD121" s="59">
        <f ca="1">AVERAGE(OFFSET($CC$3,0,0,'Données projet'!$E$12+1,1))-AVERAGE(OFFSET($H$3,0,0,'Données projet'!$E$12+1,1))</f>
        <v>237.22177246688199</v>
      </c>
      <c r="CE121" s="59">
        <f t="shared" si="94"/>
        <v>149.27472147904302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0.27074922463476631</v>
      </c>
      <c r="CM121" s="21">
        <f>EXP(-LN(2)/2)*CM120+(1-EXP(-LN(2)/2))/(LN(2)/2)*CG121*CJ121*VLOOKUP('Données projet'!$B$12,Paramètres!$A$1:$I$89,3,0)*0.475*44/12</f>
        <v>3.5182369256451848E-13</v>
      </c>
      <c r="CN121" s="22">
        <f t="shared" si="66"/>
        <v>0.27074922463511814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-5.6843418860808015E-13</v>
      </c>
      <c r="CU121" s="17">
        <f>CT121*VLOOKUP('Données projet'!$B$13,Paramètres!$A$1:$I$89,3,0)*VLOOKUP('Données projet'!$B$13,Paramètres!$A$1:$I$89,5,0)</f>
        <v>-3.177547114319168E-13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326.31232746914907</v>
      </c>
      <c r="CZ121" s="59">
        <f t="shared" si="96"/>
        <v>330.17137761430297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0.7995496892449333</v>
      </c>
      <c r="DG121" s="21">
        <f>EXP(-LN(2)/25)*DG120+(1-EXP(-LN(2)/25))/(LN(2)/25)*Calculateur!DB121*Calculateur!DD121*VLOOKUP('Données projet'!$B$13,Paramètres!$A$1:$I$89,3,0)*0.475*44/12</f>
        <v>2.6302205307911639</v>
      </c>
      <c r="DH121" s="21">
        <f>EXP(-LN(2)/2)*DH120+(1-EXP(-LN(2)/2))/(LN(2)/2)*DB121*DE121*VLOOKUP('Données projet'!$B$13,Paramètres!$A$1:$I$89,3,0)*0.475*44/12</f>
        <v>1.8486666914688636E-12</v>
      </c>
      <c r="DI121" s="22">
        <f t="shared" si="69"/>
        <v>3.4297702200379461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6.2527760746888816E-13</v>
      </c>
      <c r="DP121" s="17">
        <f>DO121*VLOOKUP('Données projet'!$B$14,Paramètres!$A$1:$I$89,3,0)*VLOOKUP('Données projet'!$B$14,Paramètres!$A$1:$I$89,5,0)</f>
        <v>3.9017322706058616E-13</v>
      </c>
      <c r="DQ121" s="13">
        <f t="shared" si="97"/>
        <v>5.0025007393608908E-12</v>
      </c>
      <c r="DR121" s="20">
        <f t="shared" si="70"/>
        <v>9.3922404915174053E-12</v>
      </c>
      <c r="DS121" s="59">
        <f t="shared" si="71"/>
        <v>293.33333333334269</v>
      </c>
      <c r="DT121" s="59">
        <f ca="1">AVERAGE(OFFSET($DS$3,0,0,'Données projet'!$E$14+1,1))-AVERAGE(OFFSET($H$3,0,0,'Données projet'!$E$14+1,1))</f>
        <v>209.93608079129638</v>
      </c>
      <c r="DU121" s="59">
        <f t="shared" si="98"/>
        <v>240.15652428700969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1.2170735227407004</v>
      </c>
      <c r="EB121" s="21">
        <f>EXP(-LN(2)/25)*EB120+(1-EXP(-LN(2)/25))/(LN(2)/25)*Calculateur!DW121*Calculateur!DY121*VLOOKUP('Données projet'!$B$14,Paramètres!$A$1:$I$89,3,0)*0.475*44/12</f>
        <v>1.8121127286403511</v>
      </c>
      <c r="EC121" s="21">
        <f>EXP(-LN(2)/2)*EC120+(1-EXP(-LN(2)/2))/(LN(2)/2)*DW121*DZ121*VLOOKUP('Données projet'!$B$14,Paramètres!$A$1:$I$89,3,0)*0.475*44/12</f>
        <v>1.147714982818974E-12</v>
      </c>
      <c r="ED121" s="22">
        <f t="shared" si="72"/>
        <v>3.0291862513821988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-4.5474735088646412E-13</v>
      </c>
      <c r="EK121" s="17">
        <f>EJ121*VLOOKUP('Données projet'!$B$15,Paramètres!$A$1:$I$89,3,0)*VLOOKUP('Données projet'!$B$15,Paramètres!$A$1:$I$89,5,0)</f>
        <v>-2.7193891583010558E-13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216.94426559495264</v>
      </c>
      <c r="EP121" s="59">
        <f t="shared" si="100"/>
        <v>225.33715877618704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</v>
      </c>
      <c r="EW121" s="21">
        <f>EXP(-LN(2)/25)*EW120+(1-EXP(-LN(2)/25))/(LN(2)/25)*Calculateur!ER121*Calculateur!ET121*VLOOKUP('Données projet'!$B$15,Paramètres!$A$1:$I$89,3,0)*0.475*44/12</f>
        <v>1.1200893097631406</v>
      </c>
      <c r="EX121" s="21">
        <f>EXP(-LN(2)/2)*EX120+(1-EXP(-LN(2)/2))/(LN(2)/2)*ER121*EU121*VLOOKUP('Données projet'!$B$15,Paramètres!$A$1:$I$89,3,0)*0.475*44/12</f>
        <v>1.3488579426063422E-12</v>
      </c>
      <c r="EY121" s="22">
        <f t="shared" si="75"/>
        <v>1.1200893097644895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>
        <f>FE121*VLOOKUP('Données projet'!$B$16,Paramètres!$A$1:$I$89,3,0)*VLOOKUP('Données projet'!$B$16,Paramètres!$A$1:$I$89,5,0)</f>
        <v>0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168.08890945052406</v>
      </c>
      <c r="FK121" s="59">
        <f t="shared" si="102"/>
        <v>182.52462557642343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1.0873628729154163</v>
      </c>
      <c r="FR121" s="21">
        <f>EXP(-LN(2)/25)*FR120+(1-EXP(-LN(2)/25))/(LN(2)/25)*Calculateur!FM121*Calculateur!FO121*VLOOKUP('Données projet'!$B$16,Paramètres!$A$1:$I$89,3,0)*0.475*44/12</f>
        <v>1.0749012450892497</v>
      </c>
      <c r="FS121" s="21">
        <f>EXP(-LN(2)/2)*FS120+(1-EXP(-LN(2)/2))/(LN(2)/2)*FM121*FP121*VLOOKUP('Données projet'!$B$16,Paramètres!$A$1:$I$89,3,0)*0.475*44/12</f>
        <v>3.095517726066061E-13</v>
      </c>
      <c r="FT121" s="22">
        <f t="shared" si="78"/>
        <v>2.1622641180049755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-5.6843418860808015E-14</v>
      </c>
      <c r="GA121" s="17">
        <f>FZ121*VLOOKUP('Données projet'!$B$17,Paramètres!$A$1:$I$89,3,0)*VLOOKUP('Données projet'!$B$17,Paramètres!$A$1:$I$89,5,0)</f>
        <v>-3.2514435588382188E-14</v>
      </c>
      <c r="GB121" s="13" t="e">
        <f t="shared" si="103"/>
        <v>#NUM!</v>
      </c>
      <c r="GC121" s="20" t="e">
        <f t="shared" si="79"/>
        <v>#NUM!</v>
      </c>
      <c r="GD121" s="59" t="e">
        <f t="shared" si="80"/>
        <v>#NUM!</v>
      </c>
      <c r="GE121" s="59">
        <f ca="1">AVERAGE(OFFSET($GD$3,0,0,'Données projet'!$E$17+1,1))-AVERAGE(OFFSET($H$3,0,0,'Données projet'!$E$17+1,1))</f>
        <v>196.95560009657527</v>
      </c>
      <c r="GF121" s="59">
        <f t="shared" si="104"/>
        <v>168.90186968005662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0</v>
      </c>
      <c r="GM121" s="21">
        <f>EXP(-LN(2)/25)*GM120+(1-EXP(-LN(2)/25))/(LN(2)/25)*Calculateur!GH121*Calculateur!GJ121*VLOOKUP('Données projet'!$B$17,Paramètres!$A$1:$I$89,3,0)*0.475*44/12</f>
        <v>0.80467460495273047</v>
      </c>
      <c r="GN121" s="21">
        <f>EXP(-LN(2)/2)*GN120+(1-EXP(-LN(2)/2))/(LN(2)/2)*GH121*GK121*VLOOKUP('Données projet'!$B$17,Paramètres!$A$1:$I$89,3,0)*0.475*44/12</f>
        <v>7.3098239864889211E-13</v>
      </c>
      <c r="GO121" s="21">
        <f t="shared" si="81"/>
        <v>0.80467460495346144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-5.3205440053716299E-14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215.23235148064941</v>
      </c>
      <c r="T122" s="59">
        <f t="shared" si="88"/>
        <v>184.07239726900434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0.5379021814034185</v>
      </c>
      <c r="AA122" s="21">
        <f>EXP(-LN(2)/25)*AA121+(1-EXP(-LN(2)/25))/(LN(2)/25)*Calculateur!V122*Calculateur!X122*VLOOKUP('Données projet'!$B$9,Paramètres!$A$1:$I$89,3,0)*0.475*44/12</f>
        <v>0.66604730854613392</v>
      </c>
      <c r="AB122" s="21">
        <f>EXP(-LN(2)/2)*AB121+(1-EXP(-LN(2)/2))/(LN(2)/2)*V122*Y122*VLOOKUP('Données projet'!$B$9,Paramètres!$A$1:$I$89,3,0)*0.475*44/12</f>
        <v>3.9519810929051443E-13</v>
      </c>
      <c r="AC122" s="22">
        <f t="shared" si="57"/>
        <v>1.2039494899499477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5.6843418860808015E-14</v>
      </c>
      <c r="AJ122" s="13">
        <f>AI122*VLOOKUP('Données projet'!$B$10,Paramètres!$A$1:$I$89,3,0)*VLOOKUP('Données projet'!$B$10,Paramètres!$A$1:$I$89,5,0)</f>
        <v>4.1677594708744434E-14</v>
      </c>
      <c r="AK122" s="13">
        <f t="shared" si="89"/>
        <v>6.9326303456159188E-13</v>
      </c>
      <c r="AL122" s="20">
        <f t="shared" si="58"/>
        <v>1.2800215959791691E-12</v>
      </c>
      <c r="AM122" s="59">
        <f t="shared" si="59"/>
        <v>293.33333333333462</v>
      </c>
      <c r="AN122" s="59">
        <f ca="1">AVERAGE(OFFSET($AM$3,0,0,'Données projet'!$E$10+1,1))-AVERAGE(OFFSET($H$3,0,0,'Données projet'!$E$10+1,1))</f>
        <v>178.12968684094687</v>
      </c>
      <c r="AO122" s="59">
        <f t="shared" si="90"/>
        <v>219.36004077210373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0.65188700732564975</v>
      </c>
      <c r="AW122" s="21">
        <f>EXP(-LN(2)/2)*AW121+(1-EXP(-LN(2)/2))/(LN(2)/2)*AQ122*AT122*VLOOKUP('Données projet'!$B$10,Paramètres!$A$1:$I$89,3,0)*0.475*44/12</f>
        <v>3.9862822089455255E-13</v>
      </c>
      <c r="AX122" s="21">
        <f t="shared" si="60"/>
        <v>0.65188700732604843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-5.6843418860808015E-14</v>
      </c>
      <c r="BE122" s="13">
        <f>BD122*VLOOKUP('Données projet'!$B$11,Paramètres!$A$1:$I$89,3,0)*VLOOKUP('Données projet'!$B$11,Paramètres!$A$1:$I$89,5,0)</f>
        <v>-4.9658410716801891E-14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114.02623091248347</v>
      </c>
      <c r="BJ122" s="59">
        <f t="shared" si="92"/>
        <v>185.51554083721635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0.33492670321137985</v>
      </c>
      <c r="BQ122" s="21">
        <f>EXP(-LN(2)/25)*BQ121+(1-EXP(-LN(2)/25))/(LN(2)/25)*Calculateur!BL122*Calculateur!BN122*VLOOKUP('Données projet'!$B$11,Paramètres!$A$1:$I$89,3,0)*0.475*44/12</f>
        <v>0.95438221146000113</v>
      </c>
      <c r="BR122" s="21">
        <f>EXP(-LN(2)/2)*BR121+(1-EXP(-LN(2)/2))/(LN(2)/2)*BL122*BO122*VLOOKUP('Données projet'!$B$11,Paramètres!$A$1:$I$89,3,0)*0.475*44/12</f>
        <v>7.0899942802207719E-13</v>
      </c>
      <c r="BS122" s="22">
        <f t="shared" si="63"/>
        <v>1.28930891467209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3.7</v>
      </c>
      <c r="BY122" s="12">
        <f>IF('Données projet'!$A$114&gt;35,BY121+BX122-CG121,IF(A122&lt;'Données projet'!$A$114,$BV$205^A122,IF(A122='Données projet'!$A$114,'Données projet'!$B$114,BY121+BX122-CG121)))</f>
        <v>299.2999999999999</v>
      </c>
      <c r="BZ122" s="13">
        <f>BY122*VLOOKUP('Données projet'!$B$12,Paramètres!$A$1:$I$89,3,0)*VLOOKUP('Données projet'!$B$12,Paramètres!$A$1:$I$89,5,0)</f>
        <v>270.8066399999999</v>
      </c>
      <c r="CA122" s="13">
        <f t="shared" si="93"/>
        <v>65.020428921429911</v>
      </c>
      <c r="CB122" s="20">
        <f t="shared" si="64"/>
        <v>584.89881170482352</v>
      </c>
      <c r="CC122" s="59">
        <f t="shared" si="65"/>
        <v>878.23214503815689</v>
      </c>
      <c r="CD122" s="59">
        <f ca="1">AVERAGE(OFFSET($CC$3,0,0,'Données projet'!$E$12+1,1))-AVERAGE(OFFSET($H$3,0,0,'Données projet'!$E$12+1,1))</f>
        <v>237.22177246688199</v>
      </c>
      <c r="CE122" s="59">
        <f t="shared" si="94"/>
        <v>149.27472147904302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0.26334557284904569</v>
      </c>
      <c r="CM122" s="21">
        <f>EXP(-LN(2)/2)*CM121+(1-EXP(-LN(2)/2))/(LN(2)/2)*CG122*CJ122*VLOOKUP('Données projet'!$B$12,Paramètres!$A$1:$I$89,3,0)*0.475*44/12</f>
        <v>2.4877691879446213E-13</v>
      </c>
      <c r="CN122" s="22">
        <f t="shared" si="66"/>
        <v>0.2633455728492945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-5.6843418860808015E-13</v>
      </c>
      <c r="CU122" s="17">
        <f>CT122*VLOOKUP('Données projet'!$B$13,Paramètres!$A$1:$I$89,3,0)*VLOOKUP('Données projet'!$B$13,Paramètres!$A$1:$I$89,5,0)</f>
        <v>-3.177547114319168E-13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326.31232746914907</v>
      </c>
      <c r="CZ122" s="59">
        <f t="shared" si="96"/>
        <v>330.17137761430297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0.78387100751599648</v>
      </c>
      <c r="DG122" s="21">
        <f>EXP(-LN(2)/25)*DG121+(1-EXP(-LN(2)/25))/(LN(2)/25)*Calculateur!DB122*Calculateur!DD122*VLOOKUP('Données projet'!$B$13,Paramètres!$A$1:$I$89,3,0)*0.475*44/12</f>
        <v>2.5582970120593931</v>
      </c>
      <c r="DH122" s="21">
        <f>EXP(-LN(2)/2)*DH121+(1-EXP(-LN(2)/2))/(LN(2)/2)*DB122*DE122*VLOOKUP('Données projet'!$B$13,Paramètres!$A$1:$I$89,3,0)*0.475*44/12</f>
        <v>1.3072047536913325E-12</v>
      </c>
      <c r="DI122" s="22">
        <f t="shared" si="69"/>
        <v>3.3421680195766967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6.2527760746888816E-13</v>
      </c>
      <c r="DP122" s="17">
        <f>DO122*VLOOKUP('Données projet'!$B$14,Paramètres!$A$1:$I$89,3,0)*VLOOKUP('Données projet'!$B$14,Paramètres!$A$1:$I$89,5,0)</f>
        <v>3.9017322706058616E-13</v>
      </c>
      <c r="DQ122" s="13">
        <f t="shared" si="97"/>
        <v>5.0025007393608908E-12</v>
      </c>
      <c r="DR122" s="20">
        <f t="shared" si="70"/>
        <v>9.3922404915174053E-12</v>
      </c>
      <c r="DS122" s="59">
        <f t="shared" si="71"/>
        <v>293.33333333334269</v>
      </c>
      <c r="DT122" s="59">
        <f ca="1">AVERAGE(OFFSET($DS$3,0,0,'Données projet'!$E$14+1,1))-AVERAGE(OFFSET($H$3,0,0,'Données projet'!$E$14+1,1))</f>
        <v>209.93608079129638</v>
      </c>
      <c r="DU122" s="59">
        <f t="shared" si="98"/>
        <v>240.15652428700969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1.193207453301304</v>
      </c>
      <c r="EB122" s="21">
        <f>EXP(-LN(2)/25)*EB121+(1-EXP(-LN(2)/25))/(LN(2)/25)*Calculateur!DW122*Calculateur!DY122*VLOOKUP('Données projet'!$B$14,Paramètres!$A$1:$I$89,3,0)*0.475*44/12</f>
        <v>1.7625604107808139</v>
      </c>
      <c r="EC122" s="21">
        <f>EXP(-LN(2)/2)*EC121+(1-EXP(-LN(2)/2))/(LN(2)/2)*DW122*DZ122*VLOOKUP('Données projet'!$B$14,Paramètres!$A$1:$I$89,3,0)*0.475*44/12</f>
        <v>8.1155704722069843E-13</v>
      </c>
      <c r="ED122" s="22">
        <f t="shared" si="72"/>
        <v>2.955767864082929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-4.5474735088646412E-13</v>
      </c>
      <c r="EK122" s="17">
        <f>EJ122*VLOOKUP('Données projet'!$B$15,Paramètres!$A$1:$I$89,3,0)*VLOOKUP('Données projet'!$B$15,Paramètres!$A$1:$I$89,5,0)</f>
        <v>-2.7193891583010558E-13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216.94426559495264</v>
      </c>
      <c r="EP122" s="59">
        <f t="shared" si="100"/>
        <v>225.33715877618704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</v>
      </c>
      <c r="EW122" s="21">
        <f>EXP(-LN(2)/25)*EW121+(1-EXP(-LN(2)/25))/(LN(2)/25)*Calculateur!ER122*Calculateur!ET122*VLOOKUP('Données projet'!$B$15,Paramètres!$A$1:$I$89,3,0)*0.475*44/12</f>
        <v>1.0894604086847306</v>
      </c>
      <c r="EX122" s="21">
        <f>EXP(-LN(2)/2)*EX121+(1-EXP(-LN(2)/2))/(LN(2)/2)*ER122*EU122*VLOOKUP('Données projet'!$B$15,Paramètres!$A$1:$I$89,3,0)*0.475*44/12</f>
        <v>9.5378659807427948E-13</v>
      </c>
      <c r="EY122" s="22">
        <f t="shared" si="75"/>
        <v>1.0894604086856843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>
        <f>FE122*VLOOKUP('Données projet'!$B$16,Paramètres!$A$1:$I$89,3,0)*VLOOKUP('Données projet'!$B$16,Paramètres!$A$1:$I$89,5,0)</f>
        <v>0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168.08890945052406</v>
      </c>
      <c r="FK122" s="59">
        <f t="shared" si="102"/>
        <v>182.52462557642343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1.0660403502034095</v>
      </c>
      <c r="FR122" s="21">
        <f>EXP(-LN(2)/25)*FR121+(1-EXP(-LN(2)/25))/(LN(2)/25)*Calculateur!FM122*Calculateur!FO122*VLOOKUP('Données projet'!$B$16,Paramètres!$A$1:$I$89,3,0)*0.475*44/12</f>
        <v>1.0455080140156843</v>
      </c>
      <c r="FS122" s="21">
        <f>EXP(-LN(2)/2)*FS121+(1-EXP(-LN(2)/2))/(LN(2)/2)*FM122*FP122*VLOOKUP('Données projet'!$B$16,Paramètres!$A$1:$I$89,3,0)*0.475*44/12</f>
        <v>2.1888615753844734E-13</v>
      </c>
      <c r="FT122" s="22">
        <f t="shared" si="78"/>
        <v>2.1115483642193129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-5.6843418860808015E-14</v>
      </c>
      <c r="GA122" s="17">
        <f>FZ122*VLOOKUP('Données projet'!$B$17,Paramètres!$A$1:$I$89,3,0)*VLOOKUP('Données projet'!$B$17,Paramètres!$A$1:$I$89,5,0)</f>
        <v>-3.2514435588382188E-14</v>
      </c>
      <c r="GB122" s="13" t="e">
        <f t="shared" si="103"/>
        <v>#NUM!</v>
      </c>
      <c r="GC122" s="20" t="e">
        <f t="shared" si="79"/>
        <v>#NUM!</v>
      </c>
      <c r="GD122" s="59" t="e">
        <f t="shared" si="80"/>
        <v>#NUM!</v>
      </c>
      <c r="GE122" s="59">
        <f ca="1">AVERAGE(OFFSET($GD$3,0,0,'Données projet'!$E$17+1,1))-AVERAGE(OFFSET($H$3,0,0,'Données projet'!$E$17+1,1))</f>
        <v>196.95560009657527</v>
      </c>
      <c r="GF122" s="59">
        <f t="shared" si="104"/>
        <v>168.90186968005662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0</v>
      </c>
      <c r="GM122" s="21">
        <f>EXP(-LN(2)/25)*GM121+(1-EXP(-LN(2)/25))/(LN(2)/25)*Calculateur!GH122*Calculateur!GJ122*VLOOKUP('Données projet'!$B$17,Paramètres!$A$1:$I$89,3,0)*0.475*44/12</f>
        <v>0.78267073556429967</v>
      </c>
      <c r="GN122" s="21">
        <f>EXP(-LN(2)/2)*GN121+(1-EXP(-LN(2)/2))/(LN(2)/2)*GH122*GK122*VLOOKUP('Données projet'!$B$17,Paramètres!$A$1:$I$89,3,0)*0.475*44/12</f>
        <v>5.168826110126398E-13</v>
      </c>
      <c r="GO122" s="21">
        <f t="shared" si="81"/>
        <v>0.78267073556481659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-5.3205440053716299E-14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215.23235148064941</v>
      </c>
      <c r="T123" s="59">
        <f t="shared" si="88"/>
        <v>184.07239726900434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0.52735424771403216</v>
      </c>
      <c r="AA123" s="21">
        <f>EXP(-LN(2)/25)*AA122+(1-EXP(-LN(2)/25))/(LN(2)/25)*Calculateur!V123*Calculateur!X123*VLOOKUP('Données projet'!$B$9,Paramètres!$A$1:$I$89,3,0)*0.475*44/12</f>
        <v>0.64783420986803419</v>
      </c>
      <c r="AB123" s="21">
        <f>EXP(-LN(2)/2)*AB122+(1-EXP(-LN(2)/2))/(LN(2)/2)*V123*Y123*VLOOKUP('Données projet'!$B$9,Paramètres!$A$1:$I$89,3,0)*0.475*44/12</f>
        <v>2.7944726299142507E-13</v>
      </c>
      <c r="AC123" s="22">
        <f t="shared" si="57"/>
        <v>1.1751884575823459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5.6843418860808015E-14</v>
      </c>
      <c r="AJ123" s="13">
        <f>AI123*VLOOKUP('Données projet'!$B$10,Paramètres!$A$1:$I$89,3,0)*VLOOKUP('Données projet'!$B$10,Paramètres!$A$1:$I$89,5,0)</f>
        <v>4.1677594708744434E-14</v>
      </c>
      <c r="AK123" s="13">
        <f t="shared" si="89"/>
        <v>6.9326303456159188E-13</v>
      </c>
      <c r="AL123" s="20">
        <f t="shared" si="58"/>
        <v>1.2800215959791691E-12</v>
      </c>
      <c r="AM123" s="59">
        <f t="shared" si="59"/>
        <v>293.33333333333462</v>
      </c>
      <c r="AN123" s="59">
        <f ca="1">AVERAGE(OFFSET($AM$3,0,0,'Données projet'!$E$10+1,1))-AVERAGE(OFFSET($H$3,0,0,'Données projet'!$E$10+1,1))</f>
        <v>178.12968684094687</v>
      </c>
      <c r="AO123" s="59">
        <f t="shared" si="90"/>
        <v>219.36004077210373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0.634061122829082</v>
      </c>
      <c r="AW123" s="21">
        <f>EXP(-LN(2)/2)*AW122+(1-EXP(-LN(2)/2))/(LN(2)/2)*AQ123*AT123*VLOOKUP('Données projet'!$B$10,Paramètres!$A$1:$I$89,3,0)*0.475*44/12</f>
        <v>2.818727181668671E-13</v>
      </c>
      <c r="AX123" s="21">
        <f t="shared" si="60"/>
        <v>0.63406112282936389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-5.6843418860808015E-14</v>
      </c>
      <c r="BE123" s="13">
        <f>BD123*VLOOKUP('Données projet'!$B$11,Paramètres!$A$1:$I$89,3,0)*VLOOKUP('Données projet'!$B$11,Paramètres!$A$1:$I$89,5,0)</f>
        <v>-4.9658410716801891E-14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114.02623091248347</v>
      </c>
      <c r="BJ123" s="59">
        <f t="shared" si="92"/>
        <v>185.51554083721635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0.32835899484652215</v>
      </c>
      <c r="BQ123" s="21">
        <f>EXP(-LN(2)/25)*BQ122+(1-EXP(-LN(2)/25))/(LN(2)/25)*Calculateur!BL123*Calculateur!BN123*VLOOKUP('Données projet'!$B$11,Paramètres!$A$1:$I$89,3,0)*0.475*44/12</f>
        <v>0.92828457969884814</v>
      </c>
      <c r="BR123" s="21">
        <f>EXP(-LN(2)/2)*BR122+(1-EXP(-LN(2)/2))/(LN(2)/2)*BL123*BO123*VLOOKUP('Données projet'!$B$11,Paramètres!$A$1:$I$89,3,0)*0.475*44/12</f>
        <v>5.0133830341179427E-13</v>
      </c>
      <c r="BS123" s="22">
        <f t="shared" si="63"/>
        <v>1.2566435745458717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>
        <f>VLOOKUP(A123,'Données projet'!$A$113:$I$133,2,0)</f>
        <v>303</v>
      </c>
      <c r="BW123" s="12">
        <f>VLOOKUP(A123,'Données projet'!$A$113:$I$133,9,0)</f>
        <v>3.7</v>
      </c>
      <c r="BX123" s="12">
        <f t="array" ref="BX123">INDEX(BW:BW,MIN(IF(ISNUMBER(BW123:BW319),ROW(BW123:BW319),"")))</f>
        <v>3.7</v>
      </c>
      <c r="BY123" s="12">
        <f>IF('Données projet'!$A$114&gt;35,BY122+BX123-CG122,IF(A123&lt;'Données projet'!$A$114,$BV$205^A123,IF(A123='Données projet'!$A$114,'Données projet'!$B$114,BY122+BX123-CG122)))</f>
        <v>302.99999999999989</v>
      </c>
      <c r="BZ123" s="13">
        <f>BY123*VLOOKUP('Données projet'!$B$12,Paramètres!$A$1:$I$89,3,0)*VLOOKUP('Données projet'!$B$12,Paramètres!$A$1:$I$89,5,0)</f>
        <v>274.1543999999999</v>
      </c>
      <c r="CA123" s="13">
        <f t="shared" si="93"/>
        <v>65.730152764515779</v>
      </c>
      <c r="CB123" s="20">
        <f t="shared" si="64"/>
        <v>591.96559606486471</v>
      </c>
      <c r="CC123" s="59">
        <f t="shared" si="65"/>
        <v>885.29892939819797</v>
      </c>
      <c r="CD123" s="59">
        <f ca="1">AVERAGE(OFFSET($CC$3,0,0,'Données projet'!$E$12+1,1))-AVERAGE(OFFSET($H$3,0,0,'Données projet'!$E$12+1,1))</f>
        <v>237.22177246688199</v>
      </c>
      <c r="CE123" s="59">
        <f t="shared" si="94"/>
        <v>149.27472147904302</v>
      </c>
      <c r="CF123" s="15">
        <f>IF(ISNA(VLOOKUP(A123,'Données projet'!$A$113:$I$133,3,0)),0,VLOOKUP(A123,'Données projet'!$A$113:$I$133,3,0))</f>
        <v>10</v>
      </c>
      <c r="CG123" s="15">
        <f>IF(ISNA(VLOOKUP(A123,'Données projet'!$A$113:$I$133,4,0)),0,VLOOKUP(A123,'Données projet'!$A$113:$I$133,4,0))</f>
        <v>303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0.25614437431074677</v>
      </c>
      <c r="CM123" s="21">
        <f>EXP(-LN(2)/2)*CM122+(1-EXP(-LN(2)/2))/(LN(2)/2)*CG123*CJ123*VLOOKUP('Données projet'!$B$12,Paramètres!$A$1:$I$89,3,0)*0.475*44/12</f>
        <v>1.7591184628225924E-13</v>
      </c>
      <c r="CN123" s="22">
        <f t="shared" si="66"/>
        <v>0.25614437431092268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-5.6843418860808015E-13</v>
      </c>
      <c r="CU123" s="17">
        <f>CT123*VLOOKUP('Données projet'!$B$13,Paramètres!$A$1:$I$89,3,0)*VLOOKUP('Données projet'!$B$13,Paramètres!$A$1:$I$89,5,0)</f>
        <v>-3.177547114319168E-13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326.31232746914907</v>
      </c>
      <c r="CZ123" s="59">
        <f t="shared" si="96"/>
        <v>330.17137761430297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0.76849977517271251</v>
      </c>
      <c r="DG123" s="21">
        <f>EXP(-LN(2)/25)*DG122+(1-EXP(-LN(2)/25))/(LN(2)/25)*Calculateur!DB123*Calculateur!DD123*VLOOKUP('Données projet'!$B$13,Paramètres!$A$1:$I$89,3,0)*0.475*44/12</f>
        <v>2.4883402457296362</v>
      </c>
      <c r="DH123" s="21">
        <f>EXP(-LN(2)/2)*DH122+(1-EXP(-LN(2)/2))/(LN(2)/2)*DB123*DE123*VLOOKUP('Données projet'!$B$13,Paramètres!$A$1:$I$89,3,0)*0.475*44/12</f>
        <v>9.2433334573443181E-13</v>
      </c>
      <c r="DI123" s="22">
        <f t="shared" si="69"/>
        <v>3.2568400209032728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6.2527760746888816E-13</v>
      </c>
      <c r="DP123" s="17">
        <f>DO123*VLOOKUP('Données projet'!$B$14,Paramètres!$A$1:$I$89,3,0)*VLOOKUP('Données projet'!$B$14,Paramètres!$A$1:$I$89,5,0)</f>
        <v>3.9017322706058616E-13</v>
      </c>
      <c r="DQ123" s="13">
        <f t="shared" si="97"/>
        <v>5.0025007393608908E-12</v>
      </c>
      <c r="DR123" s="20">
        <f t="shared" si="70"/>
        <v>9.3922404915174053E-12</v>
      </c>
      <c r="DS123" s="59">
        <f t="shared" si="71"/>
        <v>293.33333333334269</v>
      </c>
      <c r="DT123" s="59">
        <f ca="1">AVERAGE(OFFSET($DS$3,0,0,'Données projet'!$E$14+1,1))-AVERAGE(OFFSET($H$3,0,0,'Données projet'!$E$14+1,1))</f>
        <v>209.93608079129638</v>
      </c>
      <c r="DU123" s="59">
        <f t="shared" si="98"/>
        <v>240.15652428700969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1.1698093829267491</v>
      </c>
      <c r="EB123" s="21">
        <f>EXP(-LN(2)/25)*EB122+(1-EXP(-LN(2)/25))/(LN(2)/25)*Calculateur!DW123*Calculateur!DY123*VLOOKUP('Données projet'!$B$14,Paramètres!$A$1:$I$89,3,0)*0.475*44/12</f>
        <v>1.714363103658989</v>
      </c>
      <c r="EC123" s="21">
        <f>EXP(-LN(2)/2)*EC122+(1-EXP(-LN(2)/2))/(LN(2)/2)*DW123*DZ123*VLOOKUP('Données projet'!$B$14,Paramètres!$A$1:$I$89,3,0)*0.475*44/12</f>
        <v>5.7385749140948701E-13</v>
      </c>
      <c r="ED123" s="22">
        <f t="shared" si="72"/>
        <v>2.8841724865863121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-4.5474735088646412E-13</v>
      </c>
      <c r="EK123" s="17">
        <f>EJ123*VLOOKUP('Données projet'!$B$15,Paramètres!$A$1:$I$89,3,0)*VLOOKUP('Données projet'!$B$15,Paramètres!$A$1:$I$89,5,0)</f>
        <v>-2.7193891583010558E-13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216.94426559495264</v>
      </c>
      <c r="EP123" s="59">
        <f t="shared" si="100"/>
        <v>225.33715877618704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</v>
      </c>
      <c r="EW123" s="21">
        <f>EXP(-LN(2)/25)*EW122+(1-EXP(-LN(2)/25))/(LN(2)/25)*Calculateur!ER123*Calculateur!ET123*VLOOKUP('Données projet'!$B$15,Paramètres!$A$1:$I$89,3,0)*0.475*44/12</f>
        <v>1.0596690565170137</v>
      </c>
      <c r="EX123" s="21">
        <f>EXP(-LN(2)/2)*EX122+(1-EXP(-LN(2)/2))/(LN(2)/2)*ER123*EU123*VLOOKUP('Données projet'!$B$15,Paramètres!$A$1:$I$89,3,0)*0.475*44/12</f>
        <v>6.7442897130317111E-13</v>
      </c>
      <c r="EY123" s="22">
        <f t="shared" si="75"/>
        <v>1.0596690565176881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>
        <f>FE123*VLOOKUP('Données projet'!$B$16,Paramètres!$A$1:$I$89,3,0)*VLOOKUP('Données projet'!$B$16,Paramètres!$A$1:$I$89,5,0)</f>
        <v>0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168.08890945052406</v>
      </c>
      <c r="FK123" s="59">
        <f t="shared" si="102"/>
        <v>182.52462557642343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1.0451359491563303</v>
      </c>
      <c r="FR123" s="21">
        <f>EXP(-LN(2)/25)*FR122+(1-EXP(-LN(2)/25))/(LN(2)/25)*Calculateur!FM123*Calculateur!FO123*VLOOKUP('Données projet'!$B$16,Paramètres!$A$1:$I$89,3,0)*0.475*44/12</f>
        <v>1.0169185423915486</v>
      </c>
      <c r="FS123" s="21">
        <f>EXP(-LN(2)/2)*FS122+(1-EXP(-LN(2)/2))/(LN(2)/2)*FM123*FP123*VLOOKUP('Données projet'!$B$16,Paramètres!$A$1:$I$89,3,0)*0.475*44/12</f>
        <v>1.5477588630330305E-13</v>
      </c>
      <c r="FT123" s="22">
        <f t="shared" si="78"/>
        <v>2.0620544915480337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-5.6843418860808015E-14</v>
      </c>
      <c r="GA123" s="17">
        <f>FZ123*VLOOKUP('Données projet'!$B$17,Paramètres!$A$1:$I$89,3,0)*VLOOKUP('Données projet'!$B$17,Paramètres!$A$1:$I$89,5,0)</f>
        <v>-3.2514435588382188E-14</v>
      </c>
      <c r="GB123" s="13" t="e">
        <f t="shared" si="103"/>
        <v>#NUM!</v>
      </c>
      <c r="GC123" s="20" t="e">
        <f t="shared" si="79"/>
        <v>#NUM!</v>
      </c>
      <c r="GD123" s="59" t="e">
        <f t="shared" si="80"/>
        <v>#NUM!</v>
      </c>
      <c r="GE123" s="59">
        <f ca="1">AVERAGE(OFFSET($GD$3,0,0,'Données projet'!$E$17+1,1))-AVERAGE(OFFSET($H$3,0,0,'Données projet'!$E$17+1,1))</f>
        <v>196.95560009657527</v>
      </c>
      <c r="GF123" s="59">
        <f t="shared" si="104"/>
        <v>168.90186968005662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0</v>
      </c>
      <c r="GM123" s="21">
        <f>EXP(-LN(2)/25)*GM122+(1-EXP(-LN(2)/25))/(LN(2)/25)*Calculateur!GH123*Calculateur!GJ123*VLOOKUP('Données projet'!$B$17,Paramètres!$A$1:$I$89,3,0)*0.475*44/12</f>
        <v>0.76126856314142877</v>
      </c>
      <c r="GN123" s="21">
        <f>EXP(-LN(2)/2)*GN122+(1-EXP(-LN(2)/2))/(LN(2)/2)*GH123*GK123*VLOOKUP('Données projet'!$B$17,Paramètres!$A$1:$I$89,3,0)*0.475*44/12</f>
        <v>3.6549119932444605E-13</v>
      </c>
      <c r="GO123" s="21">
        <f t="shared" si="81"/>
        <v>0.76126856314179425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-5.3205440053716299E-14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215.23235148064941</v>
      </c>
      <c r="T124" s="59">
        <f t="shared" si="88"/>
        <v>184.07239726900434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0.51701315257069036</v>
      </c>
      <c r="AA124" s="21">
        <f>EXP(-LN(2)/25)*AA123+(1-EXP(-LN(2)/25))/(LN(2)/25)*Calculateur!V124*Calculateur!X124*VLOOKUP('Données projet'!$B$9,Paramètres!$A$1:$I$89,3,0)*0.475*44/12</f>
        <v>0.63011914933107238</v>
      </c>
      <c r="AB124" s="21">
        <f>EXP(-LN(2)/2)*AB123+(1-EXP(-LN(2)/2))/(LN(2)/2)*V124*Y124*VLOOKUP('Données projet'!$B$9,Paramètres!$A$1:$I$89,3,0)*0.475*44/12</f>
        <v>1.9759905464525721E-13</v>
      </c>
      <c r="AC124" s="22">
        <f t="shared" si="57"/>
        <v>1.1471323019019604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5.6843418860808015E-14</v>
      </c>
      <c r="AJ124" s="13">
        <f>AI124*VLOOKUP('Données projet'!$B$10,Paramètres!$A$1:$I$89,3,0)*VLOOKUP('Données projet'!$B$10,Paramètres!$A$1:$I$89,5,0)</f>
        <v>4.1677594708744434E-14</v>
      </c>
      <c r="AK124" s="13">
        <f t="shared" si="89"/>
        <v>6.9326303456159188E-13</v>
      </c>
      <c r="AL124" s="20">
        <f t="shared" si="58"/>
        <v>1.2800215959791691E-12</v>
      </c>
      <c r="AM124" s="59">
        <f t="shared" si="59"/>
        <v>293.33333333333462</v>
      </c>
      <c r="AN124" s="59">
        <f ca="1">AVERAGE(OFFSET($AM$3,0,0,'Données projet'!$E$10+1,1))-AVERAGE(OFFSET($H$3,0,0,'Données projet'!$E$10+1,1))</f>
        <v>178.12968684094687</v>
      </c>
      <c r="AO124" s="59">
        <f t="shared" si="90"/>
        <v>219.36004077210373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0.61672268808149544</v>
      </c>
      <c r="AW124" s="21">
        <f>EXP(-LN(2)/2)*AW123+(1-EXP(-LN(2)/2))/(LN(2)/2)*AQ124*AT124*VLOOKUP('Données projet'!$B$10,Paramètres!$A$1:$I$89,3,0)*0.475*44/12</f>
        <v>1.9931411044727627E-13</v>
      </c>
      <c r="AX124" s="21">
        <f t="shared" si="60"/>
        <v>0.61672268808169473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-5.6843418860808015E-14</v>
      </c>
      <c r="BE124" s="13">
        <f>BD124*VLOOKUP('Données projet'!$B$11,Paramètres!$A$1:$I$89,3,0)*VLOOKUP('Données projet'!$B$11,Paramètres!$A$1:$I$89,5,0)</f>
        <v>-4.9658410716801891E-14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114.02623091248347</v>
      </c>
      <c r="BJ124" s="59">
        <f t="shared" si="92"/>
        <v>185.51554083721635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0.32192007523679278</v>
      </c>
      <c r="BQ124" s="21">
        <f>EXP(-LN(2)/25)*BQ123+(1-EXP(-LN(2)/25))/(LN(2)/25)*Calculateur!BL124*Calculateur!BN124*VLOOKUP('Données projet'!$B$11,Paramètres!$A$1:$I$89,3,0)*0.475*44/12</f>
        <v>0.90290058905061876</v>
      </c>
      <c r="BR124" s="21">
        <f>EXP(-LN(2)/2)*BR123+(1-EXP(-LN(2)/2))/(LN(2)/2)*BL124*BO124*VLOOKUP('Données projet'!$B$11,Paramètres!$A$1:$I$89,3,0)*0.475*44/12</f>
        <v>3.5449971401103859E-13</v>
      </c>
      <c r="BS124" s="22">
        <f t="shared" si="63"/>
        <v>1.2248206642877661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-1.1368683772161603E-13</v>
      </c>
      <c r="BZ124" s="13">
        <f>BY124*VLOOKUP('Données projet'!$B$12,Paramètres!$A$1:$I$89,3,0)*VLOOKUP('Données projet'!$B$12,Paramètres!$A$1:$I$89,5,0)</f>
        <v>-1.0286385077051818E-13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237.22177246688199</v>
      </c>
      <c r="CE124" s="59">
        <f t="shared" si="94"/>
        <v>149.27472147904302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0.24914009292517217</v>
      </c>
      <c r="CM124" s="21">
        <f>EXP(-LN(2)/2)*CM123+(1-EXP(-LN(2)/2))/(LN(2)/2)*CG124*CJ124*VLOOKUP('Données projet'!$B$12,Paramètres!$A$1:$I$89,3,0)*0.475*44/12</f>
        <v>1.2438845939723107E-13</v>
      </c>
      <c r="CN124" s="22">
        <f t="shared" si="66"/>
        <v>0.24914009292529657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-5.6843418860808015E-13</v>
      </c>
      <c r="CU124" s="17">
        <f>CT124*VLOOKUP('Données projet'!$B$13,Paramètres!$A$1:$I$89,3,0)*VLOOKUP('Données projet'!$B$13,Paramètres!$A$1:$I$89,5,0)</f>
        <v>-3.177547114319168E-13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326.31232746914907</v>
      </c>
      <c r="CZ124" s="59">
        <f t="shared" si="96"/>
        <v>330.17137761430297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0.75342996332015433</v>
      </c>
      <c r="DG124" s="21">
        <f>EXP(-LN(2)/25)*DG123+(1-EXP(-LN(2)/25))/(LN(2)/25)*Calculateur!DB124*Calculateur!DD124*VLOOKUP('Données projet'!$B$13,Paramètres!$A$1:$I$89,3,0)*0.475*44/12</f>
        <v>2.4202964508540328</v>
      </c>
      <c r="DH124" s="21">
        <f>EXP(-LN(2)/2)*DH123+(1-EXP(-LN(2)/2))/(LN(2)/2)*DB124*DE124*VLOOKUP('Données projet'!$B$13,Paramètres!$A$1:$I$89,3,0)*0.475*44/12</f>
        <v>6.5360237684566625E-13</v>
      </c>
      <c r="DI124" s="22">
        <f t="shared" si="69"/>
        <v>3.1737264141748409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6.2527760746888816E-13</v>
      </c>
      <c r="DP124" s="17">
        <f>DO124*VLOOKUP('Données projet'!$B$14,Paramètres!$A$1:$I$89,3,0)*VLOOKUP('Données projet'!$B$14,Paramètres!$A$1:$I$89,5,0)</f>
        <v>3.9017322706058616E-13</v>
      </c>
      <c r="DQ124" s="13">
        <f t="shared" si="97"/>
        <v>5.0025007393608908E-12</v>
      </c>
      <c r="DR124" s="20">
        <f t="shared" si="70"/>
        <v>9.3922404915174053E-12</v>
      </c>
      <c r="DS124" s="59">
        <f t="shared" si="71"/>
        <v>293.33333333334269</v>
      </c>
      <c r="DT124" s="59">
        <f ca="1">AVERAGE(OFFSET($DS$3,0,0,'Données projet'!$E$14+1,1))-AVERAGE(OFFSET($H$3,0,0,'Données projet'!$E$14+1,1))</f>
        <v>209.93608079129638</v>
      </c>
      <c r="DU124" s="59">
        <f t="shared" si="98"/>
        <v>240.15652428700969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1.1468701344408254</v>
      </c>
      <c r="EB124" s="21">
        <f>EXP(-LN(2)/25)*EB123+(1-EXP(-LN(2)/25))/(LN(2)/25)*Calculateur!DW124*Calculateur!DY124*VLOOKUP('Données projet'!$B$14,Paramètres!$A$1:$I$89,3,0)*0.475*44/12</f>
        <v>1.6674837544349965</v>
      </c>
      <c r="EC124" s="21">
        <f>EXP(-LN(2)/2)*EC123+(1-EXP(-LN(2)/2))/(LN(2)/2)*DW124*DZ124*VLOOKUP('Données projet'!$B$14,Paramètres!$A$1:$I$89,3,0)*0.475*44/12</f>
        <v>4.0577852361034921E-13</v>
      </c>
      <c r="ED124" s="22">
        <f t="shared" si="72"/>
        <v>2.8143538888762278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-4.5474735088646412E-13</v>
      </c>
      <c r="EK124" s="17">
        <f>EJ124*VLOOKUP('Données projet'!$B$15,Paramètres!$A$1:$I$89,3,0)*VLOOKUP('Données projet'!$B$15,Paramètres!$A$1:$I$89,5,0)</f>
        <v>-2.7193891583010558E-13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216.94426559495264</v>
      </c>
      <c r="EP124" s="59">
        <f t="shared" si="100"/>
        <v>225.33715877618704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</v>
      </c>
      <c r="EW124" s="21">
        <f>EXP(-LN(2)/25)*EW123+(1-EXP(-LN(2)/25))/(LN(2)/25)*Calculateur!ER124*Calculateur!ET124*VLOOKUP('Données projet'!$B$15,Paramètres!$A$1:$I$89,3,0)*0.475*44/12</f>
        <v>1.0306923504409822</v>
      </c>
      <c r="EX124" s="21">
        <f>EXP(-LN(2)/2)*EX123+(1-EXP(-LN(2)/2))/(LN(2)/2)*ER124*EU124*VLOOKUP('Données projet'!$B$15,Paramètres!$A$1:$I$89,3,0)*0.475*44/12</f>
        <v>4.7689329903713974E-13</v>
      </c>
      <c r="EY124" s="22">
        <f t="shared" si="75"/>
        <v>1.0306923504414591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>
        <f>FE124*VLOOKUP('Données projet'!$B$16,Paramètres!$A$1:$I$89,3,0)*VLOOKUP('Données projet'!$B$16,Paramètres!$A$1:$I$89,5,0)</f>
        <v>0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168.08890945052406</v>
      </c>
      <c r="FK124" s="59">
        <f t="shared" si="102"/>
        <v>182.52462557642343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1.0246414706633589</v>
      </c>
      <c r="FR124" s="21">
        <f>EXP(-LN(2)/25)*FR123+(1-EXP(-LN(2)/25))/(LN(2)/25)*Calculateur!FM124*Calculateur!FO124*VLOOKUP('Données projet'!$B$16,Paramètres!$A$1:$I$89,3,0)*0.475*44/12</f>
        <v>0.98911085137242971</v>
      </c>
      <c r="FS124" s="21">
        <f>EXP(-LN(2)/2)*FS123+(1-EXP(-LN(2)/2))/(LN(2)/2)*FM124*FP124*VLOOKUP('Données projet'!$B$16,Paramètres!$A$1:$I$89,3,0)*0.475*44/12</f>
        <v>1.0944307876922367E-13</v>
      </c>
      <c r="FT124" s="22">
        <f t="shared" si="78"/>
        <v>2.0137523220358977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-5.6843418860808015E-14</v>
      </c>
      <c r="GA124" s="17">
        <f>FZ124*VLOOKUP('Données projet'!$B$17,Paramètres!$A$1:$I$89,3,0)*VLOOKUP('Données projet'!$B$17,Paramètres!$A$1:$I$89,5,0)</f>
        <v>-3.2514435588382188E-14</v>
      </c>
      <c r="GB124" s="13" t="e">
        <f t="shared" si="103"/>
        <v>#NUM!</v>
      </c>
      <c r="GC124" s="20" t="e">
        <f t="shared" si="79"/>
        <v>#NUM!</v>
      </c>
      <c r="GD124" s="59" t="e">
        <f t="shared" si="80"/>
        <v>#NUM!</v>
      </c>
      <c r="GE124" s="59">
        <f ca="1">AVERAGE(OFFSET($GD$3,0,0,'Données projet'!$E$17+1,1))-AVERAGE(OFFSET($H$3,0,0,'Données projet'!$E$17+1,1))</f>
        <v>196.95560009657527</v>
      </c>
      <c r="GF124" s="59">
        <f t="shared" si="104"/>
        <v>168.90186968005662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0</v>
      </c>
      <c r="GM124" s="21">
        <f>EXP(-LN(2)/25)*GM123+(1-EXP(-LN(2)/25))/(LN(2)/25)*Calculateur!GH124*Calculateur!GJ124*VLOOKUP('Données projet'!$B$17,Paramètres!$A$1:$I$89,3,0)*0.475*44/12</f>
        <v>0.74045163424895255</v>
      </c>
      <c r="GN124" s="21">
        <f>EXP(-LN(2)/2)*GN123+(1-EXP(-LN(2)/2))/(LN(2)/2)*GH124*GK124*VLOOKUP('Données projet'!$B$17,Paramètres!$A$1:$I$89,3,0)*0.475*44/12</f>
        <v>2.584413055063199E-13</v>
      </c>
      <c r="GO124" s="21">
        <f t="shared" si="81"/>
        <v>0.74045163424921101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-5.3205440053716299E-14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215.23235148064941</v>
      </c>
      <c r="T125" s="59">
        <f t="shared" si="88"/>
        <v>184.07239726900434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0.50687483999566429</v>
      </c>
      <c r="AA125" s="21">
        <f>EXP(-LN(2)/25)*AA124+(1-EXP(-LN(2)/25))/(LN(2)/25)*Calculateur!V125*Calculateur!X125*VLOOKUP('Données projet'!$B$9,Paramètres!$A$1:$I$89,3,0)*0.475*44/12</f>
        <v>0.6128885080560883</v>
      </c>
      <c r="AB125" s="21">
        <f>EXP(-LN(2)/2)*AB124+(1-EXP(-LN(2)/2))/(LN(2)/2)*V125*Y125*VLOOKUP('Données projet'!$B$9,Paramètres!$A$1:$I$89,3,0)*0.475*44/12</f>
        <v>1.3972363149571254E-13</v>
      </c>
      <c r="AC125" s="22">
        <f t="shared" si="57"/>
        <v>1.1197633480518923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5.6843418860808015E-14</v>
      </c>
      <c r="AJ125" s="13">
        <f>AI125*VLOOKUP('Données projet'!$B$10,Paramètres!$A$1:$I$89,3,0)*VLOOKUP('Données projet'!$B$10,Paramètres!$A$1:$I$89,5,0)</f>
        <v>4.1677594708744434E-14</v>
      </c>
      <c r="AK125" s="13">
        <f t="shared" si="89"/>
        <v>6.9326303456159188E-13</v>
      </c>
      <c r="AL125" s="20">
        <f t="shared" si="58"/>
        <v>1.2800215959791691E-12</v>
      </c>
      <c r="AM125" s="59">
        <f t="shared" si="59"/>
        <v>293.33333333333462</v>
      </c>
      <c r="AN125" s="59">
        <f ca="1">AVERAGE(OFFSET($AM$3,0,0,'Données projet'!$E$10+1,1))-AVERAGE(OFFSET($H$3,0,0,'Données projet'!$E$10+1,1))</f>
        <v>178.12968684094687</v>
      </c>
      <c r="AO125" s="59">
        <f t="shared" si="90"/>
        <v>219.36004077210373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0.5998583737438703</v>
      </c>
      <c r="AW125" s="21">
        <f>EXP(-LN(2)/2)*AW124+(1-EXP(-LN(2)/2))/(LN(2)/2)*AQ125*AT125*VLOOKUP('Données projet'!$B$10,Paramètres!$A$1:$I$89,3,0)*0.475*44/12</f>
        <v>1.4093635908343355E-13</v>
      </c>
      <c r="AX125" s="21">
        <f t="shared" si="60"/>
        <v>0.59985837374401119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-5.6843418860808015E-14</v>
      </c>
      <c r="BE125" s="13">
        <f>BD125*VLOOKUP('Données projet'!$B$11,Paramètres!$A$1:$I$89,3,0)*VLOOKUP('Données projet'!$B$11,Paramètres!$A$1:$I$89,5,0)</f>
        <v>-4.9658410716801891E-14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114.02623091248347</v>
      </c>
      <c r="BJ125" s="59">
        <f t="shared" si="92"/>
        <v>185.51554083721635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0.31560741891325705</v>
      </c>
      <c r="BQ125" s="21">
        <f>EXP(-LN(2)/25)*BQ124+(1-EXP(-LN(2)/25))/(LN(2)/25)*Calculateur!BL125*Calculateur!BN125*VLOOKUP('Données projet'!$B$11,Paramètres!$A$1:$I$89,3,0)*0.475*44/12</f>
        <v>0.87821072496155117</v>
      </c>
      <c r="BR125" s="21">
        <f>EXP(-LN(2)/2)*BR124+(1-EXP(-LN(2)/2))/(LN(2)/2)*BL125*BO125*VLOOKUP('Données projet'!$B$11,Paramètres!$A$1:$I$89,3,0)*0.475*44/12</f>
        <v>2.5066915170589714E-13</v>
      </c>
      <c r="BS125" s="22">
        <f t="shared" si="63"/>
        <v>1.193818143875059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-1.1368683772161603E-13</v>
      </c>
      <c r="BZ125" s="13">
        <f>BY125*VLOOKUP('Données projet'!$B$12,Paramètres!$A$1:$I$89,3,0)*VLOOKUP('Données projet'!$B$12,Paramètres!$A$1:$I$89,5,0)</f>
        <v>-1.0286385077051818E-13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237.22177246688199</v>
      </c>
      <c r="CE125" s="59">
        <f t="shared" si="94"/>
        <v>149.27472147904302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0.24232734398242525</v>
      </c>
      <c r="CM125" s="21">
        <f>EXP(-LN(2)/2)*CM124+(1-EXP(-LN(2)/2))/(LN(2)/2)*CG125*CJ125*VLOOKUP('Données projet'!$B$12,Paramètres!$A$1:$I$89,3,0)*0.475*44/12</f>
        <v>8.7955923141129621E-14</v>
      </c>
      <c r="CN125" s="22">
        <f t="shared" si="66"/>
        <v>0.24232734398251321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-5.6843418860808015E-13</v>
      </c>
      <c r="CU125" s="17">
        <f>CT125*VLOOKUP('Données projet'!$B$13,Paramètres!$A$1:$I$89,3,0)*VLOOKUP('Données projet'!$B$13,Paramètres!$A$1:$I$89,5,0)</f>
        <v>-3.177547114319168E-13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326.31232746914907</v>
      </c>
      <c r="CZ125" s="59">
        <f t="shared" si="96"/>
        <v>330.17137761430297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0.73865566128634719</v>
      </c>
      <c r="DG125" s="21">
        <f>EXP(-LN(2)/25)*DG124+(1-EXP(-LN(2)/25))/(LN(2)/25)*Calculateur!DB125*Calculateur!DD125*VLOOKUP('Données projet'!$B$13,Paramètres!$A$1:$I$89,3,0)*0.475*44/12</f>
        <v>2.3541133171275708</v>
      </c>
      <c r="DH125" s="21">
        <f>EXP(-LN(2)/2)*DH124+(1-EXP(-LN(2)/2))/(LN(2)/2)*DB125*DE125*VLOOKUP('Données projet'!$B$13,Paramètres!$A$1:$I$89,3,0)*0.475*44/12</f>
        <v>4.621666728672159E-13</v>
      </c>
      <c r="DI125" s="22">
        <f t="shared" si="69"/>
        <v>3.0927689784143801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6.2527760746888816E-13</v>
      </c>
      <c r="DP125" s="17">
        <f>DO125*VLOOKUP('Données projet'!$B$14,Paramètres!$A$1:$I$89,3,0)*VLOOKUP('Données projet'!$B$14,Paramètres!$A$1:$I$89,5,0)</f>
        <v>3.9017322706058616E-13</v>
      </c>
      <c r="DQ125" s="13">
        <f t="shared" si="97"/>
        <v>5.0025007393608908E-12</v>
      </c>
      <c r="DR125" s="20">
        <f t="shared" si="70"/>
        <v>9.3922404915174053E-12</v>
      </c>
      <c r="DS125" s="59">
        <f t="shared" si="71"/>
        <v>293.33333333334269</v>
      </c>
      <c r="DT125" s="59">
        <f ca="1">AVERAGE(OFFSET($DS$3,0,0,'Données projet'!$E$14+1,1))-AVERAGE(OFFSET($H$3,0,0,'Données projet'!$E$14+1,1))</f>
        <v>209.93608079129638</v>
      </c>
      <c r="DU125" s="59">
        <f t="shared" si="98"/>
        <v>240.15652428700969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1.1243807106261507</v>
      </c>
      <c r="EB125" s="21">
        <f>EXP(-LN(2)/25)*EB124+(1-EXP(-LN(2)/25))/(LN(2)/25)*Calculateur!DW125*Calculateur!DY125*VLOOKUP('Données projet'!$B$14,Paramètres!$A$1:$I$89,3,0)*0.475*44/12</f>
        <v>1.6218863234808121</v>
      </c>
      <c r="EC125" s="21">
        <f>EXP(-LN(2)/2)*EC124+(1-EXP(-LN(2)/2))/(LN(2)/2)*DW125*DZ125*VLOOKUP('Données projet'!$B$14,Paramètres!$A$1:$I$89,3,0)*0.475*44/12</f>
        <v>2.8692874570474351E-13</v>
      </c>
      <c r="ED125" s="22">
        <f t="shared" si="72"/>
        <v>2.7462670341072499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-4.5474735088646412E-13</v>
      </c>
      <c r="EK125" s="17">
        <f>EJ125*VLOOKUP('Données projet'!$B$15,Paramètres!$A$1:$I$89,3,0)*VLOOKUP('Données projet'!$B$15,Paramètres!$A$1:$I$89,5,0)</f>
        <v>-2.7193891583010558E-13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216.94426559495264</v>
      </c>
      <c r="EP125" s="59">
        <f t="shared" si="100"/>
        <v>225.33715877618704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</v>
      </c>
      <c r="EW125" s="21">
        <f>EXP(-LN(2)/25)*EW124+(1-EXP(-LN(2)/25))/(LN(2)/25)*Calculateur!ER125*Calculateur!ET125*VLOOKUP('Données projet'!$B$15,Paramètres!$A$1:$I$89,3,0)*0.475*44/12</f>
        <v>1.0025080139164184</v>
      </c>
      <c r="EX125" s="21">
        <f>EXP(-LN(2)/2)*EX124+(1-EXP(-LN(2)/2))/(LN(2)/2)*ER125*EU125*VLOOKUP('Données projet'!$B$15,Paramètres!$A$1:$I$89,3,0)*0.475*44/12</f>
        <v>3.3721448565158556E-13</v>
      </c>
      <c r="EY125" s="22">
        <f t="shared" si="75"/>
        <v>1.0025080139167557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>
        <f>FE125*VLOOKUP('Données projet'!$B$16,Paramètres!$A$1:$I$89,3,0)*VLOOKUP('Données projet'!$B$16,Paramètres!$A$1:$I$89,5,0)</f>
        <v>0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168.08890945052406</v>
      </c>
      <c r="FK125" s="59">
        <f t="shared" si="102"/>
        <v>182.52462557642343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1.0045488763932369</v>
      </c>
      <c r="FR125" s="21">
        <f>EXP(-LN(2)/25)*FR124+(1-EXP(-LN(2)/25))/(LN(2)/25)*Calculateur!FM125*Calculateur!FO125*VLOOKUP('Données projet'!$B$16,Paramètres!$A$1:$I$89,3,0)*0.475*44/12</f>
        <v>0.9620635631265716</v>
      </c>
      <c r="FS125" s="21">
        <f>EXP(-LN(2)/2)*FS124+(1-EXP(-LN(2)/2))/(LN(2)/2)*FM125*FP125*VLOOKUP('Données projet'!$B$16,Paramètres!$A$1:$I$89,3,0)*0.475*44/12</f>
        <v>7.7387943151651526E-14</v>
      </c>
      <c r="FT125" s="22">
        <f t="shared" si="78"/>
        <v>1.9666124395198861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-5.6843418860808015E-14</v>
      </c>
      <c r="GA125" s="17">
        <f>FZ125*VLOOKUP('Données projet'!$B$17,Paramètres!$A$1:$I$89,3,0)*VLOOKUP('Données projet'!$B$17,Paramètres!$A$1:$I$89,5,0)</f>
        <v>-3.2514435588382188E-14</v>
      </c>
      <c r="GB125" s="13" t="e">
        <f t="shared" si="103"/>
        <v>#NUM!</v>
      </c>
      <c r="GC125" s="20" t="e">
        <f t="shared" si="79"/>
        <v>#NUM!</v>
      </c>
      <c r="GD125" s="59" t="e">
        <f t="shared" si="80"/>
        <v>#NUM!</v>
      </c>
      <c r="GE125" s="59">
        <f ca="1">AVERAGE(OFFSET($GD$3,0,0,'Données projet'!$E$17+1,1))-AVERAGE(OFFSET($H$3,0,0,'Données projet'!$E$17+1,1))</f>
        <v>196.95560009657527</v>
      </c>
      <c r="GF125" s="59">
        <f t="shared" si="104"/>
        <v>168.90186968005662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0</v>
      </c>
      <c r="GM125" s="21">
        <f>EXP(-LN(2)/25)*GM124+(1-EXP(-LN(2)/25))/(LN(2)/25)*Calculateur!GH125*Calculateur!GJ125*VLOOKUP('Données projet'!$B$17,Paramètres!$A$1:$I$89,3,0)*0.475*44/12</f>
        <v>0.7202039453717558</v>
      </c>
      <c r="GN125" s="21">
        <f>EXP(-LN(2)/2)*GN124+(1-EXP(-LN(2)/2))/(LN(2)/2)*GH125*GK125*VLOOKUP('Données projet'!$B$17,Paramètres!$A$1:$I$89,3,0)*0.475*44/12</f>
        <v>1.8274559966222303E-13</v>
      </c>
      <c r="GO125" s="21">
        <f t="shared" si="81"/>
        <v>0.72020394537193855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-5.3205440053716299E-14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215.23235148064941</v>
      </c>
      <c r="T126" s="59">
        <f t="shared" si="88"/>
        <v>184.07239726900434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0.4969353335464744</v>
      </c>
      <c r="AA126" s="21">
        <f>EXP(-LN(2)/25)*AA125+(1-EXP(-LN(2)/25))/(LN(2)/25)*Calculateur!V126*Calculateur!X126*VLOOKUP('Données projet'!$B$9,Paramètres!$A$1:$I$89,3,0)*0.475*44/12</f>
        <v>0.59612903957288865</v>
      </c>
      <c r="AB126" s="21">
        <f>EXP(-LN(2)/2)*AB125+(1-EXP(-LN(2)/2))/(LN(2)/2)*V126*Y126*VLOOKUP('Données projet'!$B$9,Paramètres!$A$1:$I$89,3,0)*0.475*44/12</f>
        <v>9.8799527322628607E-14</v>
      </c>
      <c r="AC126" s="22">
        <f t="shared" si="57"/>
        <v>1.0930643731194618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5.6843418860808015E-14</v>
      </c>
      <c r="AJ126" s="13">
        <f>AI126*VLOOKUP('Données projet'!$B$10,Paramètres!$A$1:$I$89,3,0)*VLOOKUP('Données projet'!$B$10,Paramètres!$A$1:$I$89,5,0)</f>
        <v>4.1677594708744434E-14</v>
      </c>
      <c r="AK126" s="13">
        <f t="shared" si="89"/>
        <v>6.9326303456159188E-13</v>
      </c>
      <c r="AL126" s="20">
        <f t="shared" si="58"/>
        <v>1.2800215959791691E-12</v>
      </c>
      <c r="AM126" s="59">
        <f t="shared" si="59"/>
        <v>293.33333333333462</v>
      </c>
      <c r="AN126" s="59">
        <f ca="1">AVERAGE(OFFSET($AM$3,0,0,'Données projet'!$E$10+1,1))-AVERAGE(OFFSET($H$3,0,0,'Données projet'!$E$10+1,1))</f>
        <v>178.12968684094687</v>
      </c>
      <c r="AO126" s="59">
        <f t="shared" si="90"/>
        <v>219.36004077210373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0.58345521496866326</v>
      </c>
      <c r="AW126" s="21">
        <f>EXP(-LN(2)/2)*AW125+(1-EXP(-LN(2)/2))/(LN(2)/2)*AQ126*AT126*VLOOKUP('Données projet'!$B$10,Paramètres!$A$1:$I$89,3,0)*0.475*44/12</f>
        <v>9.9657055223638137E-14</v>
      </c>
      <c r="AX126" s="21">
        <f t="shared" si="60"/>
        <v>0.58345521496876296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-5.6843418860808015E-14</v>
      </c>
      <c r="BE126" s="13">
        <f>BD126*VLOOKUP('Données projet'!$B$11,Paramètres!$A$1:$I$89,3,0)*VLOOKUP('Données projet'!$B$11,Paramètres!$A$1:$I$89,5,0)</f>
        <v>-4.9658410716801891E-14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114.02623091248347</v>
      </c>
      <c r="BJ126" s="59">
        <f t="shared" si="92"/>
        <v>185.51554083721635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0.30941854992988566</v>
      </c>
      <c r="BQ126" s="21">
        <f>EXP(-LN(2)/25)*BQ125+(1-EXP(-LN(2)/25))/(LN(2)/25)*Calculateur!BL126*Calculateur!BN126*VLOOKUP('Données projet'!$B$11,Paramètres!$A$1:$I$89,3,0)*0.475*44/12</f>
        <v>0.85419600650438265</v>
      </c>
      <c r="BR126" s="21">
        <f>EXP(-LN(2)/2)*BR125+(1-EXP(-LN(2)/2))/(LN(2)/2)*BL126*BO126*VLOOKUP('Données projet'!$B$11,Paramètres!$A$1:$I$89,3,0)*0.475*44/12</f>
        <v>1.772498570055193E-13</v>
      </c>
      <c r="BS126" s="22">
        <f t="shared" si="63"/>
        <v>1.1636145564344456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-1.1368683772161603E-13</v>
      </c>
      <c r="BZ126" s="13">
        <f>BY126*VLOOKUP('Données projet'!$B$12,Paramètres!$A$1:$I$89,3,0)*VLOOKUP('Données projet'!$B$12,Paramètres!$A$1:$I$89,5,0)</f>
        <v>-1.0286385077051818E-13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237.22177246688199</v>
      </c>
      <c r="CE126" s="59">
        <f t="shared" si="94"/>
        <v>149.27472147904302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0.23570089001778466</v>
      </c>
      <c r="CM126" s="21">
        <f>EXP(-LN(2)/2)*CM125+(1-EXP(-LN(2)/2))/(LN(2)/2)*CG126*CJ126*VLOOKUP('Données projet'!$B$12,Paramètres!$A$1:$I$89,3,0)*0.475*44/12</f>
        <v>6.2194229698615533E-14</v>
      </c>
      <c r="CN126" s="22">
        <f t="shared" si="66"/>
        <v>0.23570089001784686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-5.6843418860808015E-13</v>
      </c>
      <c r="CU126" s="17">
        <f>CT126*VLOOKUP('Données projet'!$B$13,Paramètres!$A$1:$I$89,3,0)*VLOOKUP('Données projet'!$B$13,Paramètres!$A$1:$I$89,5,0)</f>
        <v>-3.177547114319168E-13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326.31232746914907</v>
      </c>
      <c r="CZ126" s="59">
        <f t="shared" si="96"/>
        <v>330.17137761430297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0.72417107430398864</v>
      </c>
      <c r="DG126" s="21">
        <f>EXP(-LN(2)/25)*DG125+(1-EXP(-LN(2)/25))/(LN(2)/25)*Calculateur!DB126*Calculateur!DD126*VLOOKUP('Données projet'!$B$13,Paramètres!$A$1:$I$89,3,0)*0.475*44/12</f>
        <v>2.2897399646732786</v>
      </c>
      <c r="DH126" s="21">
        <f>EXP(-LN(2)/2)*DH125+(1-EXP(-LN(2)/2))/(LN(2)/2)*DB126*DE126*VLOOKUP('Données projet'!$B$13,Paramètres!$A$1:$I$89,3,0)*0.475*44/12</f>
        <v>3.2680118842283312E-13</v>
      </c>
      <c r="DI126" s="22">
        <f t="shared" si="69"/>
        <v>3.0139110389775938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6.2527760746888816E-13</v>
      </c>
      <c r="DP126" s="17">
        <f>DO126*VLOOKUP('Données projet'!$B$14,Paramètres!$A$1:$I$89,3,0)*VLOOKUP('Données projet'!$B$14,Paramètres!$A$1:$I$89,5,0)</f>
        <v>3.9017322706058616E-13</v>
      </c>
      <c r="DQ126" s="13">
        <f t="shared" si="97"/>
        <v>5.0025007393608908E-12</v>
      </c>
      <c r="DR126" s="20">
        <f t="shared" si="70"/>
        <v>9.3922404915174053E-12</v>
      </c>
      <c r="DS126" s="59">
        <f t="shared" si="71"/>
        <v>293.33333333334269</v>
      </c>
      <c r="DT126" s="59">
        <f ca="1">AVERAGE(OFFSET($DS$3,0,0,'Données projet'!$E$14+1,1))-AVERAGE(OFFSET($H$3,0,0,'Données projet'!$E$14+1,1))</f>
        <v>209.93608079129638</v>
      </c>
      <c r="DU126" s="59">
        <f t="shared" si="98"/>
        <v>240.15652428700969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1.1023322906952879</v>
      </c>
      <c r="EB126" s="21">
        <f>EXP(-LN(2)/25)*EB125+(1-EXP(-LN(2)/25))/(LN(2)/25)*Calculateur!DW126*Calculateur!DY126*VLOOKUP('Données projet'!$B$14,Paramètres!$A$1:$I$89,3,0)*0.475*44/12</f>
        <v>1.5775357566739343</v>
      </c>
      <c r="EC126" s="21">
        <f>EXP(-LN(2)/2)*EC125+(1-EXP(-LN(2)/2))/(LN(2)/2)*DW126*DZ126*VLOOKUP('Données projet'!$B$14,Paramètres!$A$1:$I$89,3,0)*0.475*44/12</f>
        <v>2.0288926180517461E-13</v>
      </c>
      <c r="ED126" s="22">
        <f t="shared" si="72"/>
        <v>2.6798680473694252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-4.5474735088646412E-13</v>
      </c>
      <c r="EK126" s="17">
        <f>EJ126*VLOOKUP('Données projet'!$B$15,Paramètres!$A$1:$I$89,3,0)*VLOOKUP('Données projet'!$B$15,Paramètres!$A$1:$I$89,5,0)</f>
        <v>-2.7193891583010558E-13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216.94426559495264</v>
      </c>
      <c r="EP126" s="59">
        <f t="shared" si="100"/>
        <v>225.33715877618704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</v>
      </c>
      <c r="EW126" s="21">
        <f>EXP(-LN(2)/25)*EW125+(1-EXP(-LN(2)/25))/(LN(2)/25)*Calculateur!ER126*Calculateur!ET126*VLOOKUP('Données projet'!$B$15,Paramètres!$A$1:$I$89,3,0)*0.475*44/12</f>
        <v>0.97509437955626876</v>
      </c>
      <c r="EX126" s="21">
        <f>EXP(-LN(2)/2)*EX125+(1-EXP(-LN(2)/2))/(LN(2)/2)*ER126*EU126*VLOOKUP('Données projet'!$B$15,Paramètres!$A$1:$I$89,3,0)*0.475*44/12</f>
        <v>2.3844664951856987E-13</v>
      </c>
      <c r="EY126" s="22">
        <f t="shared" si="75"/>
        <v>0.97509437955650724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>
        <f>FE126*VLOOKUP('Données projet'!$B$16,Paramètres!$A$1:$I$89,3,0)*VLOOKUP('Données projet'!$B$16,Paramètres!$A$1:$I$89,5,0)</f>
        <v>0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168.08890945052406</v>
      </c>
      <c r="FK126" s="59">
        <f t="shared" si="102"/>
        <v>182.52462557642343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0.98485028564147958</v>
      </c>
      <c r="FR126" s="21">
        <f>EXP(-LN(2)/25)*FR125+(1-EXP(-LN(2)/25))/(LN(2)/25)*Calculateur!FM126*Calculateur!FO126*VLOOKUP('Données projet'!$B$16,Paramètres!$A$1:$I$89,3,0)*0.475*44/12</f>
        <v>0.93575588440015156</v>
      </c>
      <c r="FS126" s="21">
        <f>EXP(-LN(2)/2)*FS125+(1-EXP(-LN(2)/2))/(LN(2)/2)*FM126*FP126*VLOOKUP('Données projet'!$B$16,Paramètres!$A$1:$I$89,3,0)*0.475*44/12</f>
        <v>5.4721539384611835E-14</v>
      </c>
      <c r="FT126" s="22">
        <f t="shared" si="78"/>
        <v>1.9206061700416859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-5.6843418860808015E-14</v>
      </c>
      <c r="GA126" s="17">
        <f>FZ126*VLOOKUP('Données projet'!$B$17,Paramètres!$A$1:$I$89,3,0)*VLOOKUP('Données projet'!$B$17,Paramètres!$A$1:$I$89,5,0)</f>
        <v>-3.2514435588382188E-14</v>
      </c>
      <c r="GB126" s="13" t="e">
        <f t="shared" si="103"/>
        <v>#NUM!</v>
      </c>
      <c r="GC126" s="20" t="e">
        <f t="shared" si="79"/>
        <v>#NUM!</v>
      </c>
      <c r="GD126" s="59" t="e">
        <f t="shared" si="80"/>
        <v>#NUM!</v>
      </c>
      <c r="GE126" s="59">
        <f ca="1">AVERAGE(OFFSET($GD$3,0,0,'Données projet'!$E$17+1,1))-AVERAGE(OFFSET($H$3,0,0,'Données projet'!$E$17+1,1))</f>
        <v>196.95560009657527</v>
      </c>
      <c r="GF126" s="59">
        <f t="shared" si="104"/>
        <v>168.90186968005662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0</v>
      </c>
      <c r="GM126" s="21">
        <f>EXP(-LN(2)/25)*GM125+(1-EXP(-LN(2)/25))/(LN(2)/25)*Calculateur!GH126*Calculateur!GJ126*VLOOKUP('Données projet'!$B$17,Paramètres!$A$1:$I$89,3,0)*0.475*44/12</f>
        <v>0.70050993061168565</v>
      </c>
      <c r="GN126" s="21">
        <f>EXP(-LN(2)/2)*GN125+(1-EXP(-LN(2)/2))/(LN(2)/2)*GH126*GK126*VLOOKUP('Données projet'!$B$17,Paramètres!$A$1:$I$89,3,0)*0.475*44/12</f>
        <v>1.2922065275315995E-13</v>
      </c>
      <c r="GO126" s="21">
        <f t="shared" si="81"/>
        <v>0.70050993061181488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-5.3205440053716299E-14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215.23235148064941</v>
      </c>
      <c r="T127" s="59">
        <f t="shared" si="88"/>
        <v>184.07239726900434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0.4871907347562528</v>
      </c>
      <c r="AA127" s="21">
        <f>EXP(-LN(2)/25)*AA126+(1-EXP(-LN(2)/25))/(LN(2)/25)*Calculateur!V127*Calculateur!X127*VLOOKUP('Données projet'!$B$9,Paramètres!$A$1:$I$89,3,0)*0.475*44/12</f>
        <v>0.57982785963670425</v>
      </c>
      <c r="AB127" s="21">
        <f>EXP(-LN(2)/2)*AB126+(1-EXP(-LN(2)/2))/(LN(2)/2)*V127*Y127*VLOOKUP('Données projet'!$B$9,Paramètres!$A$1:$I$89,3,0)*0.475*44/12</f>
        <v>6.9861815747856269E-14</v>
      </c>
      <c r="AC127" s="22">
        <f t="shared" si="57"/>
        <v>1.067018594393027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5.6843418860808015E-14</v>
      </c>
      <c r="AJ127" s="13">
        <f>AI127*VLOOKUP('Données projet'!$B$10,Paramètres!$A$1:$I$89,3,0)*VLOOKUP('Données projet'!$B$10,Paramètres!$A$1:$I$89,5,0)</f>
        <v>4.1677594708744434E-14</v>
      </c>
      <c r="AK127" s="13">
        <f t="shared" si="89"/>
        <v>6.9326303456159188E-13</v>
      </c>
      <c r="AL127" s="20">
        <f t="shared" si="58"/>
        <v>1.2800215959791691E-12</v>
      </c>
      <c r="AM127" s="59">
        <f t="shared" si="59"/>
        <v>293.33333333333462</v>
      </c>
      <c r="AN127" s="59">
        <f ca="1">AVERAGE(OFFSET($AM$3,0,0,'Données projet'!$E$10+1,1))-AVERAGE(OFFSET($H$3,0,0,'Données projet'!$E$10+1,1))</f>
        <v>178.12968684094687</v>
      </c>
      <c r="AO127" s="59">
        <f t="shared" si="90"/>
        <v>219.36004077210373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0.56750060143276893</v>
      </c>
      <c r="AW127" s="21">
        <f>EXP(-LN(2)/2)*AW126+(1-EXP(-LN(2)/2))/(LN(2)/2)*AQ127*AT127*VLOOKUP('Données projet'!$B$10,Paramètres!$A$1:$I$89,3,0)*0.475*44/12</f>
        <v>7.0468179541716774E-14</v>
      </c>
      <c r="AX127" s="21">
        <f t="shared" si="60"/>
        <v>0.56750060143283942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-5.6843418860808015E-14</v>
      </c>
      <c r="BE127" s="13">
        <f>BD127*VLOOKUP('Données projet'!$B$11,Paramètres!$A$1:$I$89,3,0)*VLOOKUP('Données projet'!$B$11,Paramètres!$A$1:$I$89,5,0)</f>
        <v>-4.9658410716801891E-14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114.02623091248347</v>
      </c>
      <c r="BJ127" s="59">
        <f t="shared" si="92"/>
        <v>185.51554083721635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0.30335104089244086</v>
      </c>
      <c r="BQ127" s="21">
        <f>EXP(-LN(2)/25)*BQ126+(1-EXP(-LN(2)/25))/(LN(2)/25)*Calculateur!BL127*Calculateur!BN127*VLOOKUP('Données projet'!$B$11,Paramètres!$A$1:$I$89,3,0)*0.475*44/12</f>
        <v>0.83083797178630459</v>
      </c>
      <c r="BR127" s="21">
        <f>EXP(-LN(2)/2)*BR126+(1-EXP(-LN(2)/2))/(LN(2)/2)*BL127*BO127*VLOOKUP('Données projet'!$B$11,Paramètres!$A$1:$I$89,3,0)*0.475*44/12</f>
        <v>1.2533457585294857E-13</v>
      </c>
      <c r="BS127" s="22">
        <f t="shared" si="63"/>
        <v>1.1341890126788707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-1.1368683772161603E-13</v>
      </c>
      <c r="BZ127" s="13">
        <f>BY127*VLOOKUP('Données projet'!$B$12,Paramètres!$A$1:$I$89,3,0)*VLOOKUP('Données projet'!$B$12,Paramètres!$A$1:$I$89,5,0)</f>
        <v>-1.0286385077051818E-13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237.22177246688199</v>
      </c>
      <c r="CE127" s="59">
        <f t="shared" si="94"/>
        <v>149.27472147904302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0.22925563678527724</v>
      </c>
      <c r="CM127" s="21">
        <f>EXP(-LN(2)/2)*CM126+(1-EXP(-LN(2)/2))/(LN(2)/2)*CG127*CJ127*VLOOKUP('Données projet'!$B$12,Paramètres!$A$1:$I$89,3,0)*0.475*44/12</f>
        <v>4.397796157056481E-14</v>
      </c>
      <c r="CN127" s="22">
        <f t="shared" si="66"/>
        <v>0.22925563678532121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-5.6843418860808015E-13</v>
      </c>
      <c r="CU127" s="17">
        <f>CT127*VLOOKUP('Données projet'!$B$13,Paramètres!$A$1:$I$89,3,0)*VLOOKUP('Données projet'!$B$13,Paramètres!$A$1:$I$89,5,0)</f>
        <v>-3.177547114319168E-13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326.31232746914907</v>
      </c>
      <c r="CZ127" s="59">
        <f t="shared" si="96"/>
        <v>330.17137761430297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0.70997052123762838</v>
      </c>
      <c r="DG127" s="21">
        <f>EXP(-LN(2)/25)*DG126+(1-EXP(-LN(2)/25))/(LN(2)/25)*Calculateur!DB127*Calculateur!DD127*VLOOKUP('Données projet'!$B$13,Paramètres!$A$1:$I$89,3,0)*0.475*44/12</f>
        <v>2.2271269049270961</v>
      </c>
      <c r="DH127" s="21">
        <f>EXP(-LN(2)/2)*DH126+(1-EXP(-LN(2)/2))/(LN(2)/2)*DB127*DE127*VLOOKUP('Données projet'!$B$13,Paramètres!$A$1:$I$89,3,0)*0.475*44/12</f>
        <v>2.3108333643360795E-13</v>
      </c>
      <c r="DI127" s="22">
        <f t="shared" si="69"/>
        <v>2.9370974261649554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6.2527760746888816E-13</v>
      </c>
      <c r="DP127" s="17">
        <f>DO127*VLOOKUP('Données projet'!$B$14,Paramètres!$A$1:$I$89,3,0)*VLOOKUP('Données projet'!$B$14,Paramètres!$A$1:$I$89,5,0)</f>
        <v>3.9017322706058616E-13</v>
      </c>
      <c r="DQ127" s="13">
        <f t="shared" si="97"/>
        <v>5.0025007393608908E-12</v>
      </c>
      <c r="DR127" s="20">
        <f t="shared" si="70"/>
        <v>9.3922404915174053E-12</v>
      </c>
      <c r="DS127" s="59">
        <f t="shared" si="71"/>
        <v>293.33333333334269</v>
      </c>
      <c r="DT127" s="59">
        <f ca="1">AVERAGE(OFFSET($DS$3,0,0,'Données projet'!$E$14+1,1))-AVERAGE(OFFSET($H$3,0,0,'Données projet'!$E$14+1,1))</f>
        <v>209.93608079129638</v>
      </c>
      <c r="DU127" s="59">
        <f t="shared" si="98"/>
        <v>240.15652428700969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1.0807162268310611</v>
      </c>
      <c r="EB127" s="21">
        <f>EXP(-LN(2)/25)*EB126+(1-EXP(-LN(2)/25))/(LN(2)/25)*Calculateur!DW127*Calculateur!DY127*VLOOKUP('Données projet'!$B$14,Paramètres!$A$1:$I$89,3,0)*0.475*44/12</f>
        <v>1.5343979584486855</v>
      </c>
      <c r="EC127" s="21">
        <f>EXP(-LN(2)/2)*EC126+(1-EXP(-LN(2)/2))/(LN(2)/2)*DW127*DZ127*VLOOKUP('Données projet'!$B$14,Paramètres!$A$1:$I$89,3,0)*0.475*44/12</f>
        <v>1.4346437285237175E-13</v>
      </c>
      <c r="ED127" s="22">
        <f t="shared" si="72"/>
        <v>2.6151141852798898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-4.5474735088646412E-13</v>
      </c>
      <c r="EK127" s="17">
        <f>EJ127*VLOOKUP('Données projet'!$B$15,Paramètres!$A$1:$I$89,3,0)*VLOOKUP('Données projet'!$B$15,Paramètres!$A$1:$I$89,5,0)</f>
        <v>-2.7193891583010558E-13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216.94426559495264</v>
      </c>
      <c r="EP127" s="59">
        <f t="shared" si="100"/>
        <v>225.33715877618704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</v>
      </c>
      <c r="EW127" s="21">
        <f>EXP(-LN(2)/25)*EW126+(1-EXP(-LN(2)/25))/(LN(2)/25)*Calculateur!ER127*Calculateur!ET127*VLOOKUP('Données projet'!$B$15,Paramètres!$A$1:$I$89,3,0)*0.475*44/12</f>
        <v>0.94843037246931783</v>
      </c>
      <c r="EX127" s="21">
        <f>EXP(-LN(2)/2)*EX126+(1-EXP(-LN(2)/2))/(LN(2)/2)*ER127*EU127*VLOOKUP('Données projet'!$B$15,Paramètres!$A$1:$I$89,3,0)*0.475*44/12</f>
        <v>1.6860724282579278E-13</v>
      </c>
      <c r="EY127" s="22">
        <f t="shared" si="75"/>
        <v>0.94843037246948647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>
        <f>FE127*VLOOKUP('Données projet'!$B$16,Paramètres!$A$1:$I$89,3,0)*VLOOKUP('Données projet'!$B$16,Paramètres!$A$1:$I$89,5,0)</f>
        <v>0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168.08890945052406</v>
      </c>
      <c r="FK127" s="59">
        <f t="shared" si="102"/>
        <v>182.52462557642343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0.96553797223941029</v>
      </c>
      <c r="FR127" s="21">
        <f>EXP(-LN(2)/25)*FR126+(1-EXP(-LN(2)/25))/(LN(2)/25)*Calculateur!FM127*Calculateur!FO127*VLOOKUP('Données projet'!$B$16,Paramètres!$A$1:$I$89,3,0)*0.475*44/12</f>
        <v>0.91016759053196616</v>
      </c>
      <c r="FS127" s="21">
        <f>EXP(-LN(2)/2)*FS126+(1-EXP(-LN(2)/2))/(LN(2)/2)*FM127*FP127*VLOOKUP('Données projet'!$B$16,Paramètres!$A$1:$I$89,3,0)*0.475*44/12</f>
        <v>3.8693971575825763E-14</v>
      </c>
      <c r="FT127" s="22">
        <f t="shared" si="78"/>
        <v>1.8757055627714152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-5.6843418860808015E-14</v>
      </c>
      <c r="GA127" s="17">
        <f>FZ127*VLOOKUP('Données projet'!$B$17,Paramètres!$A$1:$I$89,3,0)*VLOOKUP('Données projet'!$B$17,Paramètres!$A$1:$I$89,5,0)</f>
        <v>-3.2514435588382188E-14</v>
      </c>
      <c r="GB127" s="13" t="e">
        <f t="shared" si="103"/>
        <v>#NUM!</v>
      </c>
      <c r="GC127" s="20" t="e">
        <f t="shared" si="79"/>
        <v>#NUM!</v>
      </c>
      <c r="GD127" s="59" t="e">
        <f t="shared" si="80"/>
        <v>#NUM!</v>
      </c>
      <c r="GE127" s="59">
        <f ca="1">AVERAGE(OFFSET($GD$3,0,0,'Données projet'!$E$17+1,1))-AVERAGE(OFFSET($H$3,0,0,'Données projet'!$E$17+1,1))</f>
        <v>196.95560009657527</v>
      </c>
      <c r="GF127" s="59">
        <f t="shared" si="104"/>
        <v>168.90186968005662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0</v>
      </c>
      <c r="GM127" s="21">
        <f>EXP(-LN(2)/25)*GM126+(1-EXP(-LN(2)/25))/(LN(2)/25)*Calculateur!GH127*Calculateur!GJ127*VLOOKUP('Données projet'!$B$17,Paramètres!$A$1:$I$89,3,0)*0.475*44/12</f>
        <v>0.68135444972089287</v>
      </c>
      <c r="GN127" s="21">
        <f>EXP(-LN(2)/2)*GN126+(1-EXP(-LN(2)/2))/(LN(2)/2)*GH127*GK127*VLOOKUP('Données projet'!$B$17,Paramètres!$A$1:$I$89,3,0)*0.475*44/12</f>
        <v>9.1372799831111513E-14</v>
      </c>
      <c r="GO127" s="21">
        <f t="shared" si="81"/>
        <v>0.68135444972098425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-5.3205440053716299E-14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215.23235148064941</v>
      </c>
      <c r="T128" s="59">
        <f t="shared" si="88"/>
        <v>184.07239726900434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0.47763722160468908</v>
      </c>
      <c r="AA128" s="21">
        <f>EXP(-LN(2)/25)*AA127+(1-EXP(-LN(2)/25))/(LN(2)/25)*Calculateur!V128*Calculateur!X128*VLOOKUP('Données projet'!$B$9,Paramètres!$A$1:$I$89,3,0)*0.475*44/12</f>
        <v>0.56397243632311667</v>
      </c>
      <c r="AB128" s="21">
        <f>EXP(-LN(2)/2)*AB127+(1-EXP(-LN(2)/2))/(LN(2)/2)*V128*Y128*VLOOKUP('Données projet'!$B$9,Paramètres!$A$1:$I$89,3,0)*0.475*44/12</f>
        <v>4.9399763661314303E-14</v>
      </c>
      <c r="AC128" s="22">
        <f t="shared" si="57"/>
        <v>1.0416096579278551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5.6843418860808015E-14</v>
      </c>
      <c r="AJ128" s="13">
        <f>AI128*VLOOKUP('Données projet'!$B$10,Paramètres!$A$1:$I$89,3,0)*VLOOKUP('Données projet'!$B$10,Paramètres!$A$1:$I$89,5,0)</f>
        <v>4.1677594708744434E-14</v>
      </c>
      <c r="AK128" s="13">
        <f t="shared" si="89"/>
        <v>6.9326303456159188E-13</v>
      </c>
      <c r="AL128" s="20">
        <f t="shared" si="58"/>
        <v>1.2800215959791691E-12</v>
      </c>
      <c r="AM128" s="59">
        <f t="shared" si="59"/>
        <v>293.33333333333462</v>
      </c>
      <c r="AN128" s="59">
        <f ca="1">AVERAGE(OFFSET($AM$3,0,0,'Données projet'!$E$10+1,1))-AVERAGE(OFFSET($H$3,0,0,'Données projet'!$E$10+1,1))</f>
        <v>178.12968684094687</v>
      </c>
      <c r="AO128" s="59">
        <f t="shared" si="90"/>
        <v>219.36004077210373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0.55198226764303027</v>
      </c>
      <c r="AW128" s="21">
        <f>EXP(-LN(2)/2)*AW127+(1-EXP(-LN(2)/2))/(LN(2)/2)*AQ128*AT128*VLOOKUP('Données projet'!$B$10,Paramètres!$A$1:$I$89,3,0)*0.475*44/12</f>
        <v>4.9828527611819068E-14</v>
      </c>
      <c r="AX128" s="21">
        <f t="shared" si="60"/>
        <v>0.55198226764308012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-5.6843418860808015E-14</v>
      </c>
      <c r="BE128" s="13">
        <f>BD128*VLOOKUP('Données projet'!$B$11,Paramètres!$A$1:$I$89,3,0)*VLOOKUP('Données projet'!$B$11,Paramètres!$A$1:$I$89,5,0)</f>
        <v>-4.9658410716801891E-14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114.02623091248347</v>
      </c>
      <c r="BJ128" s="59">
        <f t="shared" si="92"/>
        <v>185.51554083721635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0.29740251200640527</v>
      </c>
      <c r="BQ128" s="21">
        <f>EXP(-LN(2)/25)*BQ127+(1-EXP(-LN(2)/25))/(LN(2)/25)*Calculateur!BL128*Calculateur!BN128*VLOOKUP('Données projet'!$B$11,Paramètres!$A$1:$I$89,3,0)*0.475*44/12</f>
        <v>0.8081186637559381</v>
      </c>
      <c r="BR128" s="21">
        <f>EXP(-LN(2)/2)*BR127+(1-EXP(-LN(2)/2))/(LN(2)/2)*BL128*BO128*VLOOKUP('Données projet'!$B$11,Paramètres!$A$1:$I$89,3,0)*0.475*44/12</f>
        <v>8.8624928502759648E-14</v>
      </c>
      <c r="BS128" s="22">
        <f t="shared" si="63"/>
        <v>1.1055211757624319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-1.1368683772161603E-13</v>
      </c>
      <c r="BZ128" s="13">
        <f>BY128*VLOOKUP('Données projet'!$B$12,Paramètres!$A$1:$I$89,3,0)*VLOOKUP('Données projet'!$B$12,Paramètres!$A$1:$I$89,5,0)</f>
        <v>-1.0286385077051818E-13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237.22177246688199</v>
      </c>
      <c r="CE128" s="59">
        <f t="shared" si="94"/>
        <v>149.27472147904302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0.22298662934135388</v>
      </c>
      <c r="CM128" s="21">
        <f>EXP(-LN(2)/2)*CM127+(1-EXP(-LN(2)/2))/(LN(2)/2)*CG128*CJ128*VLOOKUP('Données projet'!$B$12,Paramètres!$A$1:$I$89,3,0)*0.475*44/12</f>
        <v>3.1097114849307767E-14</v>
      </c>
      <c r="CN128" s="22">
        <f t="shared" si="66"/>
        <v>0.22298662934138497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-5.6843418860808015E-13</v>
      </c>
      <c r="CU128" s="17">
        <f>CT128*VLOOKUP('Données projet'!$B$13,Paramètres!$A$1:$I$89,3,0)*VLOOKUP('Données projet'!$B$13,Paramètres!$A$1:$I$89,5,0)</f>
        <v>-3.177547114319168E-13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326.31232746914907</v>
      </c>
      <c r="CZ128" s="59">
        <f t="shared" si="96"/>
        <v>330.17137761430297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0.69604843235541736</v>
      </c>
      <c r="DG128" s="21">
        <f>EXP(-LN(2)/25)*DG127+(1-EXP(-LN(2)/25))/(LN(2)/25)*Calculateur!DB128*Calculateur!DD128*VLOOKUP('Données projet'!$B$13,Paramètres!$A$1:$I$89,3,0)*0.475*44/12</f>
        <v>2.1662260025923508</v>
      </c>
      <c r="DH128" s="21">
        <f>EXP(-LN(2)/2)*DH127+(1-EXP(-LN(2)/2))/(LN(2)/2)*DB128*DE128*VLOOKUP('Données projet'!$B$13,Paramètres!$A$1:$I$89,3,0)*0.475*44/12</f>
        <v>1.6340059421141656E-13</v>
      </c>
      <c r="DI128" s="22">
        <f t="shared" si="69"/>
        <v>2.8622744349479317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6.2527760746888816E-13</v>
      </c>
      <c r="DP128" s="17">
        <f>DO128*VLOOKUP('Données projet'!$B$14,Paramètres!$A$1:$I$89,3,0)*VLOOKUP('Données projet'!$B$14,Paramètres!$A$1:$I$89,5,0)</f>
        <v>3.9017322706058616E-13</v>
      </c>
      <c r="DQ128" s="13">
        <f t="shared" si="97"/>
        <v>5.0025007393608908E-12</v>
      </c>
      <c r="DR128" s="20">
        <f t="shared" si="70"/>
        <v>9.3922404915174053E-12</v>
      </c>
      <c r="DS128" s="59">
        <f t="shared" si="71"/>
        <v>293.33333333334269</v>
      </c>
      <c r="DT128" s="59">
        <f ca="1">AVERAGE(OFFSET($DS$3,0,0,'Données projet'!$E$14+1,1))-AVERAGE(OFFSET($H$3,0,0,'Données projet'!$E$14+1,1))</f>
        <v>209.93608079129638</v>
      </c>
      <c r="DU128" s="59">
        <f t="shared" si="98"/>
        <v>240.15652428700969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1.0595240407947144</v>
      </c>
      <c r="EB128" s="21">
        <f>EXP(-LN(2)/25)*EB127+(1-EXP(-LN(2)/25))/(LN(2)/25)*Calculateur!DW128*Calculateur!DY128*VLOOKUP('Données projet'!$B$14,Paramètres!$A$1:$I$89,3,0)*0.475*44/12</f>
        <v>1.4924397655844246</v>
      </c>
      <c r="EC128" s="21">
        <f>EXP(-LN(2)/2)*EC127+(1-EXP(-LN(2)/2))/(LN(2)/2)*DW128*DZ128*VLOOKUP('Données projet'!$B$14,Paramètres!$A$1:$I$89,3,0)*0.475*44/12</f>
        <v>1.014446309025873E-13</v>
      </c>
      <c r="ED128" s="22">
        <f t="shared" si="72"/>
        <v>2.5519638063792405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-4.5474735088646412E-13</v>
      </c>
      <c r="EK128" s="17">
        <f>EJ128*VLOOKUP('Données projet'!$B$15,Paramètres!$A$1:$I$89,3,0)*VLOOKUP('Données projet'!$B$15,Paramètres!$A$1:$I$89,5,0)</f>
        <v>-2.7193891583010558E-13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216.94426559495264</v>
      </c>
      <c r="EP128" s="59">
        <f t="shared" si="100"/>
        <v>225.33715877618704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</v>
      </c>
      <c r="EW128" s="21">
        <f>EXP(-LN(2)/25)*EW127+(1-EXP(-LN(2)/25))/(LN(2)/25)*Calculateur!ER128*Calculateur!ET128*VLOOKUP('Données projet'!$B$15,Paramètres!$A$1:$I$89,3,0)*0.475*44/12</f>
        <v>0.92249549405835873</v>
      </c>
      <c r="EX128" s="21">
        <f>EXP(-LN(2)/2)*EX127+(1-EXP(-LN(2)/2))/(LN(2)/2)*ER128*EU128*VLOOKUP('Données projet'!$B$15,Paramètres!$A$1:$I$89,3,0)*0.475*44/12</f>
        <v>1.1922332475928494E-13</v>
      </c>
      <c r="EY128" s="22">
        <f t="shared" si="75"/>
        <v>0.92249549405847797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>
        <f>FE128*VLOOKUP('Données projet'!$B$16,Paramètres!$A$1:$I$89,3,0)*VLOOKUP('Données projet'!$B$16,Paramètres!$A$1:$I$89,5,0)</f>
        <v>0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168.08890945052406</v>
      </c>
      <c r="FK128" s="59">
        <f t="shared" si="102"/>
        <v>182.52462557642343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0.94660436152380745</v>
      </c>
      <c r="FR128" s="21">
        <f>EXP(-LN(2)/25)*FR127+(1-EXP(-LN(2)/25))/(LN(2)/25)*Calculateur!FM128*Calculateur!FO128*VLOOKUP('Données projet'!$B$16,Paramètres!$A$1:$I$89,3,0)*0.475*44/12</f>
        <v>0.88527900990523622</v>
      </c>
      <c r="FS128" s="21">
        <f>EXP(-LN(2)/2)*FS127+(1-EXP(-LN(2)/2))/(LN(2)/2)*FM128*FP128*VLOOKUP('Données projet'!$B$16,Paramètres!$A$1:$I$89,3,0)*0.475*44/12</f>
        <v>2.7360769692305918E-14</v>
      </c>
      <c r="FT128" s="22">
        <f t="shared" si="78"/>
        <v>1.831883371429071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-5.6843418860808015E-14</v>
      </c>
      <c r="GA128" s="17">
        <f>FZ128*VLOOKUP('Données projet'!$B$17,Paramètres!$A$1:$I$89,3,0)*VLOOKUP('Données projet'!$B$17,Paramètres!$A$1:$I$89,5,0)</f>
        <v>-3.2514435588382188E-14</v>
      </c>
      <c r="GB128" s="13" t="e">
        <f t="shared" si="103"/>
        <v>#NUM!</v>
      </c>
      <c r="GC128" s="20" t="e">
        <f t="shared" si="79"/>
        <v>#NUM!</v>
      </c>
      <c r="GD128" s="59" t="e">
        <f t="shared" si="80"/>
        <v>#NUM!</v>
      </c>
      <c r="GE128" s="59">
        <f ca="1">AVERAGE(OFFSET($GD$3,0,0,'Données projet'!$E$17+1,1))-AVERAGE(OFFSET($H$3,0,0,'Données projet'!$E$17+1,1))</f>
        <v>196.95560009657527</v>
      </c>
      <c r="GF128" s="59">
        <f t="shared" si="104"/>
        <v>168.90186968005662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0</v>
      </c>
      <c r="GM128" s="21">
        <f>EXP(-LN(2)/25)*GM127+(1-EXP(-LN(2)/25))/(LN(2)/25)*Calculateur!GH128*Calculateur!GJ128*VLOOKUP('Données projet'!$B$17,Paramètres!$A$1:$I$89,3,0)*0.475*44/12</f>
        <v>0.66272277646240185</v>
      </c>
      <c r="GN128" s="21">
        <f>EXP(-LN(2)/2)*GN127+(1-EXP(-LN(2)/2))/(LN(2)/2)*GH128*GK128*VLOOKUP('Données projet'!$B$17,Paramètres!$A$1:$I$89,3,0)*0.475*44/12</f>
        <v>6.4610326376579975E-14</v>
      </c>
      <c r="GO128" s="21">
        <f t="shared" si="81"/>
        <v>0.66272277646246647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-5.3205440053716299E-14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215.23235148064941</v>
      </c>
      <c r="T129" s="59">
        <f t="shared" si="88"/>
        <v>184.07239726900434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0.46827104701895989</v>
      </c>
      <c r="AA129" s="21">
        <f>EXP(-LN(2)/25)*AA128+(1-EXP(-LN(2)/25))/(LN(2)/25)*Calculateur!V129*Calculateur!X129*VLOOKUP('Données projet'!$B$9,Paramètres!$A$1:$I$89,3,0)*0.475*44/12</f>
        <v>0.54855058039383964</v>
      </c>
      <c r="AB129" s="21">
        <f>EXP(-LN(2)/2)*AB128+(1-EXP(-LN(2)/2))/(LN(2)/2)*V129*Y129*VLOOKUP('Données projet'!$B$9,Paramètres!$A$1:$I$89,3,0)*0.475*44/12</f>
        <v>3.4930907873928134E-14</v>
      </c>
      <c r="AC129" s="22">
        <f t="shared" si="57"/>
        <v>1.0168216274128343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5.6843418860808015E-14</v>
      </c>
      <c r="AJ129" s="13">
        <f>AI129*VLOOKUP('Données projet'!$B$10,Paramètres!$A$1:$I$89,3,0)*VLOOKUP('Données projet'!$B$10,Paramètres!$A$1:$I$89,5,0)</f>
        <v>4.1677594708744434E-14</v>
      </c>
      <c r="AK129" s="13">
        <f t="shared" si="89"/>
        <v>6.9326303456159188E-13</v>
      </c>
      <c r="AL129" s="20">
        <f t="shared" si="58"/>
        <v>1.2800215959791691E-12</v>
      </c>
      <c r="AM129" s="59">
        <f t="shared" si="59"/>
        <v>293.33333333333462</v>
      </c>
      <c r="AN129" s="59">
        <f ca="1">AVERAGE(OFFSET($AM$3,0,0,'Données projet'!$E$10+1,1))-AVERAGE(OFFSET($H$3,0,0,'Données projet'!$E$10+1,1))</f>
        <v>178.12968684094687</v>
      </c>
      <c r="AO129" s="59">
        <f t="shared" si="90"/>
        <v>219.36004077210373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0.5368882835068457</v>
      </c>
      <c r="AW129" s="21">
        <f>EXP(-LN(2)/2)*AW128+(1-EXP(-LN(2)/2))/(LN(2)/2)*AQ129*AT129*VLOOKUP('Données projet'!$B$10,Paramètres!$A$1:$I$89,3,0)*0.475*44/12</f>
        <v>3.5234089770858387E-14</v>
      </c>
      <c r="AX129" s="21">
        <f t="shared" si="60"/>
        <v>0.53688828350688089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-5.6843418860808015E-14</v>
      </c>
      <c r="BE129" s="13">
        <f>BD129*VLOOKUP('Données projet'!$B$11,Paramètres!$A$1:$I$89,3,0)*VLOOKUP('Données projet'!$B$11,Paramètres!$A$1:$I$89,5,0)</f>
        <v>-4.9658410716801891E-14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114.02623091248347</v>
      </c>
      <c r="BJ129" s="59">
        <f t="shared" si="92"/>
        <v>185.51554083721635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0.29157063014358048</v>
      </c>
      <c r="BQ129" s="21">
        <f>EXP(-LN(2)/25)*BQ128+(1-EXP(-LN(2)/25))/(LN(2)/25)*Calculateur!BL129*Calculateur!BN129*VLOOKUP('Données projet'!$B$11,Paramètres!$A$1:$I$89,3,0)*0.475*44/12</f>
        <v>0.78602061639841847</v>
      </c>
      <c r="BR129" s="21">
        <f>EXP(-LN(2)/2)*BR128+(1-EXP(-LN(2)/2))/(LN(2)/2)*BL129*BO129*VLOOKUP('Données projet'!$B$11,Paramètres!$A$1:$I$89,3,0)*0.475*44/12</f>
        <v>6.2667287926474284E-14</v>
      </c>
      <c r="BS129" s="22">
        <f t="shared" si="63"/>
        <v>1.0775912465420616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-1.1368683772161603E-13</v>
      </c>
      <c r="BZ129" s="13">
        <f>BY129*VLOOKUP('Données projet'!$B$12,Paramètres!$A$1:$I$89,3,0)*VLOOKUP('Données projet'!$B$12,Paramètres!$A$1:$I$89,5,0)</f>
        <v>-1.0286385077051818E-13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237.22177246688199</v>
      </c>
      <c r="CE129" s="59">
        <f t="shared" si="94"/>
        <v>149.27472147904302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0.21688904823565736</v>
      </c>
      <c r="CM129" s="21">
        <f>EXP(-LN(2)/2)*CM128+(1-EXP(-LN(2)/2))/(LN(2)/2)*CG129*CJ129*VLOOKUP('Données projet'!$B$12,Paramètres!$A$1:$I$89,3,0)*0.475*44/12</f>
        <v>2.1988980785282405E-14</v>
      </c>
      <c r="CN129" s="22">
        <f t="shared" si="66"/>
        <v>0.21688904823567934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-5.6843418860808015E-13</v>
      </c>
      <c r="CU129" s="17">
        <f>CT129*VLOOKUP('Données projet'!$B$13,Paramètres!$A$1:$I$89,3,0)*VLOOKUP('Données projet'!$B$13,Paramètres!$A$1:$I$89,5,0)</f>
        <v>-3.177547114319168E-13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326.31232746914907</v>
      </c>
      <c r="CZ129" s="59">
        <f t="shared" si="96"/>
        <v>330.17137761430297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0.68239934714455075</v>
      </c>
      <c r="DG129" s="21">
        <f>EXP(-LN(2)/25)*DG128+(1-EXP(-LN(2)/25))/(LN(2)/25)*Calculateur!DB129*Calculateur!DD129*VLOOKUP('Données projet'!$B$13,Paramètres!$A$1:$I$89,3,0)*0.475*44/12</f>
        <v>2.1069904386345883</v>
      </c>
      <c r="DH129" s="21">
        <f>EXP(-LN(2)/2)*DH128+(1-EXP(-LN(2)/2))/(LN(2)/2)*DB129*DE129*VLOOKUP('Données projet'!$B$13,Paramètres!$A$1:$I$89,3,0)*0.475*44/12</f>
        <v>1.1554166821680398E-13</v>
      </c>
      <c r="DI129" s="22">
        <f t="shared" si="69"/>
        <v>2.7893897857792544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6.2527760746888816E-13</v>
      </c>
      <c r="DP129" s="17">
        <f>DO129*VLOOKUP('Données projet'!$B$14,Paramètres!$A$1:$I$89,3,0)*VLOOKUP('Données projet'!$B$14,Paramètres!$A$1:$I$89,5,0)</f>
        <v>3.9017322706058616E-13</v>
      </c>
      <c r="DQ129" s="13">
        <f t="shared" si="97"/>
        <v>5.0025007393608908E-12</v>
      </c>
      <c r="DR129" s="20">
        <f t="shared" si="70"/>
        <v>9.3922404915174053E-12</v>
      </c>
      <c r="DS129" s="59">
        <f t="shared" si="71"/>
        <v>293.33333333334269</v>
      </c>
      <c r="DT129" s="59">
        <f ca="1">AVERAGE(OFFSET($DS$3,0,0,'Données projet'!$E$14+1,1))-AVERAGE(OFFSET($H$3,0,0,'Données projet'!$E$14+1,1))</f>
        <v>209.93608079129638</v>
      </c>
      <c r="DU129" s="59">
        <f t="shared" si="98"/>
        <v>240.15652428700969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1.0387474206005836</v>
      </c>
      <c r="EB129" s="21">
        <f>EXP(-LN(2)/25)*EB128+(1-EXP(-LN(2)/25))/(LN(2)/25)*Calculateur!DW129*Calculateur!DY129*VLOOKUP('Données projet'!$B$14,Paramètres!$A$1:$I$89,3,0)*0.475*44/12</f>
        <v>1.4516289217105223</v>
      </c>
      <c r="EC129" s="21">
        <f>EXP(-LN(2)/2)*EC128+(1-EXP(-LN(2)/2))/(LN(2)/2)*DW129*DZ129*VLOOKUP('Données projet'!$B$14,Paramètres!$A$1:$I$89,3,0)*0.475*44/12</f>
        <v>7.1732186426185876E-14</v>
      </c>
      <c r="ED129" s="22">
        <f t="shared" si="72"/>
        <v>2.490376342311178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-4.5474735088646412E-13</v>
      </c>
      <c r="EK129" s="17">
        <f>EJ129*VLOOKUP('Données projet'!$B$15,Paramètres!$A$1:$I$89,3,0)*VLOOKUP('Données projet'!$B$15,Paramètres!$A$1:$I$89,5,0)</f>
        <v>-2.7193891583010558E-13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216.94426559495264</v>
      </c>
      <c r="EP129" s="59">
        <f t="shared" si="100"/>
        <v>225.33715877618704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</v>
      </c>
      <c r="EW129" s="21">
        <f>EXP(-LN(2)/25)*EW128+(1-EXP(-LN(2)/25))/(LN(2)/25)*Calculateur!ER129*Calculateur!ET129*VLOOKUP('Données projet'!$B$15,Paramètres!$A$1:$I$89,3,0)*0.475*44/12</f>
        <v>0.89726980626140329</v>
      </c>
      <c r="EX129" s="21">
        <f>EXP(-LN(2)/2)*EX128+(1-EXP(-LN(2)/2))/(LN(2)/2)*ER129*EU129*VLOOKUP('Données projet'!$B$15,Paramètres!$A$1:$I$89,3,0)*0.475*44/12</f>
        <v>8.4303621412896389E-14</v>
      </c>
      <c r="EY129" s="22">
        <f t="shared" si="75"/>
        <v>0.89726980626148756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>
        <f>FE129*VLOOKUP('Données projet'!$B$16,Paramètres!$A$1:$I$89,3,0)*VLOOKUP('Données projet'!$B$16,Paramètres!$A$1:$I$89,5,0)</f>
        <v>0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168.08890945052406</v>
      </c>
      <c r="FK129" s="59">
        <f t="shared" si="102"/>
        <v>182.52462557642343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0.92804202736597541</v>
      </c>
      <c r="FR129" s="21">
        <f>EXP(-LN(2)/25)*FR128+(1-EXP(-LN(2)/25))/(LN(2)/25)*Calculateur!FM129*Calculateur!FO129*VLOOKUP('Données projet'!$B$16,Paramètres!$A$1:$I$89,3,0)*0.475*44/12</f>
        <v>0.86107100882457777</v>
      </c>
      <c r="FS129" s="21">
        <f>EXP(-LN(2)/2)*FS128+(1-EXP(-LN(2)/2))/(LN(2)/2)*FM129*FP129*VLOOKUP('Données projet'!$B$16,Paramètres!$A$1:$I$89,3,0)*0.475*44/12</f>
        <v>1.9346985787912882E-14</v>
      </c>
      <c r="FT129" s="22">
        <f t="shared" si="78"/>
        <v>1.7891130361905725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-5.6843418860808015E-14</v>
      </c>
      <c r="GA129" s="17">
        <f>FZ129*VLOOKUP('Données projet'!$B$17,Paramètres!$A$1:$I$89,3,0)*VLOOKUP('Données projet'!$B$17,Paramètres!$A$1:$I$89,5,0)</f>
        <v>-3.2514435588382188E-14</v>
      </c>
      <c r="GB129" s="13" t="e">
        <f t="shared" si="103"/>
        <v>#NUM!</v>
      </c>
      <c r="GC129" s="20" t="e">
        <f t="shared" si="79"/>
        <v>#NUM!</v>
      </c>
      <c r="GD129" s="59" t="e">
        <f t="shared" si="80"/>
        <v>#NUM!</v>
      </c>
      <c r="GE129" s="59">
        <f ca="1">AVERAGE(OFFSET($GD$3,0,0,'Données projet'!$E$17+1,1))-AVERAGE(OFFSET($H$3,0,0,'Données projet'!$E$17+1,1))</f>
        <v>196.95560009657527</v>
      </c>
      <c r="GF129" s="59">
        <f t="shared" si="104"/>
        <v>168.90186968005662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0</v>
      </c>
      <c r="GM129" s="21">
        <f>EXP(-LN(2)/25)*GM128+(1-EXP(-LN(2)/25))/(LN(2)/25)*Calculateur!GH129*Calculateur!GJ129*VLOOKUP('Données projet'!$B$17,Paramètres!$A$1:$I$89,3,0)*0.475*44/12</f>
        <v>0.6446005872889613</v>
      </c>
      <c r="GN129" s="21">
        <f>EXP(-LN(2)/2)*GN128+(1-EXP(-LN(2)/2))/(LN(2)/2)*GH129*GK129*VLOOKUP('Données projet'!$B$17,Paramètres!$A$1:$I$89,3,0)*0.475*44/12</f>
        <v>4.5686399915555757E-14</v>
      </c>
      <c r="GO129" s="21">
        <f t="shared" si="81"/>
        <v>0.64460058728900704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-5.3205440053716299E-14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215.23235148064941</v>
      </c>
      <c r="T130" s="59">
        <f t="shared" si="88"/>
        <v>184.07239726900434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0.45908853740405442</v>
      </c>
      <c r="AA130" s="21">
        <f>EXP(-LN(2)/25)*AA129+(1-EXP(-LN(2)/25))/(LN(2)/25)*Calculateur!V130*Calculateur!X130*VLOOKUP('Données projet'!$B$9,Paramètres!$A$1:$I$89,3,0)*0.475*44/12</f>
        <v>0.53355043592594875</v>
      </c>
      <c r="AB130" s="21">
        <f>EXP(-LN(2)/2)*AB129+(1-EXP(-LN(2)/2))/(LN(2)/2)*V130*Y130*VLOOKUP('Données projet'!$B$9,Paramètres!$A$1:$I$89,3,0)*0.475*44/12</f>
        <v>2.4699881830657152E-14</v>
      </c>
      <c r="AC130" s="22">
        <f t="shared" si="57"/>
        <v>0.99263897333002782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5.6843418860808015E-14</v>
      </c>
      <c r="AJ130" s="13">
        <f>AI130*VLOOKUP('Données projet'!$B$10,Paramètres!$A$1:$I$89,3,0)*VLOOKUP('Données projet'!$B$10,Paramètres!$A$1:$I$89,5,0)</f>
        <v>4.1677594708744434E-14</v>
      </c>
      <c r="AK130" s="13">
        <f t="shared" si="89"/>
        <v>6.9326303456159188E-13</v>
      </c>
      <c r="AL130" s="20">
        <f t="shared" si="58"/>
        <v>1.2800215959791691E-12</v>
      </c>
      <c r="AM130" s="59">
        <f t="shared" si="59"/>
        <v>293.33333333333462</v>
      </c>
      <c r="AN130" s="59">
        <f ca="1">AVERAGE(OFFSET($AM$3,0,0,'Données projet'!$E$10+1,1))-AVERAGE(OFFSET($H$3,0,0,'Données projet'!$E$10+1,1))</f>
        <v>178.12968684094687</v>
      </c>
      <c r="AO130" s="59">
        <f t="shared" si="90"/>
        <v>219.36004077210373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0.52220704516062322</v>
      </c>
      <c r="AW130" s="21">
        <f>EXP(-LN(2)/2)*AW129+(1-EXP(-LN(2)/2))/(LN(2)/2)*AQ130*AT130*VLOOKUP('Données projet'!$B$10,Paramètres!$A$1:$I$89,3,0)*0.475*44/12</f>
        <v>2.4914263805909534E-14</v>
      </c>
      <c r="AX130" s="21">
        <f t="shared" si="60"/>
        <v>0.52220704516064809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-5.6843418860808015E-14</v>
      </c>
      <c r="BE130" s="13">
        <f>BD130*VLOOKUP('Données projet'!$B$11,Paramètres!$A$1:$I$89,3,0)*VLOOKUP('Données projet'!$B$11,Paramètres!$A$1:$I$89,5,0)</f>
        <v>-4.9658410716801891E-14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114.02623091248347</v>
      </c>
      <c r="BJ130" s="59">
        <f t="shared" si="92"/>
        <v>185.51554083721635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0.28585310792698898</v>
      </c>
      <c r="BQ130" s="21">
        <f>EXP(-LN(2)/25)*BQ129+(1-EXP(-LN(2)/25))/(LN(2)/25)*Calculateur!BL130*Calculateur!BN130*VLOOKUP('Données projet'!$B$11,Paramètres!$A$1:$I$89,3,0)*0.475*44/12</f>
        <v>0.76452684130797599</v>
      </c>
      <c r="BR130" s="21">
        <f>EXP(-LN(2)/2)*BR129+(1-EXP(-LN(2)/2))/(LN(2)/2)*BL130*BO130*VLOOKUP('Données projet'!$B$11,Paramètres!$A$1:$I$89,3,0)*0.475*44/12</f>
        <v>4.4312464251379824E-14</v>
      </c>
      <c r="BS130" s="22">
        <f t="shared" si="63"/>
        <v>1.0503799492350094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-1.1368683772161603E-13</v>
      </c>
      <c r="BZ130" s="13">
        <f>BY130*VLOOKUP('Données projet'!$B$12,Paramètres!$A$1:$I$89,3,0)*VLOOKUP('Données projet'!$B$12,Paramètres!$A$1:$I$89,5,0)</f>
        <v>-1.0286385077051818E-13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237.22177246688199</v>
      </c>
      <c r="CE130" s="59">
        <f t="shared" si="94"/>
        <v>149.27472147904302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0.21095820580595395</v>
      </c>
      <c r="CM130" s="21">
        <f>EXP(-LN(2)/2)*CM129+(1-EXP(-LN(2)/2))/(LN(2)/2)*CG130*CJ130*VLOOKUP('Données projet'!$B$12,Paramètres!$A$1:$I$89,3,0)*0.475*44/12</f>
        <v>1.5548557424653883E-14</v>
      </c>
      <c r="CN130" s="22">
        <f t="shared" si="66"/>
        <v>0.2109582058059695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-5.6843418860808015E-13</v>
      </c>
      <c r="CU130" s="17">
        <f>CT130*VLOOKUP('Données projet'!$B$13,Paramètres!$A$1:$I$89,3,0)*VLOOKUP('Données projet'!$B$13,Paramètres!$A$1:$I$89,5,0)</f>
        <v>-3.177547114319168E-13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326.31232746914907</v>
      </c>
      <c r="CZ130" s="59">
        <f t="shared" si="96"/>
        <v>330.17137761430297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0.66901791216954931</v>
      </c>
      <c r="DG130" s="21">
        <f>EXP(-LN(2)/25)*DG129+(1-EXP(-LN(2)/25))/(LN(2)/25)*Calculateur!DB130*Calculateur!DD130*VLOOKUP('Données projet'!$B$13,Paramètres!$A$1:$I$89,3,0)*0.475*44/12</f>
        <v>2.0493746742883139</v>
      </c>
      <c r="DH130" s="21">
        <f>EXP(-LN(2)/2)*DH129+(1-EXP(-LN(2)/2))/(LN(2)/2)*DB130*DE130*VLOOKUP('Données projet'!$B$13,Paramètres!$A$1:$I$89,3,0)*0.475*44/12</f>
        <v>8.1700297105708281E-14</v>
      </c>
      <c r="DI130" s="22">
        <f t="shared" si="69"/>
        <v>2.718392586457945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6.2527760746888816E-13</v>
      </c>
      <c r="DP130" s="17">
        <f>DO130*VLOOKUP('Données projet'!$B$14,Paramètres!$A$1:$I$89,3,0)*VLOOKUP('Données projet'!$B$14,Paramètres!$A$1:$I$89,5,0)</f>
        <v>3.9017322706058616E-13</v>
      </c>
      <c r="DQ130" s="13">
        <f t="shared" si="97"/>
        <v>5.0025007393608908E-12</v>
      </c>
      <c r="DR130" s="20">
        <f t="shared" si="70"/>
        <v>9.3922404915174053E-12</v>
      </c>
      <c r="DS130" s="59">
        <f t="shared" si="71"/>
        <v>293.33333333334269</v>
      </c>
      <c r="DT130" s="59">
        <f ca="1">AVERAGE(OFFSET($DS$3,0,0,'Données projet'!$E$14+1,1))-AVERAGE(OFFSET($H$3,0,0,'Données projet'!$E$14+1,1))</f>
        <v>209.93608079129638</v>
      </c>
      <c r="DU130" s="59">
        <f t="shared" si="98"/>
        <v>240.15652428700969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1.0183782172559726</v>
      </c>
      <c r="EB130" s="21">
        <f>EXP(-LN(2)/25)*EB129+(1-EXP(-LN(2)/25))/(LN(2)/25)*Calculateur!DW130*Calculateur!DY130*VLOOKUP('Données projet'!$B$14,Paramètres!$A$1:$I$89,3,0)*0.475*44/12</f>
        <v>1.4119340525085007</v>
      </c>
      <c r="EC130" s="21">
        <f>EXP(-LN(2)/2)*EC129+(1-EXP(-LN(2)/2))/(LN(2)/2)*DW130*DZ130*VLOOKUP('Données projet'!$B$14,Paramètres!$A$1:$I$89,3,0)*0.475*44/12</f>
        <v>5.0722315451293652E-14</v>
      </c>
      <c r="ED130" s="22">
        <f t="shared" si="72"/>
        <v>2.4303122697645239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-4.5474735088646412E-13</v>
      </c>
      <c r="EK130" s="17">
        <f>EJ130*VLOOKUP('Données projet'!$B$15,Paramètres!$A$1:$I$89,3,0)*VLOOKUP('Données projet'!$B$15,Paramètres!$A$1:$I$89,5,0)</f>
        <v>-2.7193891583010558E-13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216.94426559495264</v>
      </c>
      <c r="EP130" s="59">
        <f t="shared" si="100"/>
        <v>225.33715877618704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</v>
      </c>
      <c r="EW130" s="21">
        <f>EXP(-LN(2)/25)*EW129+(1-EXP(-LN(2)/25))/(LN(2)/25)*Calculateur!ER130*Calculateur!ET130*VLOOKUP('Données projet'!$B$15,Paramètres!$A$1:$I$89,3,0)*0.475*44/12</f>
        <v>0.8727339162238168</v>
      </c>
      <c r="EX130" s="21">
        <f>EXP(-LN(2)/2)*EX129+(1-EXP(-LN(2)/2))/(LN(2)/2)*ER130*EU130*VLOOKUP('Données projet'!$B$15,Paramètres!$A$1:$I$89,3,0)*0.475*44/12</f>
        <v>5.9611662379642468E-14</v>
      </c>
      <c r="EY130" s="22">
        <f t="shared" si="75"/>
        <v>0.87273391622387642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>
        <f>FE130*VLOOKUP('Données projet'!$B$16,Paramètres!$A$1:$I$89,3,0)*VLOOKUP('Données projet'!$B$16,Paramètres!$A$1:$I$89,5,0)</f>
        <v>0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168.08890945052406</v>
      </c>
      <c r="FK130" s="59">
        <f t="shared" si="102"/>
        <v>182.52462557642343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0.90984368925907255</v>
      </c>
      <c r="FR130" s="21">
        <f>EXP(-LN(2)/25)*FR129+(1-EXP(-LN(2)/25))/(LN(2)/25)*Calculateur!FM130*Calculateur!FO130*VLOOKUP('Données projet'!$B$16,Paramètres!$A$1:$I$89,3,0)*0.475*44/12</f>
        <v>0.83752497680651339</v>
      </c>
      <c r="FS130" s="21">
        <f>EXP(-LN(2)/2)*FS129+(1-EXP(-LN(2)/2))/(LN(2)/2)*FM130*FP130*VLOOKUP('Données projet'!$B$16,Paramètres!$A$1:$I$89,3,0)*0.475*44/12</f>
        <v>1.3680384846152959E-14</v>
      </c>
      <c r="FT130" s="22">
        <f t="shared" si="78"/>
        <v>1.7473686660655998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-5.6843418860808015E-14</v>
      </c>
      <c r="GA130" s="17">
        <f>FZ130*VLOOKUP('Données projet'!$B$17,Paramètres!$A$1:$I$89,3,0)*VLOOKUP('Données projet'!$B$17,Paramètres!$A$1:$I$89,5,0)</f>
        <v>-3.2514435588382188E-14</v>
      </c>
      <c r="GB130" s="13" t="e">
        <f t="shared" si="103"/>
        <v>#NUM!</v>
      </c>
      <c r="GC130" s="20" t="e">
        <f t="shared" si="79"/>
        <v>#NUM!</v>
      </c>
      <c r="GD130" s="59" t="e">
        <f t="shared" si="80"/>
        <v>#NUM!</v>
      </c>
      <c r="GE130" s="59">
        <f ca="1">AVERAGE(OFFSET($GD$3,0,0,'Données projet'!$E$17+1,1))-AVERAGE(OFFSET($H$3,0,0,'Données projet'!$E$17+1,1))</f>
        <v>196.95560009657527</v>
      </c>
      <c r="GF130" s="59">
        <f t="shared" si="104"/>
        <v>168.90186968005662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0</v>
      </c>
      <c r="GM130" s="21">
        <f>EXP(-LN(2)/25)*GM129+(1-EXP(-LN(2)/25))/(LN(2)/25)*Calculateur!GH130*Calculateur!GJ130*VLOOKUP('Données projet'!$B$17,Paramètres!$A$1:$I$89,3,0)*0.475*44/12</f>
        <v>0.62697395033147307</v>
      </c>
      <c r="GN130" s="21">
        <f>EXP(-LN(2)/2)*GN129+(1-EXP(-LN(2)/2))/(LN(2)/2)*GH130*GK130*VLOOKUP('Données projet'!$B$17,Paramètres!$A$1:$I$89,3,0)*0.475*44/12</f>
        <v>3.2305163188289988E-14</v>
      </c>
      <c r="GO130" s="21">
        <f t="shared" si="81"/>
        <v>0.62697395033150538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-5.3205440053716299E-14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215.23235148064941</v>
      </c>
      <c r="T131" s="59">
        <f t="shared" si="88"/>
        <v>184.07239726900434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0.45008609120191939</v>
      </c>
      <c r="AA131" s="21">
        <f>EXP(-LN(2)/25)*AA130+(1-EXP(-LN(2)/25))/(LN(2)/25)*Calculateur!V131*Calculateur!X131*VLOOKUP('Données projet'!$B$9,Paramètres!$A$1:$I$89,3,0)*0.475*44/12</f>
        <v>0.51896047119735567</v>
      </c>
      <c r="AB131" s="21">
        <f>EXP(-LN(2)/2)*AB130+(1-EXP(-LN(2)/2))/(LN(2)/2)*V131*Y131*VLOOKUP('Données projet'!$B$9,Paramètres!$A$1:$I$89,3,0)*0.475*44/12</f>
        <v>1.7465453936964067E-14</v>
      </c>
      <c r="AC131" s="22">
        <f t="shared" si="57"/>
        <v>0.96904656239929243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5.6843418860808015E-14</v>
      </c>
      <c r="AJ131" s="13">
        <f>AI131*VLOOKUP('Données projet'!$B$10,Paramètres!$A$1:$I$89,3,0)*VLOOKUP('Données projet'!$B$10,Paramètres!$A$1:$I$89,5,0)</f>
        <v>4.1677594708744434E-14</v>
      </c>
      <c r="AK131" s="13">
        <f t="shared" si="89"/>
        <v>6.9326303456159188E-13</v>
      </c>
      <c r="AL131" s="20">
        <f t="shared" si="58"/>
        <v>1.2800215959791691E-12</v>
      </c>
      <c r="AM131" s="59">
        <f t="shared" si="59"/>
        <v>293.33333333333462</v>
      </c>
      <c r="AN131" s="59">
        <f ca="1">AVERAGE(OFFSET($AM$3,0,0,'Données projet'!$E$10+1,1))-AVERAGE(OFFSET($H$3,0,0,'Données projet'!$E$10+1,1))</f>
        <v>178.12968684094687</v>
      </c>
      <c r="AO131" s="59">
        <f t="shared" si="90"/>
        <v>219.36004077210373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0.50792726604903105</v>
      </c>
      <c r="AW131" s="21">
        <f>EXP(-LN(2)/2)*AW130+(1-EXP(-LN(2)/2))/(LN(2)/2)*AQ131*AT131*VLOOKUP('Données projet'!$B$10,Paramètres!$A$1:$I$89,3,0)*0.475*44/12</f>
        <v>1.7617044885429193E-14</v>
      </c>
      <c r="AX131" s="21">
        <f t="shared" si="60"/>
        <v>0.5079272660490487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-5.6843418860808015E-14</v>
      </c>
      <c r="BE131" s="13">
        <f>BD131*VLOOKUP('Données projet'!$B$11,Paramètres!$A$1:$I$89,3,0)*VLOOKUP('Données projet'!$B$11,Paramètres!$A$1:$I$89,5,0)</f>
        <v>-4.9658410716801891E-14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114.02623091248347</v>
      </c>
      <c r="BJ131" s="59">
        <f t="shared" si="92"/>
        <v>185.51554083721635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0.28024770283372064</v>
      </c>
      <c r="BQ131" s="21">
        <f>EXP(-LN(2)/25)*BQ130+(1-EXP(-LN(2)/25))/(LN(2)/25)*Calculateur!BL131*Calculateur!BN131*VLOOKUP('Données projet'!$B$11,Paramètres!$A$1:$I$89,3,0)*0.475*44/12</f>
        <v>0.74362081462769014</v>
      </c>
      <c r="BR131" s="21">
        <f>EXP(-LN(2)/2)*BR130+(1-EXP(-LN(2)/2))/(LN(2)/2)*BL131*BO131*VLOOKUP('Données projet'!$B$11,Paramètres!$A$1:$I$89,3,0)*0.475*44/12</f>
        <v>3.1333643963237142E-14</v>
      </c>
      <c r="BS131" s="22">
        <f t="shared" si="63"/>
        <v>1.0238685174614421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-1.1368683772161603E-13</v>
      </c>
      <c r="BZ131" s="13">
        <f>BY131*VLOOKUP('Données projet'!$B$12,Paramètres!$A$1:$I$89,3,0)*VLOOKUP('Données projet'!$B$12,Paramètres!$A$1:$I$89,5,0)</f>
        <v>-1.0286385077051818E-13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237.22177246688199</v>
      </c>
      <c r="CE131" s="59">
        <f t="shared" si="94"/>
        <v>149.27472147904302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0.20518954257438024</v>
      </c>
      <c r="CM131" s="21">
        <f>EXP(-LN(2)/2)*CM130+(1-EXP(-LN(2)/2))/(LN(2)/2)*CG131*CJ131*VLOOKUP('Données projet'!$B$12,Paramètres!$A$1:$I$89,3,0)*0.475*44/12</f>
        <v>1.0994490392641203E-14</v>
      </c>
      <c r="CN131" s="22">
        <f t="shared" si="66"/>
        <v>0.20518954257439123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-5.6843418860808015E-13</v>
      </c>
      <c r="CU131" s="17">
        <f>CT131*VLOOKUP('Données projet'!$B$13,Paramètres!$A$1:$I$89,3,0)*VLOOKUP('Données projet'!$B$13,Paramètres!$A$1:$I$89,5,0)</f>
        <v>-3.177547114319168E-13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326.31232746914907</v>
      </c>
      <c r="CZ131" s="59">
        <f t="shared" si="96"/>
        <v>330.17137761430297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0.65589887897253818</v>
      </c>
      <c r="DG131" s="21">
        <f>EXP(-LN(2)/25)*DG130+(1-EXP(-LN(2)/25))/(LN(2)/25)*Calculateur!DB131*Calculateur!DD131*VLOOKUP('Données projet'!$B$13,Paramètres!$A$1:$I$89,3,0)*0.475*44/12</f>
        <v>1.9933344160479698</v>
      </c>
      <c r="DH131" s="21">
        <f>EXP(-LN(2)/2)*DH130+(1-EXP(-LN(2)/2))/(LN(2)/2)*DB131*DE131*VLOOKUP('Données projet'!$B$13,Paramètres!$A$1:$I$89,3,0)*0.475*44/12</f>
        <v>5.7770834108401988E-14</v>
      </c>
      <c r="DI131" s="22">
        <f t="shared" si="69"/>
        <v>2.6492332950205659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6.2527760746888816E-13</v>
      </c>
      <c r="DP131" s="17">
        <f>DO131*VLOOKUP('Données projet'!$B$14,Paramètres!$A$1:$I$89,3,0)*VLOOKUP('Données projet'!$B$14,Paramètres!$A$1:$I$89,5,0)</f>
        <v>3.9017322706058616E-13</v>
      </c>
      <c r="DQ131" s="13">
        <f t="shared" si="97"/>
        <v>5.0025007393608908E-12</v>
      </c>
      <c r="DR131" s="20">
        <f t="shared" si="70"/>
        <v>9.3922404915174053E-12</v>
      </c>
      <c r="DS131" s="59">
        <f t="shared" si="71"/>
        <v>293.33333333334269</v>
      </c>
      <c r="DT131" s="59">
        <f ca="1">AVERAGE(OFFSET($DS$3,0,0,'Données projet'!$E$14+1,1))-AVERAGE(OFFSET($H$3,0,0,'Données projet'!$E$14+1,1))</f>
        <v>209.93608079129638</v>
      </c>
      <c r="DU131" s="59">
        <f t="shared" si="98"/>
        <v>240.15652428700969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0.998408441564962</v>
      </c>
      <c r="EB131" s="21">
        <f>EXP(-LN(2)/25)*EB130+(1-EXP(-LN(2)/25))/(LN(2)/25)*Calculateur!DW131*Calculateur!DY131*VLOOKUP('Données projet'!$B$14,Paramètres!$A$1:$I$89,3,0)*0.475*44/12</f>
        <v>1.3733246415922709</v>
      </c>
      <c r="EC131" s="21">
        <f>EXP(-LN(2)/2)*EC130+(1-EXP(-LN(2)/2))/(LN(2)/2)*DW131*DZ131*VLOOKUP('Données projet'!$B$14,Paramètres!$A$1:$I$89,3,0)*0.475*44/12</f>
        <v>3.5866093213092938E-14</v>
      </c>
      <c r="ED131" s="22">
        <f t="shared" si="72"/>
        <v>2.3717330831572689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-4.5474735088646412E-13</v>
      </c>
      <c r="EK131" s="17">
        <f>EJ131*VLOOKUP('Données projet'!$B$15,Paramètres!$A$1:$I$89,3,0)*VLOOKUP('Données projet'!$B$15,Paramètres!$A$1:$I$89,5,0)</f>
        <v>-2.7193891583010558E-13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216.94426559495264</v>
      </c>
      <c r="EP131" s="59">
        <f t="shared" si="100"/>
        <v>225.33715877618704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</v>
      </c>
      <c r="EW131" s="21">
        <f>EXP(-LN(2)/25)*EW130+(1-EXP(-LN(2)/25))/(LN(2)/25)*Calculateur!ER131*Calculateur!ET131*VLOOKUP('Données projet'!$B$15,Paramètres!$A$1:$I$89,3,0)*0.475*44/12</f>
        <v>0.84886896138959456</v>
      </c>
      <c r="EX131" s="21">
        <f>EXP(-LN(2)/2)*EX130+(1-EXP(-LN(2)/2))/(LN(2)/2)*ER131*EU131*VLOOKUP('Données projet'!$B$15,Paramètres!$A$1:$I$89,3,0)*0.475*44/12</f>
        <v>4.2151810706448194E-14</v>
      </c>
      <c r="EY131" s="22">
        <f t="shared" si="75"/>
        <v>0.84886896138963674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>
        <f>FE131*VLOOKUP('Données projet'!$B$16,Paramètres!$A$1:$I$89,3,0)*VLOOKUP('Données projet'!$B$16,Paramètres!$A$1:$I$89,5,0)</f>
        <v>0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168.08890945052406</v>
      </c>
      <c r="FK131" s="59">
        <f t="shared" si="102"/>
        <v>182.52462557642343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0.89200220946255582</v>
      </c>
      <c r="FR131" s="21">
        <f>EXP(-LN(2)/25)*FR130+(1-EXP(-LN(2)/25))/(LN(2)/25)*Calculateur!FM131*Calculateur!FO131*VLOOKUP('Données projet'!$B$16,Paramètres!$A$1:$I$89,3,0)*0.475*44/12</f>
        <v>0.81462281227221489</v>
      </c>
      <c r="FS131" s="21">
        <f>EXP(-LN(2)/2)*FS130+(1-EXP(-LN(2)/2))/(LN(2)/2)*FM131*FP131*VLOOKUP('Données projet'!$B$16,Paramètres!$A$1:$I$89,3,0)*0.475*44/12</f>
        <v>9.6734928939564408E-15</v>
      </c>
      <c r="FT131" s="22">
        <f t="shared" si="78"/>
        <v>1.7066250217347805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-5.6843418860808015E-14</v>
      </c>
      <c r="GA131" s="17">
        <f>FZ131*VLOOKUP('Données projet'!$B$17,Paramètres!$A$1:$I$89,3,0)*VLOOKUP('Données projet'!$B$17,Paramètres!$A$1:$I$89,5,0)</f>
        <v>-3.2514435588382188E-14</v>
      </c>
      <c r="GB131" s="13" t="e">
        <f t="shared" si="103"/>
        <v>#NUM!</v>
      </c>
      <c r="GC131" s="20" t="e">
        <f t="shared" si="79"/>
        <v>#NUM!</v>
      </c>
      <c r="GD131" s="59" t="e">
        <f t="shared" si="80"/>
        <v>#NUM!</v>
      </c>
      <c r="GE131" s="59">
        <f ca="1">AVERAGE(OFFSET($GD$3,0,0,'Données projet'!$E$17+1,1))-AVERAGE(OFFSET($H$3,0,0,'Données projet'!$E$17+1,1))</f>
        <v>196.95560009657527</v>
      </c>
      <c r="GF131" s="59">
        <f t="shared" si="104"/>
        <v>168.90186968005662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0</v>
      </c>
      <c r="GM131" s="21">
        <f>EXP(-LN(2)/25)*GM130+(1-EXP(-LN(2)/25))/(LN(2)/25)*Calculateur!GH131*Calculateur!GJ131*VLOOKUP('Données projet'!$B$17,Paramètres!$A$1:$I$89,3,0)*0.475*44/12</f>
        <v>0.60982931468853185</v>
      </c>
      <c r="GN131" s="21">
        <f>EXP(-LN(2)/2)*GN130+(1-EXP(-LN(2)/2))/(LN(2)/2)*GH131*GK131*VLOOKUP('Données projet'!$B$17,Paramètres!$A$1:$I$89,3,0)*0.475*44/12</f>
        <v>2.2843199957777878E-14</v>
      </c>
      <c r="GO131" s="21">
        <f t="shared" si="81"/>
        <v>0.60982931468855472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-5.3205440053716299E-14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215.23235148064941</v>
      </c>
      <c r="T132" s="59">
        <f t="shared" si="88"/>
        <v>184.07239726900434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0.44126017747885826</v>
      </c>
      <c r="AA132" s="21">
        <f>EXP(-LN(2)/25)*AA131+(1-EXP(-LN(2)/25))/(LN(2)/25)*Calculateur!V132*Calculateur!X132*VLOOKUP('Données projet'!$B$9,Paramètres!$A$1:$I$89,3,0)*0.475*44/12</f>
        <v>0.50476946982151893</v>
      </c>
      <c r="AB132" s="21">
        <f>EXP(-LN(2)/2)*AB131+(1-EXP(-LN(2)/2))/(LN(2)/2)*V132*Y132*VLOOKUP('Données projet'!$B$9,Paramètres!$A$1:$I$89,3,0)*0.475*44/12</f>
        <v>1.2349940915328576E-14</v>
      </c>
      <c r="AC132" s="22">
        <f t="shared" ref="AC132:AC153" si="111">SUM(Z132:AB132)</f>
        <v>0.94602964730038952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5.6843418860808015E-14</v>
      </c>
      <c r="AJ132" s="13">
        <f>AI132*VLOOKUP('Données projet'!$B$10,Paramètres!$A$1:$I$89,3,0)*VLOOKUP('Données projet'!$B$10,Paramètres!$A$1:$I$89,5,0)</f>
        <v>4.1677594708744434E-14</v>
      </c>
      <c r="AK132" s="13">
        <f t="shared" si="89"/>
        <v>6.9326303456159188E-13</v>
      </c>
      <c r="AL132" s="20">
        <f t="shared" ref="AL132:AL153" si="112">(AJ132+AK132)*0.475*44/12</f>
        <v>1.2800215959791691E-12</v>
      </c>
      <c r="AM132" s="59">
        <f t="shared" ref="AM132:AM195" si="113">AL132+(AD132+AE132)*44/12</f>
        <v>293.33333333333462</v>
      </c>
      <c r="AN132" s="59">
        <f ca="1">AVERAGE(OFFSET($AM$3,0,0,'Données projet'!$E$10+1,1))-AVERAGE(OFFSET($H$3,0,0,'Données projet'!$E$10+1,1))</f>
        <v>178.12968684094687</v>
      </c>
      <c r="AO132" s="59">
        <f t="shared" si="90"/>
        <v>219.36004077210373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0.49403796824818624</v>
      </c>
      <c r="AW132" s="21">
        <f>EXP(-LN(2)/2)*AW131+(1-EXP(-LN(2)/2))/(LN(2)/2)*AQ132*AT132*VLOOKUP('Données projet'!$B$10,Paramètres!$A$1:$I$89,3,0)*0.475*44/12</f>
        <v>1.2457131902954767E-14</v>
      </c>
      <c r="AX132" s="21">
        <f t="shared" ref="AX132:AX153" si="114">SUM(AU132:AW132)</f>
        <v>0.49403796824819868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-5.6843418860808015E-14</v>
      </c>
      <c r="BE132" s="13">
        <f>BD132*VLOOKUP('Données projet'!$B$11,Paramètres!$A$1:$I$89,3,0)*VLOOKUP('Données projet'!$B$11,Paramètres!$A$1:$I$89,5,0)</f>
        <v>-4.9658410716801891E-14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114.02623091248347</v>
      </c>
      <c r="BJ132" s="59">
        <f t="shared" si="92"/>
        <v>185.51554083721635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0.27475221631537172</v>
      </c>
      <c r="BQ132" s="21">
        <f>EXP(-LN(2)/25)*BQ131+(1-EXP(-LN(2)/25))/(LN(2)/25)*Calculateur!BL132*Calculateur!BN132*VLOOKUP('Données projet'!$B$11,Paramètres!$A$1:$I$89,3,0)*0.475*44/12</f>
        <v>0.72328646434637689</v>
      </c>
      <c r="BR132" s="21">
        <f>EXP(-LN(2)/2)*BR131+(1-EXP(-LN(2)/2))/(LN(2)/2)*BL132*BO132*VLOOKUP('Données projet'!$B$11,Paramètres!$A$1:$I$89,3,0)*0.475*44/12</f>
        <v>2.2156232125689912E-14</v>
      </c>
      <c r="BS132" s="22">
        <f t="shared" ref="BS132:BS153" si="117">SUM(BP132:BR132)</f>
        <v>0.99803868066177082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-1.1368683772161603E-13</v>
      </c>
      <c r="BZ132" s="13">
        <f>BY132*VLOOKUP('Données projet'!$B$12,Paramètres!$A$1:$I$89,3,0)*VLOOKUP('Données projet'!$B$12,Paramètres!$A$1:$I$89,5,0)</f>
        <v>-1.0286385077051818E-13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237.22177246688199</v>
      </c>
      <c r="CE132" s="59">
        <f t="shared" si="94"/>
        <v>149.27472147904302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0.19957862374223473</v>
      </c>
      <c r="CM132" s="21">
        <f>EXP(-LN(2)/2)*CM131+(1-EXP(-LN(2)/2))/(LN(2)/2)*CG132*CJ132*VLOOKUP('Données projet'!$B$12,Paramètres!$A$1:$I$89,3,0)*0.475*44/12</f>
        <v>7.7742787123269417E-15</v>
      </c>
      <c r="CN132" s="22">
        <f t="shared" ref="CN132:CN153" si="120">SUM(CK132:CM132)</f>
        <v>0.1995786237422425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-5.6843418860808015E-13</v>
      </c>
      <c r="CU132" s="17">
        <f>CT132*VLOOKUP('Données projet'!$B$13,Paramètres!$A$1:$I$89,3,0)*VLOOKUP('Données projet'!$B$13,Paramètres!$A$1:$I$89,5,0)</f>
        <v>-3.177547114319168E-13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326.31232746914907</v>
      </c>
      <c r="CZ132" s="59">
        <f t="shared" si="96"/>
        <v>330.17137761430297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0.64303710201470032</v>
      </c>
      <c r="DG132" s="21">
        <f>EXP(-LN(2)/25)*DG131+(1-EXP(-LN(2)/25))/(LN(2)/25)*Calculateur!DB132*Calculateur!DD132*VLOOKUP('Données projet'!$B$13,Paramètres!$A$1:$I$89,3,0)*0.475*44/12</f>
        <v>1.9388265816162369</v>
      </c>
      <c r="DH132" s="21">
        <f>EXP(-LN(2)/2)*DH131+(1-EXP(-LN(2)/2))/(LN(2)/2)*DB132*DE132*VLOOKUP('Données projet'!$B$13,Paramètres!$A$1:$I$89,3,0)*0.475*44/12</f>
        <v>4.0850148552854141E-14</v>
      </c>
      <c r="DI132" s="22">
        <f t="shared" ref="DI132:DI153" si="123">SUM(DF132:DH132)</f>
        <v>2.5818636836309778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6.2527760746888816E-13</v>
      </c>
      <c r="DP132" s="17">
        <f>DO132*VLOOKUP('Données projet'!$B$14,Paramètres!$A$1:$I$89,3,0)*VLOOKUP('Données projet'!$B$14,Paramètres!$A$1:$I$89,5,0)</f>
        <v>3.9017322706058616E-13</v>
      </c>
      <c r="DQ132" s="13">
        <f t="shared" si="97"/>
        <v>5.0025007393608908E-12</v>
      </c>
      <c r="DR132" s="20">
        <f t="shared" ref="DR132:DR153" si="124">(DP132+DQ132)*0.475*44/12</f>
        <v>9.3922404915174053E-12</v>
      </c>
      <c r="DS132" s="59">
        <f t="shared" ref="DS132:DS195" si="125">DR132+(DJ132+DK132)*44/12</f>
        <v>293.33333333334269</v>
      </c>
      <c r="DT132" s="59">
        <f ca="1">AVERAGE(OFFSET($DS$3,0,0,'Données projet'!$E$14+1,1))-AVERAGE(OFFSET($H$3,0,0,'Données projet'!$E$14+1,1))</f>
        <v>209.93608079129638</v>
      </c>
      <c r="DU132" s="59">
        <f t="shared" si="98"/>
        <v>240.15652428700969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0.97883026099489179</v>
      </c>
      <c r="EB132" s="21">
        <f>EXP(-LN(2)/25)*EB131+(1-EXP(-LN(2)/25))/(LN(2)/25)*Calculateur!DW132*Calculateur!DY132*VLOOKUP('Données projet'!$B$14,Paramètres!$A$1:$I$89,3,0)*0.475*44/12</f>
        <v>1.3357710070479261</v>
      </c>
      <c r="EC132" s="21">
        <f>EXP(-LN(2)/2)*EC131+(1-EXP(-LN(2)/2))/(LN(2)/2)*DW132*DZ132*VLOOKUP('Données projet'!$B$14,Paramètres!$A$1:$I$89,3,0)*0.475*44/12</f>
        <v>2.5361157725646826E-14</v>
      </c>
      <c r="ED132" s="22">
        <f t="shared" ref="ED132:ED153" si="126">SUM(EA132:EC132)</f>
        <v>2.3146012680428432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-4.5474735088646412E-13</v>
      </c>
      <c r="EK132" s="17">
        <f>EJ132*VLOOKUP('Données projet'!$B$15,Paramètres!$A$1:$I$89,3,0)*VLOOKUP('Données projet'!$B$15,Paramètres!$A$1:$I$89,5,0)</f>
        <v>-2.7193891583010558E-13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216.94426559495264</v>
      </c>
      <c r="EP132" s="59">
        <f t="shared" si="100"/>
        <v>225.33715877618704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</v>
      </c>
      <c r="EW132" s="21">
        <f>EXP(-LN(2)/25)*EW131+(1-EXP(-LN(2)/25))/(LN(2)/25)*Calculateur!ER132*Calculateur!ET132*VLOOKUP('Données projet'!$B$15,Paramètres!$A$1:$I$89,3,0)*0.475*44/12</f>
        <v>0.82565659500031752</v>
      </c>
      <c r="EX132" s="21">
        <f>EXP(-LN(2)/2)*EX131+(1-EXP(-LN(2)/2))/(LN(2)/2)*ER132*EU132*VLOOKUP('Données projet'!$B$15,Paramètres!$A$1:$I$89,3,0)*0.475*44/12</f>
        <v>2.9805831189821234E-14</v>
      </c>
      <c r="EY132" s="22">
        <f t="shared" ref="EY132:EY153" si="129">SUM(EV132:EX132)</f>
        <v>0.82565659500034727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>
        <f>FE132*VLOOKUP('Données projet'!$B$16,Paramètres!$A$1:$I$89,3,0)*VLOOKUP('Données projet'!$B$16,Paramètres!$A$1:$I$89,5,0)</f>
        <v>0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168.08890945052406</v>
      </c>
      <c r="FK132" s="59">
        <f t="shared" si="102"/>
        <v>182.52462557642343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0.87451059020262067</v>
      </c>
      <c r="FR132" s="21">
        <f>EXP(-LN(2)/25)*FR131+(1-EXP(-LN(2)/25))/(LN(2)/25)*Calculateur!FM132*Calculateur!FO132*VLOOKUP('Données projet'!$B$16,Paramètres!$A$1:$I$89,3,0)*0.475*44/12</f>
        <v>0.79234690863147927</v>
      </c>
      <c r="FS132" s="21">
        <f>EXP(-LN(2)/2)*FS131+(1-EXP(-LN(2)/2))/(LN(2)/2)*FM132*FP132*VLOOKUP('Données projet'!$B$16,Paramètres!$A$1:$I$89,3,0)*0.475*44/12</f>
        <v>6.8401924230764794E-15</v>
      </c>
      <c r="FT132" s="22">
        <f t="shared" ref="FT132:FT153" si="132">SUM(FQ132:FS132)</f>
        <v>1.6668574988341069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-5.6843418860808015E-14</v>
      </c>
      <c r="GA132" s="17">
        <f>FZ132*VLOOKUP('Données projet'!$B$17,Paramètres!$A$1:$I$89,3,0)*VLOOKUP('Données projet'!$B$17,Paramètres!$A$1:$I$89,5,0)</f>
        <v>-3.2514435588382188E-14</v>
      </c>
      <c r="GB132" s="13" t="e">
        <f t="shared" si="103"/>
        <v>#NUM!</v>
      </c>
      <c r="GC132" s="20" t="e">
        <f t="shared" ref="GC132:GC153" si="133">(GA132+GB132)*0.475*44/12</f>
        <v>#NUM!</v>
      </c>
      <c r="GD132" s="59" t="e">
        <f t="shared" ref="GD132:GD195" si="134">GC132+(FU132+FV132)*44/12</f>
        <v>#NUM!</v>
      </c>
      <c r="GE132" s="59">
        <f ca="1">AVERAGE(OFFSET($GD$3,0,0,'Données projet'!$E$17+1,1))-AVERAGE(OFFSET($H$3,0,0,'Données projet'!$E$17+1,1))</f>
        <v>196.95560009657527</v>
      </c>
      <c r="GF132" s="59">
        <f t="shared" si="104"/>
        <v>168.90186968005662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0</v>
      </c>
      <c r="GM132" s="21">
        <f>EXP(-LN(2)/25)*GM131+(1-EXP(-LN(2)/25))/(LN(2)/25)*Calculateur!GH132*Calculateur!GJ132*VLOOKUP('Données projet'!$B$17,Paramètres!$A$1:$I$89,3,0)*0.475*44/12</f>
        <v>0.59315350000884404</v>
      </c>
      <c r="GN132" s="21">
        <f>EXP(-LN(2)/2)*GN131+(1-EXP(-LN(2)/2))/(LN(2)/2)*GH132*GK132*VLOOKUP('Données projet'!$B$17,Paramètres!$A$1:$I$89,3,0)*0.475*44/12</f>
        <v>1.6152581594144994E-14</v>
      </c>
      <c r="GO132" s="21">
        <f t="shared" ref="GO132:GO153" si="135">SUM(GL132:GN132)</f>
        <v>0.59315350000886014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-5.3205440053716299E-14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215.23235148064941</v>
      </c>
      <c r="T133" s="59">
        <f t="shared" ref="T133:T196" si="142">$T$3</f>
        <v>184.07239726900434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0.43260733454063055</v>
      </c>
      <c r="AA133" s="21">
        <f>EXP(-LN(2)/25)*AA132+(1-EXP(-LN(2)/25))/(LN(2)/25)*Calculateur!V133*Calculateur!X133*VLOOKUP('Données projet'!$B$9,Paramètres!$A$1:$I$89,3,0)*0.475*44/12</f>
        <v>0.49096652212457675</v>
      </c>
      <c r="AB133" s="21">
        <f>EXP(-LN(2)/2)*AB132+(1-EXP(-LN(2)/2))/(LN(2)/2)*V133*Y133*VLOOKUP('Données projet'!$B$9,Paramètres!$A$1:$I$89,3,0)*0.475*44/12</f>
        <v>8.7327269684820336E-15</v>
      </c>
      <c r="AC133" s="22">
        <f t="shared" si="111"/>
        <v>0.92357385666521608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5.6843418860808015E-14</v>
      </c>
      <c r="AJ133" s="13">
        <f>AI133*VLOOKUP('Données projet'!$B$10,Paramètres!$A$1:$I$89,3,0)*VLOOKUP('Données projet'!$B$10,Paramètres!$A$1:$I$89,5,0)</f>
        <v>4.1677594708744434E-14</v>
      </c>
      <c r="AK133" s="13">
        <f t="shared" ref="AK133:AK153" si="143">EXP(-1.0587+0.8836*LN(AJ133)+0.284)</f>
        <v>6.9326303456159188E-13</v>
      </c>
      <c r="AL133" s="20">
        <f t="shared" si="112"/>
        <v>1.2800215959791691E-12</v>
      </c>
      <c r="AM133" s="59">
        <f t="shared" si="113"/>
        <v>293.33333333333462</v>
      </c>
      <c r="AN133" s="59">
        <f ca="1">AVERAGE(OFFSET($AM$3,0,0,'Données projet'!$E$10+1,1))-AVERAGE(OFFSET($H$3,0,0,'Données projet'!$E$10+1,1))</f>
        <v>178.12968684094687</v>
      </c>
      <c r="AO133" s="59">
        <f t="shared" ref="AO133:AO196" si="144">$AO$3</f>
        <v>219.36004077210373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0.48052847402611198</v>
      </c>
      <c r="AW133" s="21">
        <f>EXP(-LN(2)/2)*AW132+(1-EXP(-LN(2)/2))/(LN(2)/2)*AQ133*AT133*VLOOKUP('Données projet'!$B$10,Paramètres!$A$1:$I$89,3,0)*0.475*44/12</f>
        <v>8.8085224427145967E-15</v>
      </c>
      <c r="AX133" s="21">
        <f t="shared" si="114"/>
        <v>0.48052847402612081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-5.6843418860808015E-14</v>
      </c>
      <c r="BE133" s="13">
        <f>BD133*VLOOKUP('Données projet'!$B$11,Paramètres!$A$1:$I$89,3,0)*VLOOKUP('Données projet'!$B$11,Paramètres!$A$1:$I$89,5,0)</f>
        <v>-4.9658410716801891E-14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114.02623091248347</v>
      </c>
      <c r="BJ133" s="59">
        <f t="shared" ref="BJ133:BJ196" si="146">$BJ$3</f>
        <v>185.51554083721635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0.26936449293573184</v>
      </c>
      <c r="BQ133" s="21">
        <f>EXP(-LN(2)/25)*BQ132+(1-EXP(-LN(2)/25))/(LN(2)/25)*Calculateur!BL133*Calculateur!BN133*VLOOKUP('Données projet'!$B$11,Paramètres!$A$1:$I$89,3,0)*0.475*44/12</f>
        <v>0.70350815794284316</v>
      </c>
      <c r="BR133" s="21">
        <f>EXP(-LN(2)/2)*BR132+(1-EXP(-LN(2)/2))/(LN(2)/2)*BL133*BO133*VLOOKUP('Données projet'!$B$11,Paramètres!$A$1:$I$89,3,0)*0.475*44/12</f>
        <v>1.5666821981618571E-14</v>
      </c>
      <c r="BS133" s="22">
        <f t="shared" si="117"/>
        <v>0.97287265087859065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-1.1368683772161603E-13</v>
      </c>
      <c r="BZ133" s="13">
        <f>BY133*VLOOKUP('Données projet'!$B$12,Paramètres!$A$1:$I$89,3,0)*VLOOKUP('Données projet'!$B$12,Paramètres!$A$1:$I$89,5,0)</f>
        <v>-1.0286385077051818E-13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237.22177246688199</v>
      </c>
      <c r="CE133" s="59">
        <f t="shared" ref="CE133:CE196" si="148">$CE$3</f>
        <v>149.27472147904302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0.19412113578061965</v>
      </c>
      <c r="CM133" s="21">
        <f>EXP(-LN(2)/2)*CM132+(1-EXP(-LN(2)/2))/(LN(2)/2)*CG133*CJ133*VLOOKUP('Données projet'!$B$12,Paramètres!$A$1:$I$89,3,0)*0.475*44/12</f>
        <v>5.4972451963206013E-15</v>
      </c>
      <c r="CN133" s="22">
        <f t="shared" si="120"/>
        <v>0.19412113578062515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-5.6843418860808015E-13</v>
      </c>
      <c r="CU133" s="17">
        <f>CT133*VLOOKUP('Données projet'!$B$13,Paramètres!$A$1:$I$89,3,0)*VLOOKUP('Données projet'!$B$13,Paramètres!$A$1:$I$89,5,0)</f>
        <v>-3.177547114319168E-13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326.31232746914907</v>
      </c>
      <c r="CZ133" s="59">
        <f t="shared" ref="CZ133:CZ196" si="150">$CZ$3</f>
        <v>330.17137761430297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0.63042753665809637</v>
      </c>
      <c r="DG133" s="21">
        <f>EXP(-LN(2)/25)*DG132+(1-EXP(-LN(2)/25))/(LN(2)/25)*Calculateur!DB133*Calculateur!DD133*VLOOKUP('Données projet'!$B$13,Paramètres!$A$1:$I$89,3,0)*0.475*44/12</f>
        <v>1.8858092667834823</v>
      </c>
      <c r="DH133" s="21">
        <f>EXP(-LN(2)/2)*DH132+(1-EXP(-LN(2)/2))/(LN(2)/2)*DB133*DE133*VLOOKUP('Données projet'!$B$13,Paramètres!$A$1:$I$89,3,0)*0.475*44/12</f>
        <v>2.8885417054200994E-14</v>
      </c>
      <c r="DI133" s="22">
        <f t="shared" si="123"/>
        <v>2.5162368034416076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6.2527760746888816E-13</v>
      </c>
      <c r="DP133" s="17">
        <f>DO133*VLOOKUP('Données projet'!$B$14,Paramètres!$A$1:$I$89,3,0)*VLOOKUP('Données projet'!$B$14,Paramètres!$A$1:$I$89,5,0)</f>
        <v>3.9017322706058616E-13</v>
      </c>
      <c r="DQ133" s="13">
        <f t="shared" ref="DQ133:DQ153" si="151">EXP(-1.0587+0.8836*LN(DP133)+0.284)</f>
        <v>5.0025007393608908E-12</v>
      </c>
      <c r="DR133" s="20">
        <f t="shared" si="124"/>
        <v>9.3922404915174053E-12</v>
      </c>
      <c r="DS133" s="59">
        <f t="shared" si="125"/>
        <v>293.33333333334269</v>
      </c>
      <c r="DT133" s="59">
        <f ca="1">AVERAGE(OFFSET($DS$3,0,0,'Données projet'!$E$14+1,1))-AVERAGE(OFFSET($H$3,0,0,'Données projet'!$E$14+1,1))</f>
        <v>209.93608079129638</v>
      </c>
      <c r="DU133" s="59">
        <f t="shared" ref="DU133:DU196" si="152">$DU$3</f>
        <v>240.15652428700969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0.95963599660428955</v>
      </c>
      <c r="EB133" s="21">
        <f>EXP(-LN(2)/25)*EB132+(1-EXP(-LN(2)/25))/(LN(2)/25)*Calculateur!DW133*Calculateur!DY133*VLOOKUP('Données projet'!$B$14,Paramètres!$A$1:$I$89,3,0)*0.475*44/12</f>
        <v>1.2992442786150562</v>
      </c>
      <c r="EC133" s="21">
        <f>EXP(-LN(2)/2)*EC132+(1-EXP(-LN(2)/2))/(LN(2)/2)*DW133*DZ133*VLOOKUP('Données projet'!$B$14,Paramètres!$A$1:$I$89,3,0)*0.475*44/12</f>
        <v>1.7933046606546469E-14</v>
      </c>
      <c r="ED133" s="22">
        <f t="shared" si="126"/>
        <v>2.2588802752193633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-4.5474735088646412E-13</v>
      </c>
      <c r="EK133" s="17">
        <f>EJ133*VLOOKUP('Données projet'!$B$15,Paramètres!$A$1:$I$89,3,0)*VLOOKUP('Données projet'!$B$15,Paramètres!$A$1:$I$89,5,0)</f>
        <v>-2.7193891583010558E-13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216.94426559495264</v>
      </c>
      <c r="EP133" s="59">
        <f t="shared" ref="EP133:EP196" si="154">$EP$3</f>
        <v>225.33715877618704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</v>
      </c>
      <c r="EW133" s="21">
        <f>EXP(-LN(2)/25)*EW132+(1-EXP(-LN(2)/25))/(LN(2)/25)*Calculateur!ER133*Calculateur!ET133*VLOOKUP('Données projet'!$B$15,Paramètres!$A$1:$I$89,3,0)*0.475*44/12</f>
        <v>0.8030789719906406</v>
      </c>
      <c r="EX133" s="21">
        <f>EXP(-LN(2)/2)*EX132+(1-EXP(-LN(2)/2))/(LN(2)/2)*ER133*EU133*VLOOKUP('Données projet'!$B$15,Paramètres!$A$1:$I$89,3,0)*0.475*44/12</f>
        <v>2.1075905353224097E-14</v>
      </c>
      <c r="EY133" s="22">
        <f t="shared" si="129"/>
        <v>0.80307897199066169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>
        <f>FE133*VLOOKUP('Données projet'!$B$16,Paramètres!$A$1:$I$89,3,0)*VLOOKUP('Données projet'!$B$16,Paramètres!$A$1:$I$89,5,0)</f>
        <v>0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168.08890945052406</v>
      </c>
      <c r="FK133" s="59">
        <f t="shared" ref="FK133:FK196" si="156">$FK$3</f>
        <v>182.52462557642343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0.85736197092753852</v>
      </c>
      <c r="FR133" s="21">
        <f>EXP(-LN(2)/25)*FR132+(1-EXP(-LN(2)/25))/(LN(2)/25)*Calculateur!FM133*Calculateur!FO133*VLOOKUP('Données projet'!$B$16,Paramètres!$A$1:$I$89,3,0)*0.475*44/12</f>
        <v>0.77068014074723845</v>
      </c>
      <c r="FS133" s="21">
        <f>EXP(-LN(2)/2)*FS132+(1-EXP(-LN(2)/2))/(LN(2)/2)*FM133*FP133*VLOOKUP('Données projet'!$B$16,Paramètres!$A$1:$I$89,3,0)*0.475*44/12</f>
        <v>4.8367464469782204E-15</v>
      </c>
      <c r="FT133" s="22">
        <f t="shared" si="132"/>
        <v>1.6280421116747819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-5.6843418860808015E-14</v>
      </c>
      <c r="GA133" s="17">
        <f>FZ133*VLOOKUP('Données projet'!$B$17,Paramètres!$A$1:$I$89,3,0)*VLOOKUP('Données projet'!$B$17,Paramètres!$A$1:$I$89,5,0)</f>
        <v>-3.2514435588382188E-14</v>
      </c>
      <c r="GB133" s="13" t="e">
        <f t="shared" ref="GB133:GB153" si="157">EXP(-1.0587+0.8836*LN(GA133)+0.284)</f>
        <v>#NUM!</v>
      </c>
      <c r="GC133" s="20" t="e">
        <f t="shared" si="133"/>
        <v>#NUM!</v>
      </c>
      <c r="GD133" s="59" t="e">
        <f t="shared" si="134"/>
        <v>#NUM!</v>
      </c>
      <c r="GE133" s="59">
        <f ca="1">AVERAGE(OFFSET($GD$3,0,0,'Données projet'!$E$17+1,1))-AVERAGE(OFFSET($H$3,0,0,'Données projet'!$E$17+1,1))</f>
        <v>196.95560009657527</v>
      </c>
      <c r="GF133" s="59">
        <f t="shared" ref="GF133:GF196" si="158">$GF$3</f>
        <v>168.90186968005662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0</v>
      </c>
      <c r="GM133" s="21">
        <f>EXP(-LN(2)/25)*GM132+(1-EXP(-LN(2)/25))/(LN(2)/25)*Calculateur!GH133*Calculateur!GJ133*VLOOKUP('Données projet'!$B$17,Paramètres!$A$1:$I$89,3,0)*0.475*44/12</f>
        <v>0.57693368635851527</v>
      </c>
      <c r="GN133" s="21">
        <f>EXP(-LN(2)/2)*GN132+(1-EXP(-LN(2)/2))/(LN(2)/2)*GH133*GK133*VLOOKUP('Données projet'!$B$17,Paramètres!$A$1:$I$89,3,0)*0.475*44/12</f>
        <v>1.1421599978888939E-14</v>
      </c>
      <c r="GO133" s="21">
        <f t="shared" si="135"/>
        <v>0.57693368635852671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-5.3205440053716299E-14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215.23235148064941</v>
      </c>
      <c r="T134" s="59">
        <f t="shared" si="142"/>
        <v>184.07239726900434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0.42412416857470842</v>
      </c>
      <c r="AA134" s="21">
        <f>EXP(-LN(2)/25)*AA133+(1-EXP(-LN(2)/25))/(LN(2)/25)*Calculateur!V134*Calculateur!X134*VLOOKUP('Données projet'!$B$9,Paramètres!$A$1:$I$89,3,0)*0.475*44/12</f>
        <v>0.47754101675827293</v>
      </c>
      <c r="AB134" s="21">
        <f>EXP(-LN(2)/2)*AB133+(1-EXP(-LN(2)/2))/(LN(2)/2)*V134*Y134*VLOOKUP('Données projet'!$B$9,Paramètres!$A$1:$I$89,3,0)*0.475*44/12</f>
        <v>6.1749704576642879E-15</v>
      </c>
      <c r="AC134" s="22">
        <f t="shared" si="111"/>
        <v>0.90166518533298756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5.6843418860808015E-14</v>
      </c>
      <c r="AJ134" s="13">
        <f>AI134*VLOOKUP('Données projet'!$B$10,Paramètres!$A$1:$I$89,3,0)*VLOOKUP('Données projet'!$B$10,Paramètres!$A$1:$I$89,5,0)</f>
        <v>4.1677594708744434E-14</v>
      </c>
      <c r="AK134" s="13">
        <f t="shared" si="143"/>
        <v>6.9326303456159188E-13</v>
      </c>
      <c r="AL134" s="20">
        <f t="shared" si="112"/>
        <v>1.2800215959791691E-12</v>
      </c>
      <c r="AM134" s="59">
        <f t="shared" si="113"/>
        <v>293.33333333333462</v>
      </c>
      <c r="AN134" s="59">
        <f ca="1">AVERAGE(OFFSET($AM$3,0,0,'Données projet'!$E$10+1,1))-AVERAGE(OFFSET($H$3,0,0,'Données projet'!$E$10+1,1))</f>
        <v>178.12968684094687</v>
      </c>
      <c r="AO134" s="59">
        <f t="shared" si="144"/>
        <v>219.36004077210373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0.46738839763397377</v>
      </c>
      <c r="AW134" s="21">
        <f>EXP(-LN(2)/2)*AW133+(1-EXP(-LN(2)/2))/(LN(2)/2)*AQ134*AT134*VLOOKUP('Données projet'!$B$10,Paramètres!$A$1:$I$89,3,0)*0.475*44/12</f>
        <v>6.2285659514773835E-15</v>
      </c>
      <c r="AX134" s="21">
        <f t="shared" si="114"/>
        <v>0.46738839763397999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-5.6843418860808015E-14</v>
      </c>
      <c r="BE134" s="13">
        <f>BD134*VLOOKUP('Données projet'!$B$11,Paramètres!$A$1:$I$89,3,0)*VLOOKUP('Données projet'!$B$11,Paramètres!$A$1:$I$89,5,0)</f>
        <v>-4.9658410716801891E-14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114.02623091248347</v>
      </c>
      <c r="BJ134" s="59">
        <f t="shared" si="146"/>
        <v>185.51554083721635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0.26408241952537992</v>
      </c>
      <c r="BQ134" s="21">
        <f>EXP(-LN(2)/25)*BQ133+(1-EXP(-LN(2)/25))/(LN(2)/25)*Calculateur!BL134*Calculateur!BN134*VLOOKUP('Données projet'!$B$11,Paramètres!$A$1:$I$89,3,0)*0.475*44/12</f>
        <v>0.68427069036801003</v>
      </c>
      <c r="BR134" s="21">
        <f>EXP(-LN(2)/2)*BR133+(1-EXP(-LN(2)/2))/(LN(2)/2)*BL134*BO134*VLOOKUP('Données projet'!$B$11,Paramètres!$A$1:$I$89,3,0)*0.475*44/12</f>
        <v>1.1078116062844956E-14</v>
      </c>
      <c r="BS134" s="22">
        <f t="shared" si="117"/>
        <v>0.94835310989340105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-1.1368683772161603E-13</v>
      </c>
      <c r="BZ134" s="13">
        <f>BY134*VLOOKUP('Données projet'!$B$12,Paramètres!$A$1:$I$89,3,0)*VLOOKUP('Données projet'!$B$12,Paramètres!$A$1:$I$89,5,0)</f>
        <v>-1.0286385077051818E-13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237.22177246688199</v>
      </c>
      <c r="CE134" s="59">
        <f t="shared" si="148"/>
        <v>149.27472147904302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0.18881288311431174</v>
      </c>
      <c r="CM134" s="21">
        <f>EXP(-LN(2)/2)*CM133+(1-EXP(-LN(2)/2))/(LN(2)/2)*CG134*CJ134*VLOOKUP('Données projet'!$B$12,Paramètres!$A$1:$I$89,3,0)*0.475*44/12</f>
        <v>3.8871393561634708E-15</v>
      </c>
      <c r="CN134" s="22">
        <f t="shared" si="120"/>
        <v>0.18881288311431563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-5.6843418860808015E-13</v>
      </c>
      <c r="CU134" s="17">
        <f>CT134*VLOOKUP('Données projet'!$B$13,Paramètres!$A$1:$I$89,3,0)*VLOOKUP('Données projet'!$B$13,Paramètres!$A$1:$I$89,5,0)</f>
        <v>-3.177547114319168E-13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326.31232746914907</v>
      </c>
      <c r="CZ134" s="59">
        <f t="shared" si="150"/>
        <v>330.17137761430297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0.61806523718705997</v>
      </c>
      <c r="DG134" s="21">
        <f>EXP(-LN(2)/25)*DG133+(1-EXP(-LN(2)/25))/(LN(2)/25)*Calculateur!DB134*Calculateur!DD134*VLOOKUP('Données projet'!$B$13,Paramètres!$A$1:$I$89,3,0)*0.475*44/12</f>
        <v>1.8342417132128888</v>
      </c>
      <c r="DH134" s="21">
        <f>EXP(-LN(2)/2)*DH133+(1-EXP(-LN(2)/2))/(LN(2)/2)*DB134*DE134*VLOOKUP('Données projet'!$B$13,Paramètres!$A$1:$I$89,3,0)*0.475*44/12</f>
        <v>2.042507427642707E-14</v>
      </c>
      <c r="DI134" s="22">
        <f t="shared" si="123"/>
        <v>2.452306950399969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6.2527760746888816E-13</v>
      </c>
      <c r="DP134" s="17">
        <f>DO134*VLOOKUP('Données projet'!$B$14,Paramètres!$A$1:$I$89,3,0)*VLOOKUP('Données projet'!$B$14,Paramètres!$A$1:$I$89,5,0)</f>
        <v>3.9017322706058616E-13</v>
      </c>
      <c r="DQ134" s="13">
        <f t="shared" si="151"/>
        <v>5.0025007393608908E-12</v>
      </c>
      <c r="DR134" s="20">
        <f t="shared" si="124"/>
        <v>9.3922404915174053E-12</v>
      </c>
      <c r="DS134" s="59">
        <f t="shared" si="125"/>
        <v>293.33333333334269</v>
      </c>
      <c r="DT134" s="59">
        <f ca="1">AVERAGE(OFFSET($DS$3,0,0,'Données projet'!$E$14+1,1))-AVERAGE(OFFSET($H$3,0,0,'Données projet'!$E$14+1,1))</f>
        <v>209.93608079129638</v>
      </c>
      <c r="DU134" s="59">
        <f t="shared" si="152"/>
        <v>240.15652428700969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0.94081812003104182</v>
      </c>
      <c r="EB134" s="21">
        <f>EXP(-LN(2)/25)*EB133+(1-EXP(-LN(2)/25))/(LN(2)/25)*Calculateur!DW134*Calculateur!DY134*VLOOKUP('Données projet'!$B$14,Paramètres!$A$1:$I$89,3,0)*0.475*44/12</f>
        <v>1.2637163754920404</v>
      </c>
      <c r="EC134" s="21">
        <f>EXP(-LN(2)/2)*EC133+(1-EXP(-LN(2)/2))/(LN(2)/2)*DW134*DZ134*VLOOKUP('Données projet'!$B$14,Paramètres!$A$1:$I$89,3,0)*0.475*44/12</f>
        <v>1.2680578862823413E-14</v>
      </c>
      <c r="ED134" s="22">
        <f t="shared" si="126"/>
        <v>2.2045344955230952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-4.5474735088646412E-13</v>
      </c>
      <c r="EK134" s="17">
        <f>EJ134*VLOOKUP('Données projet'!$B$15,Paramètres!$A$1:$I$89,3,0)*VLOOKUP('Données projet'!$B$15,Paramètres!$A$1:$I$89,5,0)</f>
        <v>-2.7193891583010558E-13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216.94426559495264</v>
      </c>
      <c r="EP134" s="59">
        <f t="shared" si="154"/>
        <v>225.33715877618704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</v>
      </c>
      <c r="EW134" s="21">
        <f>EXP(-LN(2)/25)*EW133+(1-EXP(-LN(2)/25))/(LN(2)/25)*Calculateur!ER134*Calculateur!ET134*VLOOKUP('Données projet'!$B$15,Paramètres!$A$1:$I$89,3,0)*0.475*44/12</f>
        <v>0.78111873526946884</v>
      </c>
      <c r="EX134" s="21">
        <f>EXP(-LN(2)/2)*EX133+(1-EXP(-LN(2)/2))/(LN(2)/2)*ER134*EU134*VLOOKUP('Données projet'!$B$15,Paramètres!$A$1:$I$89,3,0)*0.475*44/12</f>
        <v>1.4902915594910617E-14</v>
      </c>
      <c r="EY134" s="22">
        <f t="shared" si="129"/>
        <v>0.78111873526948372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>
        <f>FE134*VLOOKUP('Données projet'!$B$16,Paramètres!$A$1:$I$89,3,0)*VLOOKUP('Données projet'!$B$16,Paramètres!$A$1:$I$89,5,0)</f>
        <v>0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168.08890945052406</v>
      </c>
      <c r="FK134" s="59">
        <f t="shared" si="156"/>
        <v>182.52462557642343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0.84054962561681579</v>
      </c>
      <c r="FR134" s="21">
        <f>EXP(-LN(2)/25)*FR133+(1-EXP(-LN(2)/25))/(LN(2)/25)*Calculateur!FM134*Calculateur!FO134*VLOOKUP('Données projet'!$B$16,Paramètres!$A$1:$I$89,3,0)*0.475*44/12</f>
        <v>0.74960585177019801</v>
      </c>
      <c r="FS134" s="21">
        <f>EXP(-LN(2)/2)*FS133+(1-EXP(-LN(2)/2))/(LN(2)/2)*FM134*FP134*VLOOKUP('Données projet'!$B$16,Paramètres!$A$1:$I$89,3,0)*0.475*44/12</f>
        <v>3.4200962115382397E-15</v>
      </c>
      <c r="FT134" s="22">
        <f t="shared" si="132"/>
        <v>1.590155477387017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-5.6843418860808015E-14</v>
      </c>
      <c r="GA134" s="17">
        <f>FZ134*VLOOKUP('Données projet'!$B$17,Paramètres!$A$1:$I$89,3,0)*VLOOKUP('Données projet'!$B$17,Paramètres!$A$1:$I$89,5,0)</f>
        <v>-3.2514435588382188E-14</v>
      </c>
      <c r="GB134" s="13" t="e">
        <f t="shared" si="157"/>
        <v>#NUM!</v>
      </c>
      <c r="GC134" s="20" t="e">
        <f t="shared" si="133"/>
        <v>#NUM!</v>
      </c>
      <c r="GD134" s="59" t="e">
        <f t="shared" si="134"/>
        <v>#NUM!</v>
      </c>
      <c r="GE134" s="59">
        <f ca="1">AVERAGE(OFFSET($GD$3,0,0,'Données projet'!$E$17+1,1))-AVERAGE(OFFSET($H$3,0,0,'Données projet'!$E$17+1,1))</f>
        <v>196.95560009657527</v>
      </c>
      <c r="GF134" s="59">
        <f t="shared" si="158"/>
        <v>168.90186968005662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0</v>
      </c>
      <c r="GM134" s="21">
        <f>EXP(-LN(2)/25)*GM133+(1-EXP(-LN(2)/25))/(LN(2)/25)*Calculateur!GH134*Calculateur!GJ134*VLOOKUP('Données projet'!$B$17,Paramètres!$A$1:$I$89,3,0)*0.475*44/12</f>
        <v>0.56115740436541772</v>
      </c>
      <c r="GN134" s="21">
        <f>EXP(-LN(2)/2)*GN133+(1-EXP(-LN(2)/2))/(LN(2)/2)*GH134*GK134*VLOOKUP('Données projet'!$B$17,Paramètres!$A$1:$I$89,3,0)*0.475*44/12</f>
        <v>8.0762907970724969E-15</v>
      </c>
      <c r="GO134" s="21">
        <f t="shared" si="135"/>
        <v>0.56115740436542583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-5.3205440053716299E-14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215.23235148064941</v>
      </c>
      <c r="T135" s="59">
        <f t="shared" si="142"/>
        <v>184.07239726900434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0.41580735231915766</v>
      </c>
      <c r="AA135" s="21">
        <f>EXP(-LN(2)/25)*AA134+(1-EXP(-LN(2)/25))/(LN(2)/25)*Calculateur!V135*Calculateur!X135*VLOOKUP('Données projet'!$B$9,Paramètres!$A$1:$I$89,3,0)*0.475*44/12</f>
        <v>0.46448263254222732</v>
      </c>
      <c r="AB135" s="21">
        <f>EXP(-LN(2)/2)*AB134+(1-EXP(-LN(2)/2))/(LN(2)/2)*V135*Y135*VLOOKUP('Données projet'!$B$9,Paramètres!$A$1:$I$89,3,0)*0.475*44/12</f>
        <v>4.3663634842410168E-15</v>
      </c>
      <c r="AC135" s="22">
        <f t="shared" si="111"/>
        <v>0.88028998486138932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5.6843418860808015E-14</v>
      </c>
      <c r="AJ135" s="13">
        <f>AI135*VLOOKUP('Données projet'!$B$10,Paramètres!$A$1:$I$89,3,0)*VLOOKUP('Données projet'!$B$10,Paramètres!$A$1:$I$89,5,0)</f>
        <v>4.1677594708744434E-14</v>
      </c>
      <c r="AK135" s="13">
        <f t="shared" si="143"/>
        <v>6.9326303456159188E-13</v>
      </c>
      <c r="AL135" s="20">
        <f t="shared" si="112"/>
        <v>1.2800215959791691E-12</v>
      </c>
      <c r="AM135" s="59">
        <f t="shared" si="113"/>
        <v>293.33333333333462</v>
      </c>
      <c r="AN135" s="59">
        <f ca="1">AVERAGE(OFFSET($AM$3,0,0,'Données projet'!$E$10+1,1))-AVERAGE(OFFSET($H$3,0,0,'Données projet'!$E$10+1,1))</f>
        <v>178.12968684094687</v>
      </c>
      <c r="AO135" s="59">
        <f t="shared" si="144"/>
        <v>219.36004077210373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0.45460763732178516</v>
      </c>
      <c r="AW135" s="21">
        <f>EXP(-LN(2)/2)*AW134+(1-EXP(-LN(2)/2))/(LN(2)/2)*AQ135*AT135*VLOOKUP('Données projet'!$B$10,Paramètres!$A$1:$I$89,3,0)*0.475*44/12</f>
        <v>4.4042612213572984E-15</v>
      </c>
      <c r="AX135" s="21">
        <f t="shared" si="114"/>
        <v>0.45460763732178955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-5.6843418860808015E-14</v>
      </c>
      <c r="BE135" s="13">
        <f>BD135*VLOOKUP('Données projet'!$B$11,Paramètres!$A$1:$I$89,3,0)*VLOOKUP('Données projet'!$B$11,Paramètres!$A$1:$I$89,5,0)</f>
        <v>-4.9658410716801891E-14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114.02623091248347</v>
      </c>
      <c r="BJ135" s="59">
        <f t="shared" si="146"/>
        <v>185.51554083721635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0.25890392435285836</v>
      </c>
      <c r="BQ135" s="21">
        <f>EXP(-LN(2)/25)*BQ134+(1-EXP(-LN(2)/25))/(LN(2)/25)*Calculateur!BL135*Calculateur!BN135*VLOOKUP('Données projet'!$B$11,Paramètres!$A$1:$I$89,3,0)*0.475*44/12</f>
        <v>0.66555927235566514</v>
      </c>
      <c r="BR135" s="21">
        <f>EXP(-LN(2)/2)*BR134+(1-EXP(-LN(2)/2))/(LN(2)/2)*BL135*BO135*VLOOKUP('Données projet'!$B$11,Paramètres!$A$1:$I$89,3,0)*0.475*44/12</f>
        <v>7.8334109908092855E-15</v>
      </c>
      <c r="BS135" s="22">
        <f t="shared" si="117"/>
        <v>0.92446319670853139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-1.1368683772161603E-13</v>
      </c>
      <c r="BZ135" s="13">
        <f>BY135*VLOOKUP('Données projet'!$B$12,Paramètres!$A$1:$I$89,3,0)*VLOOKUP('Données projet'!$B$12,Paramètres!$A$1:$I$89,5,0)</f>
        <v>-1.0286385077051818E-13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237.22177246688199</v>
      </c>
      <c r="CE135" s="59">
        <f t="shared" si="148"/>
        <v>149.27472147904302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0.1836497848963129</v>
      </c>
      <c r="CM135" s="21">
        <f>EXP(-LN(2)/2)*CM134+(1-EXP(-LN(2)/2))/(LN(2)/2)*CG135*CJ135*VLOOKUP('Données projet'!$B$12,Paramètres!$A$1:$I$89,3,0)*0.475*44/12</f>
        <v>2.7486225981603006E-15</v>
      </c>
      <c r="CN135" s="22">
        <f t="shared" si="120"/>
        <v>0.18364978489631564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-5.6843418860808015E-13</v>
      </c>
      <c r="CU135" s="17">
        <f>CT135*VLOOKUP('Données projet'!$B$13,Paramètres!$A$1:$I$89,3,0)*VLOOKUP('Données projet'!$B$13,Paramètres!$A$1:$I$89,5,0)</f>
        <v>-3.177547114319168E-13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326.31232746914907</v>
      </c>
      <c r="CZ135" s="59">
        <f t="shared" si="150"/>
        <v>330.17137761430297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0.60594535486839252</v>
      </c>
      <c r="DG135" s="21">
        <f>EXP(-LN(2)/25)*DG134+(1-EXP(-LN(2)/25))/(LN(2)/25)*Calculateur!DB135*Calculateur!DD135*VLOOKUP('Données projet'!$B$13,Paramètres!$A$1:$I$89,3,0)*0.475*44/12</f>
        <v>1.7840842771065029</v>
      </c>
      <c r="DH135" s="21">
        <f>EXP(-LN(2)/2)*DH134+(1-EXP(-LN(2)/2))/(LN(2)/2)*DB135*DE135*VLOOKUP('Données projet'!$B$13,Paramètres!$A$1:$I$89,3,0)*0.475*44/12</f>
        <v>1.4442708527100497E-14</v>
      </c>
      <c r="DI135" s="22">
        <f t="shared" si="123"/>
        <v>2.3900296319749099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6.2527760746888816E-13</v>
      </c>
      <c r="DP135" s="17">
        <f>DO135*VLOOKUP('Données projet'!$B$14,Paramètres!$A$1:$I$89,3,0)*VLOOKUP('Données projet'!$B$14,Paramètres!$A$1:$I$89,5,0)</f>
        <v>3.9017322706058616E-13</v>
      </c>
      <c r="DQ135" s="13">
        <f t="shared" si="151"/>
        <v>5.0025007393608908E-12</v>
      </c>
      <c r="DR135" s="20">
        <f t="shared" si="124"/>
        <v>9.3922404915174053E-12</v>
      </c>
      <c r="DS135" s="59">
        <f t="shared" si="125"/>
        <v>293.33333333334269</v>
      </c>
      <c r="DT135" s="59">
        <f ca="1">AVERAGE(OFFSET($DS$3,0,0,'Données projet'!$E$14+1,1))-AVERAGE(OFFSET($H$3,0,0,'Données projet'!$E$14+1,1))</f>
        <v>209.93608079129638</v>
      </c>
      <c r="DU135" s="59">
        <f t="shared" si="152"/>
        <v>240.15652428700969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0.92236925053962404</v>
      </c>
      <c r="EB135" s="21">
        <f>EXP(-LN(2)/25)*EB134+(1-EXP(-LN(2)/25))/(LN(2)/25)*Calculateur!DW135*Calculateur!DY135*VLOOKUP('Données projet'!$B$14,Paramètres!$A$1:$I$89,3,0)*0.475*44/12</f>
        <v>1.2291599847482546</v>
      </c>
      <c r="EC135" s="21">
        <f>EXP(-LN(2)/2)*EC134+(1-EXP(-LN(2)/2))/(LN(2)/2)*DW135*DZ135*VLOOKUP('Données projet'!$B$14,Paramètres!$A$1:$I$89,3,0)*0.475*44/12</f>
        <v>8.9665233032732346E-15</v>
      </c>
      <c r="ED135" s="22">
        <f t="shared" si="126"/>
        <v>2.1515292352878874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-4.5474735088646412E-13</v>
      </c>
      <c r="EK135" s="17">
        <f>EJ135*VLOOKUP('Données projet'!$B$15,Paramètres!$A$1:$I$89,3,0)*VLOOKUP('Données projet'!$B$15,Paramètres!$A$1:$I$89,5,0)</f>
        <v>-2.7193891583010558E-13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216.94426559495264</v>
      </c>
      <c r="EP135" s="59">
        <f t="shared" si="154"/>
        <v>225.33715877618704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</v>
      </c>
      <c r="EW135" s="21">
        <f>EXP(-LN(2)/25)*EW134+(1-EXP(-LN(2)/25))/(LN(2)/25)*Calculateur!ER135*Calculateur!ET135*VLOOKUP('Données projet'!$B$15,Paramètres!$A$1:$I$89,3,0)*0.475*44/12</f>
        <v>0.75975900237627625</v>
      </c>
      <c r="EX135" s="21">
        <f>EXP(-LN(2)/2)*EX134+(1-EXP(-LN(2)/2))/(LN(2)/2)*ER135*EU135*VLOOKUP('Données projet'!$B$15,Paramètres!$A$1:$I$89,3,0)*0.475*44/12</f>
        <v>1.0537952676612049E-14</v>
      </c>
      <c r="EY135" s="22">
        <f t="shared" si="129"/>
        <v>0.7597590023762868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>
        <f>FE135*VLOOKUP('Données projet'!$B$16,Paramètres!$A$1:$I$89,3,0)*VLOOKUP('Données projet'!$B$16,Paramètres!$A$1:$I$89,5,0)</f>
        <v>0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168.08890945052406</v>
      </c>
      <c r="FK135" s="59">
        <f t="shared" si="156"/>
        <v>182.52462557642343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0.8240669601431182</v>
      </c>
      <c r="FR135" s="21">
        <f>EXP(-LN(2)/25)*FR134+(1-EXP(-LN(2)/25))/(LN(2)/25)*Calculateur!FM135*Calculateur!FO135*VLOOKUP('Données projet'!$B$16,Paramètres!$A$1:$I$89,3,0)*0.475*44/12</f>
        <v>0.72910784033348341</v>
      </c>
      <c r="FS135" s="21">
        <f>EXP(-LN(2)/2)*FS134+(1-EXP(-LN(2)/2))/(LN(2)/2)*FM135*FP135*VLOOKUP('Données projet'!$B$16,Paramètres!$A$1:$I$89,3,0)*0.475*44/12</f>
        <v>2.4183732234891102E-15</v>
      </c>
      <c r="FT135" s="22">
        <f t="shared" si="132"/>
        <v>1.5531748004766042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-5.6843418860808015E-14</v>
      </c>
      <c r="GA135" s="17">
        <f>FZ135*VLOOKUP('Données projet'!$B$17,Paramètres!$A$1:$I$89,3,0)*VLOOKUP('Données projet'!$B$17,Paramètres!$A$1:$I$89,5,0)</f>
        <v>-3.2514435588382188E-14</v>
      </c>
      <c r="GB135" s="13" t="e">
        <f t="shared" si="157"/>
        <v>#NUM!</v>
      </c>
      <c r="GC135" s="20" t="e">
        <f t="shared" si="133"/>
        <v>#NUM!</v>
      </c>
      <c r="GD135" s="59" t="e">
        <f t="shared" si="134"/>
        <v>#NUM!</v>
      </c>
      <c r="GE135" s="59">
        <f ca="1">AVERAGE(OFFSET($GD$3,0,0,'Données projet'!$E$17+1,1))-AVERAGE(OFFSET($H$3,0,0,'Données projet'!$E$17+1,1))</f>
        <v>196.95560009657527</v>
      </c>
      <c r="GF135" s="59">
        <f t="shared" si="158"/>
        <v>168.90186968005662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0</v>
      </c>
      <c r="GM135" s="21">
        <f>EXP(-LN(2)/25)*GM134+(1-EXP(-LN(2)/25))/(LN(2)/25)*Calculateur!GH135*Calculateur!GJ135*VLOOKUP('Données projet'!$B$17,Paramètres!$A$1:$I$89,3,0)*0.475*44/12</f>
        <v>0.54581252563306004</v>
      </c>
      <c r="GN135" s="21">
        <f>EXP(-LN(2)/2)*GN134+(1-EXP(-LN(2)/2))/(LN(2)/2)*GH135*GK135*VLOOKUP('Données projet'!$B$17,Paramètres!$A$1:$I$89,3,0)*0.475*44/12</f>
        <v>5.7107999894444696E-15</v>
      </c>
      <c r="GO135" s="21">
        <f t="shared" si="135"/>
        <v>0.5458125256330657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-5.3205440053716299E-14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215.23235148064941</v>
      </c>
      <c r="T136" s="59">
        <f t="shared" si="142"/>
        <v>184.07239726900434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0.40765362375762126</v>
      </c>
      <c r="AA136" s="21">
        <f>EXP(-LN(2)/25)*AA135+(1-EXP(-LN(2)/25))/(LN(2)/25)*Calculateur!V136*Calculateur!X136*VLOOKUP('Données projet'!$B$9,Paramètres!$A$1:$I$89,3,0)*0.475*44/12</f>
        <v>0.45178133052928005</v>
      </c>
      <c r="AB136" s="21">
        <f>EXP(-LN(2)/2)*AB135+(1-EXP(-LN(2)/2))/(LN(2)/2)*V136*Y136*VLOOKUP('Données projet'!$B$9,Paramètres!$A$1:$I$89,3,0)*0.475*44/12</f>
        <v>3.087485228832144E-15</v>
      </c>
      <c r="AC136" s="22">
        <f t="shared" si="111"/>
        <v>0.85943495428690442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5.6843418860808015E-14</v>
      </c>
      <c r="AJ136" s="13">
        <f>AI136*VLOOKUP('Données projet'!$B$10,Paramètres!$A$1:$I$89,3,0)*VLOOKUP('Données projet'!$B$10,Paramètres!$A$1:$I$89,5,0)</f>
        <v>4.1677594708744434E-14</v>
      </c>
      <c r="AK136" s="13">
        <f t="shared" si="143"/>
        <v>6.9326303456159188E-13</v>
      </c>
      <c r="AL136" s="20">
        <f t="shared" si="112"/>
        <v>1.2800215959791691E-12</v>
      </c>
      <c r="AM136" s="59">
        <f t="shared" si="113"/>
        <v>293.33333333333462</v>
      </c>
      <c r="AN136" s="59">
        <f ca="1">AVERAGE(OFFSET($AM$3,0,0,'Données projet'!$E$10+1,1))-AVERAGE(OFFSET($H$3,0,0,'Données projet'!$E$10+1,1))</f>
        <v>178.12968684094687</v>
      </c>
      <c r="AO136" s="59">
        <f t="shared" si="144"/>
        <v>219.36004077210373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0.44217636757244433</v>
      </c>
      <c r="AW136" s="21">
        <f>EXP(-LN(2)/2)*AW135+(1-EXP(-LN(2)/2))/(LN(2)/2)*AQ136*AT136*VLOOKUP('Données projet'!$B$10,Paramètres!$A$1:$I$89,3,0)*0.475*44/12</f>
        <v>3.1142829757386918E-15</v>
      </c>
      <c r="AX136" s="21">
        <f t="shared" si="114"/>
        <v>0.44217636757244744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-5.6843418860808015E-14</v>
      </c>
      <c r="BE136" s="13">
        <f>BD136*VLOOKUP('Données projet'!$B$11,Paramètres!$A$1:$I$89,3,0)*VLOOKUP('Données projet'!$B$11,Paramètres!$A$1:$I$89,5,0)</f>
        <v>-4.9658410716801891E-14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114.02623091248347</v>
      </c>
      <c r="BJ136" s="59">
        <f t="shared" si="146"/>
        <v>185.51554083721635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0.25382697631209977</v>
      </c>
      <c r="BQ136" s="21">
        <f>EXP(-LN(2)/25)*BQ135+(1-EXP(-LN(2)/25))/(LN(2)/25)*Calculateur!BL136*Calculateur!BN136*VLOOKUP('Données projet'!$B$11,Paramètres!$A$1:$I$89,3,0)*0.475*44/12</f>
        <v>0.64735951905285849</v>
      </c>
      <c r="BR136" s="21">
        <f>EXP(-LN(2)/2)*BR135+(1-EXP(-LN(2)/2))/(LN(2)/2)*BL136*BO136*VLOOKUP('Données projet'!$B$11,Paramètres!$A$1:$I$89,3,0)*0.475*44/12</f>
        <v>5.539058031422478E-15</v>
      </c>
      <c r="BS136" s="22">
        <f t="shared" si="117"/>
        <v>0.90118649536496376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-1.1368683772161603E-13</v>
      </c>
      <c r="BZ136" s="13">
        <f>BY136*VLOOKUP('Données projet'!$B$12,Paramètres!$A$1:$I$89,3,0)*VLOOKUP('Données projet'!$B$12,Paramètres!$A$1:$I$89,5,0)</f>
        <v>-1.0286385077051818E-13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237.22177246688199</v>
      </c>
      <c r="CE136" s="59">
        <f t="shared" si="148"/>
        <v>149.27472147904302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0.17862787187060078</v>
      </c>
      <c r="CM136" s="21">
        <f>EXP(-LN(2)/2)*CM135+(1-EXP(-LN(2)/2))/(LN(2)/2)*CG136*CJ136*VLOOKUP('Données projet'!$B$12,Paramètres!$A$1:$I$89,3,0)*0.475*44/12</f>
        <v>1.9435696780817354E-15</v>
      </c>
      <c r="CN136" s="22">
        <f t="shared" si="120"/>
        <v>0.17862787187060272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-5.6843418860808015E-13</v>
      </c>
      <c r="CU136" s="17">
        <f>CT136*VLOOKUP('Données projet'!$B$13,Paramètres!$A$1:$I$89,3,0)*VLOOKUP('Données projet'!$B$13,Paramètres!$A$1:$I$89,5,0)</f>
        <v>-3.177547114319168E-13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326.31232746914907</v>
      </c>
      <c r="CZ136" s="59">
        <f t="shared" si="150"/>
        <v>330.17137761430297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0.59406313604959582</v>
      </c>
      <c r="DG136" s="21">
        <f>EXP(-LN(2)/25)*DG135+(1-EXP(-LN(2)/25))/(LN(2)/25)*Calculateur!DB136*Calculateur!DD136*VLOOKUP('Données projet'!$B$13,Paramètres!$A$1:$I$89,3,0)*0.475*44/12</f>
        <v>1.735298398728111</v>
      </c>
      <c r="DH136" s="21">
        <f>EXP(-LN(2)/2)*DH135+(1-EXP(-LN(2)/2))/(LN(2)/2)*DB136*DE136*VLOOKUP('Données projet'!$B$13,Paramètres!$A$1:$I$89,3,0)*0.475*44/12</f>
        <v>1.0212537138213535E-14</v>
      </c>
      <c r="DI136" s="22">
        <f t="shared" si="123"/>
        <v>2.3293615347777172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6.2527760746888816E-13</v>
      </c>
      <c r="DP136" s="17">
        <f>DO136*VLOOKUP('Données projet'!$B$14,Paramètres!$A$1:$I$89,3,0)*VLOOKUP('Données projet'!$B$14,Paramètres!$A$1:$I$89,5,0)</f>
        <v>3.9017322706058616E-13</v>
      </c>
      <c r="DQ136" s="13">
        <f t="shared" si="151"/>
        <v>5.0025007393608908E-12</v>
      </c>
      <c r="DR136" s="20">
        <f t="shared" si="124"/>
        <v>9.3922404915174053E-12</v>
      </c>
      <c r="DS136" s="59">
        <f t="shared" si="125"/>
        <v>293.33333333334269</v>
      </c>
      <c r="DT136" s="59">
        <f ca="1">AVERAGE(OFFSET($DS$3,0,0,'Données projet'!$E$14+1,1))-AVERAGE(OFFSET($H$3,0,0,'Données projet'!$E$14+1,1))</f>
        <v>209.93608079129638</v>
      </c>
      <c r="DU136" s="59">
        <f t="shared" si="152"/>
        <v>240.15652428700969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0.90428215212623375</v>
      </c>
      <c r="EB136" s="21">
        <f>EXP(-LN(2)/25)*EB135+(1-EXP(-LN(2)/25))/(LN(2)/25)*Calculateur!DW136*Calculateur!DY136*VLOOKUP('Données projet'!$B$14,Paramètres!$A$1:$I$89,3,0)*0.475*44/12</f>
        <v>1.1955485403265993</v>
      </c>
      <c r="EC136" s="21">
        <f>EXP(-LN(2)/2)*EC135+(1-EXP(-LN(2)/2))/(LN(2)/2)*DW136*DZ136*VLOOKUP('Données projet'!$B$14,Paramètres!$A$1:$I$89,3,0)*0.475*44/12</f>
        <v>6.3402894314117065E-15</v>
      </c>
      <c r="ED136" s="22">
        <f t="shared" si="126"/>
        <v>2.0998306924528394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-4.5474735088646412E-13</v>
      </c>
      <c r="EK136" s="17">
        <f>EJ136*VLOOKUP('Données projet'!$B$15,Paramètres!$A$1:$I$89,3,0)*VLOOKUP('Données projet'!$B$15,Paramètres!$A$1:$I$89,5,0)</f>
        <v>-2.7193891583010558E-13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216.94426559495264</v>
      </c>
      <c r="EP136" s="59">
        <f t="shared" si="154"/>
        <v>225.33715877618704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</v>
      </c>
      <c r="EW136" s="21">
        <f>EXP(-LN(2)/25)*EW135+(1-EXP(-LN(2)/25))/(LN(2)/25)*Calculateur!ER136*Calculateur!ET136*VLOOKUP('Données projet'!$B$15,Paramètres!$A$1:$I$89,3,0)*0.475*44/12</f>
        <v>0.73898335250230751</v>
      </c>
      <c r="EX136" s="21">
        <f>EXP(-LN(2)/2)*EX135+(1-EXP(-LN(2)/2))/(LN(2)/2)*ER136*EU136*VLOOKUP('Données projet'!$B$15,Paramètres!$A$1:$I$89,3,0)*0.475*44/12</f>
        <v>7.4514577974553085E-15</v>
      </c>
      <c r="EY136" s="22">
        <f t="shared" si="129"/>
        <v>0.73898335250231495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>
        <f>FE136*VLOOKUP('Données projet'!$B$16,Paramètres!$A$1:$I$89,3,0)*VLOOKUP('Données projet'!$B$16,Paramètres!$A$1:$I$89,5,0)</f>
        <v>0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168.08890945052406</v>
      </c>
      <c r="FK136" s="59">
        <f t="shared" si="156"/>
        <v>182.52462557642343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0.80790750968592662</v>
      </c>
      <c r="FR136" s="21">
        <f>EXP(-LN(2)/25)*FR135+(1-EXP(-LN(2)/25))/(LN(2)/25)*Calculateur!FM136*Calculateur!FO136*VLOOKUP('Données projet'!$B$16,Paramètres!$A$1:$I$89,3,0)*0.475*44/12</f>
        <v>0.70917034809744939</v>
      </c>
      <c r="FS136" s="21">
        <f>EXP(-LN(2)/2)*FS135+(1-EXP(-LN(2)/2))/(LN(2)/2)*FM136*FP136*VLOOKUP('Données projet'!$B$16,Paramètres!$A$1:$I$89,3,0)*0.475*44/12</f>
        <v>1.7100481057691199E-15</v>
      </c>
      <c r="FT136" s="22">
        <f t="shared" si="132"/>
        <v>1.5170778577833777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-5.6843418860808015E-14</v>
      </c>
      <c r="GA136" s="17">
        <f>FZ136*VLOOKUP('Données projet'!$B$17,Paramètres!$A$1:$I$89,3,0)*VLOOKUP('Données projet'!$B$17,Paramètres!$A$1:$I$89,5,0)</f>
        <v>-3.2514435588382188E-14</v>
      </c>
      <c r="GB136" s="13" t="e">
        <f t="shared" si="157"/>
        <v>#NUM!</v>
      </c>
      <c r="GC136" s="20" t="e">
        <f t="shared" si="133"/>
        <v>#NUM!</v>
      </c>
      <c r="GD136" s="59" t="e">
        <f t="shared" si="134"/>
        <v>#NUM!</v>
      </c>
      <c r="GE136" s="59">
        <f ca="1">AVERAGE(OFFSET($GD$3,0,0,'Données projet'!$E$17+1,1))-AVERAGE(OFFSET($H$3,0,0,'Données projet'!$E$17+1,1))</f>
        <v>196.95560009657527</v>
      </c>
      <c r="GF136" s="59">
        <f t="shared" si="158"/>
        <v>168.90186968005662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0</v>
      </c>
      <c r="GM136" s="21">
        <f>EXP(-LN(2)/25)*GM135+(1-EXP(-LN(2)/25))/(LN(2)/25)*Calculateur!GH136*Calculateur!GJ136*VLOOKUP('Données projet'!$B$17,Paramètres!$A$1:$I$89,3,0)*0.475*44/12</f>
        <v>0.53088725341659071</v>
      </c>
      <c r="GN136" s="21">
        <f>EXP(-LN(2)/2)*GN135+(1-EXP(-LN(2)/2))/(LN(2)/2)*GH136*GK136*VLOOKUP('Données projet'!$B$17,Paramètres!$A$1:$I$89,3,0)*0.475*44/12</f>
        <v>4.0381453985362485E-15</v>
      </c>
      <c r="GO136" s="21">
        <f t="shared" si="135"/>
        <v>0.53088725341659471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-5.3205440053716299E-14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215.23235148064941</v>
      </c>
      <c r="T137" s="59">
        <f t="shared" si="142"/>
        <v>184.07239726900434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0.39965978483989323</v>
      </c>
      <c r="AA137" s="21">
        <f>EXP(-LN(2)/25)*AA136+(1-EXP(-LN(2)/25))/(LN(2)/25)*Calculateur!V137*Calculateur!X137*VLOOKUP('Données projet'!$B$9,Paramètres!$A$1:$I$89,3,0)*0.475*44/12</f>
        <v>0.43942734628780927</v>
      </c>
      <c r="AB137" s="21">
        <f>EXP(-LN(2)/2)*AB136+(1-EXP(-LN(2)/2))/(LN(2)/2)*V137*Y137*VLOOKUP('Données projet'!$B$9,Paramètres!$A$1:$I$89,3,0)*0.475*44/12</f>
        <v>2.1831817421205084E-15</v>
      </c>
      <c r="AC137" s="22">
        <f t="shared" si="111"/>
        <v>0.83908713112770472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5.6843418860808015E-14</v>
      </c>
      <c r="AJ137" s="13">
        <f>AI137*VLOOKUP('Données projet'!$B$10,Paramètres!$A$1:$I$89,3,0)*VLOOKUP('Données projet'!$B$10,Paramètres!$A$1:$I$89,5,0)</f>
        <v>4.1677594708744434E-14</v>
      </c>
      <c r="AK137" s="13">
        <f t="shared" si="143"/>
        <v>6.9326303456159188E-13</v>
      </c>
      <c r="AL137" s="20">
        <f t="shared" si="112"/>
        <v>1.2800215959791691E-12</v>
      </c>
      <c r="AM137" s="59">
        <f t="shared" si="113"/>
        <v>293.33333333333462</v>
      </c>
      <c r="AN137" s="59">
        <f ca="1">AVERAGE(OFFSET($AM$3,0,0,'Données projet'!$E$10+1,1))-AVERAGE(OFFSET($H$3,0,0,'Données projet'!$E$10+1,1))</f>
        <v>178.12968684094687</v>
      </c>
      <c r="AO137" s="59">
        <f t="shared" si="144"/>
        <v>219.36004077210373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0.43008503154813127</v>
      </c>
      <c r="AW137" s="21">
        <f>EXP(-LN(2)/2)*AW136+(1-EXP(-LN(2)/2))/(LN(2)/2)*AQ137*AT137*VLOOKUP('Données projet'!$B$10,Paramètres!$A$1:$I$89,3,0)*0.475*44/12</f>
        <v>2.2021306106786492E-15</v>
      </c>
      <c r="AX137" s="21">
        <f t="shared" si="114"/>
        <v>0.43008503154813349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-5.6843418860808015E-14</v>
      </c>
      <c r="BE137" s="13">
        <f>BD137*VLOOKUP('Données projet'!$B$11,Paramètres!$A$1:$I$89,3,0)*VLOOKUP('Données projet'!$B$11,Paramètres!$A$1:$I$89,5,0)</f>
        <v>-4.9658410716801891E-14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114.02623091248347</v>
      </c>
      <c r="BJ137" s="59">
        <f t="shared" si="146"/>
        <v>185.51554083721635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0.24884958412578792</v>
      </c>
      <c r="BQ137" s="21">
        <f>EXP(-LN(2)/25)*BQ136+(1-EXP(-LN(2)/25))/(LN(2)/25)*Calculateur!BL137*Calculateur!BN137*VLOOKUP('Données projet'!$B$11,Paramètres!$A$1:$I$89,3,0)*0.475*44/12</f>
        <v>0.62965743896120052</v>
      </c>
      <c r="BR137" s="21">
        <f>EXP(-LN(2)/2)*BR136+(1-EXP(-LN(2)/2))/(LN(2)/2)*BL137*BO137*VLOOKUP('Données projet'!$B$11,Paramètres!$A$1:$I$89,3,0)*0.475*44/12</f>
        <v>3.9167054954046428E-15</v>
      </c>
      <c r="BS137" s="22">
        <f t="shared" si="117"/>
        <v>0.87850702308699236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-1.1368683772161603E-13</v>
      </c>
      <c r="BZ137" s="13">
        <f>BY137*VLOOKUP('Données projet'!$B$12,Paramètres!$A$1:$I$89,3,0)*VLOOKUP('Données projet'!$B$12,Paramètres!$A$1:$I$89,5,0)</f>
        <v>-1.0286385077051818E-13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237.22177246688199</v>
      </c>
      <c r="CE137" s="59">
        <f t="shared" si="148"/>
        <v>149.27472147904302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0.17374328332066769</v>
      </c>
      <c r="CM137" s="21">
        <f>EXP(-LN(2)/2)*CM136+(1-EXP(-LN(2)/2))/(LN(2)/2)*CG137*CJ137*VLOOKUP('Données projet'!$B$12,Paramètres!$A$1:$I$89,3,0)*0.475*44/12</f>
        <v>1.3743112990801503E-15</v>
      </c>
      <c r="CN137" s="22">
        <f t="shared" si="120"/>
        <v>0.17374328332066907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-5.6843418860808015E-13</v>
      </c>
      <c r="CU137" s="17">
        <f>CT137*VLOOKUP('Données projet'!$B$13,Paramètres!$A$1:$I$89,3,0)*VLOOKUP('Données projet'!$B$13,Paramètres!$A$1:$I$89,5,0)</f>
        <v>-3.177547114319168E-13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326.31232746914907</v>
      </c>
      <c r="CZ137" s="59">
        <f t="shared" si="150"/>
        <v>330.17137761430297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0.58241392029439787</v>
      </c>
      <c r="DG137" s="21">
        <f>EXP(-LN(2)/25)*DG136+(1-EXP(-LN(2)/25))/(LN(2)/25)*Calculateur!DB137*Calculateur!DD137*VLOOKUP('Données projet'!$B$13,Paramètres!$A$1:$I$89,3,0)*0.475*44/12</f>
        <v>1.687846572759514</v>
      </c>
      <c r="DH137" s="21">
        <f>EXP(-LN(2)/2)*DH136+(1-EXP(-LN(2)/2))/(LN(2)/2)*DB137*DE137*VLOOKUP('Données projet'!$B$13,Paramètres!$A$1:$I$89,3,0)*0.475*44/12</f>
        <v>7.2213542635502485E-15</v>
      </c>
      <c r="DI137" s="22">
        <f t="shared" si="123"/>
        <v>2.270260493053919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6.2527760746888816E-13</v>
      </c>
      <c r="DP137" s="17">
        <f>DO137*VLOOKUP('Données projet'!$B$14,Paramètres!$A$1:$I$89,3,0)*VLOOKUP('Données projet'!$B$14,Paramètres!$A$1:$I$89,5,0)</f>
        <v>3.9017322706058616E-13</v>
      </c>
      <c r="DQ137" s="13">
        <f t="shared" si="151"/>
        <v>5.0025007393608908E-12</v>
      </c>
      <c r="DR137" s="20">
        <f t="shared" si="124"/>
        <v>9.3922404915174053E-12</v>
      </c>
      <c r="DS137" s="59">
        <f t="shared" si="125"/>
        <v>293.33333333334269</v>
      </c>
      <c r="DT137" s="59">
        <f ca="1">AVERAGE(OFFSET($DS$3,0,0,'Données projet'!$E$14+1,1))-AVERAGE(OFFSET($H$3,0,0,'Données projet'!$E$14+1,1))</f>
        <v>209.93608079129638</v>
      </c>
      <c r="DU137" s="59">
        <f t="shared" si="152"/>
        <v>240.15652428700969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0.88654973068068932</v>
      </c>
      <c r="EB137" s="21">
        <f>EXP(-LN(2)/25)*EB136+(1-EXP(-LN(2)/25))/(LN(2)/25)*Calculateur!DW137*Calculateur!DY137*VLOOKUP('Données projet'!$B$14,Paramètres!$A$1:$I$89,3,0)*0.475*44/12</f>
        <v>1.1628562026202032</v>
      </c>
      <c r="EC137" s="21">
        <f>EXP(-LN(2)/2)*EC136+(1-EXP(-LN(2)/2))/(LN(2)/2)*DW137*DZ137*VLOOKUP('Données projet'!$B$14,Paramètres!$A$1:$I$89,3,0)*0.475*44/12</f>
        <v>4.4832616516366173E-15</v>
      </c>
      <c r="ED137" s="22">
        <f t="shared" si="126"/>
        <v>2.0494059333008972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-4.5474735088646412E-13</v>
      </c>
      <c r="EK137" s="17">
        <f>EJ137*VLOOKUP('Données projet'!$B$15,Paramètres!$A$1:$I$89,3,0)*VLOOKUP('Données projet'!$B$15,Paramètres!$A$1:$I$89,5,0)</f>
        <v>-2.7193891583010558E-13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216.94426559495264</v>
      </c>
      <c r="EP137" s="59">
        <f t="shared" si="154"/>
        <v>225.33715877618704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</v>
      </c>
      <c r="EW137" s="21">
        <f>EXP(-LN(2)/25)*EW136+(1-EXP(-LN(2)/25))/(LN(2)/25)*Calculateur!ER137*Calculateur!ET137*VLOOKUP('Données projet'!$B$15,Paramètres!$A$1:$I$89,3,0)*0.475*44/12</f>
        <v>0.71877581386668632</v>
      </c>
      <c r="EX137" s="21">
        <f>EXP(-LN(2)/2)*EX136+(1-EXP(-LN(2)/2))/(LN(2)/2)*ER137*EU137*VLOOKUP('Données projet'!$B$15,Paramètres!$A$1:$I$89,3,0)*0.475*44/12</f>
        <v>5.2689763383060243E-15</v>
      </c>
      <c r="EY137" s="22">
        <f t="shared" si="129"/>
        <v>0.71877581386669154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>
        <f>FE137*VLOOKUP('Données projet'!$B$16,Paramètres!$A$1:$I$89,3,0)*VLOOKUP('Données projet'!$B$16,Paramètres!$A$1:$I$89,5,0)</f>
        <v>0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168.08890945052406</v>
      </c>
      <c r="FK137" s="59">
        <f t="shared" si="156"/>
        <v>182.52462557642343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0.79206493619590901</v>
      </c>
      <c r="FR137" s="21">
        <f>EXP(-LN(2)/25)*FR136+(1-EXP(-LN(2)/25))/(LN(2)/25)*Calculateur!FM137*Calculateur!FO137*VLOOKUP('Données projet'!$B$16,Paramètres!$A$1:$I$89,3,0)*0.475*44/12</f>
        <v>0.68977804763507689</v>
      </c>
      <c r="FS137" s="21">
        <f>EXP(-LN(2)/2)*FS136+(1-EXP(-LN(2)/2))/(LN(2)/2)*FM137*FP137*VLOOKUP('Données projet'!$B$16,Paramètres!$A$1:$I$89,3,0)*0.475*44/12</f>
        <v>1.2091866117445551E-15</v>
      </c>
      <c r="FT137" s="22">
        <f t="shared" si="132"/>
        <v>1.481842983830987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-5.6843418860808015E-14</v>
      </c>
      <c r="GA137" s="17">
        <f>FZ137*VLOOKUP('Données projet'!$B$17,Paramètres!$A$1:$I$89,3,0)*VLOOKUP('Données projet'!$B$17,Paramètres!$A$1:$I$89,5,0)</f>
        <v>-3.2514435588382188E-14</v>
      </c>
      <c r="GB137" s="13" t="e">
        <f t="shared" si="157"/>
        <v>#NUM!</v>
      </c>
      <c r="GC137" s="20" t="e">
        <f t="shared" si="133"/>
        <v>#NUM!</v>
      </c>
      <c r="GD137" s="59" t="e">
        <f t="shared" si="134"/>
        <v>#NUM!</v>
      </c>
      <c r="GE137" s="59">
        <f ca="1">AVERAGE(OFFSET($GD$3,0,0,'Données projet'!$E$17+1,1))-AVERAGE(OFFSET($H$3,0,0,'Données projet'!$E$17+1,1))</f>
        <v>196.95560009657527</v>
      </c>
      <c r="GF137" s="59">
        <f t="shared" si="158"/>
        <v>168.90186968005662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0</v>
      </c>
      <c r="GM137" s="21">
        <f>EXP(-LN(2)/25)*GM136+(1-EXP(-LN(2)/25))/(LN(2)/25)*Calculateur!GH137*Calculateur!GJ137*VLOOKUP('Données projet'!$B$17,Paramètres!$A$1:$I$89,3,0)*0.475*44/12</f>
        <v>0.51637011355376672</v>
      </c>
      <c r="GN137" s="21">
        <f>EXP(-LN(2)/2)*GN136+(1-EXP(-LN(2)/2))/(LN(2)/2)*GH137*GK137*VLOOKUP('Données projet'!$B$17,Paramètres!$A$1:$I$89,3,0)*0.475*44/12</f>
        <v>2.8553999947222348E-15</v>
      </c>
      <c r="GO137" s="21">
        <f t="shared" si="135"/>
        <v>0.51637011355376961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-5.3205440053716299E-14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215.23235148064941</v>
      </c>
      <c r="T138" s="59">
        <f t="shared" si="142"/>
        <v>184.07239726900434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0.39182270022758153</v>
      </c>
      <c r="AA138" s="21">
        <f>EXP(-LN(2)/25)*AA137+(1-EXP(-LN(2)/25))/(LN(2)/25)*Calculateur!V138*Calculateur!X138*VLOOKUP('Données projet'!$B$9,Paramètres!$A$1:$I$89,3,0)*0.475*44/12</f>
        <v>0.4274111823950893</v>
      </c>
      <c r="AB138" s="21">
        <f>EXP(-LN(2)/2)*AB137+(1-EXP(-LN(2)/2))/(LN(2)/2)*V138*Y138*VLOOKUP('Données projet'!$B$9,Paramètres!$A$1:$I$89,3,0)*0.475*44/12</f>
        <v>1.543742614416072E-15</v>
      </c>
      <c r="AC138" s="22">
        <f t="shared" si="111"/>
        <v>0.81923388262267238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5.6843418860808015E-14</v>
      </c>
      <c r="AJ138" s="13">
        <f>AI138*VLOOKUP('Données projet'!$B$10,Paramètres!$A$1:$I$89,3,0)*VLOOKUP('Données projet'!$B$10,Paramètres!$A$1:$I$89,5,0)</f>
        <v>4.1677594708744434E-14</v>
      </c>
      <c r="AK138" s="13">
        <f t="shared" si="143"/>
        <v>6.9326303456159188E-13</v>
      </c>
      <c r="AL138" s="20">
        <f t="shared" si="112"/>
        <v>1.2800215959791691E-12</v>
      </c>
      <c r="AM138" s="59">
        <f t="shared" si="113"/>
        <v>293.33333333333462</v>
      </c>
      <c r="AN138" s="59">
        <f ca="1">AVERAGE(OFFSET($AM$3,0,0,'Données projet'!$E$10+1,1))-AVERAGE(OFFSET($H$3,0,0,'Données projet'!$E$10+1,1))</f>
        <v>178.12968684094687</v>
      </c>
      <c r="AO138" s="59">
        <f t="shared" si="144"/>
        <v>219.36004077210373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0.41832433374325878</v>
      </c>
      <c r="AW138" s="21">
        <f>EXP(-LN(2)/2)*AW137+(1-EXP(-LN(2)/2))/(LN(2)/2)*AQ138*AT138*VLOOKUP('Données projet'!$B$10,Paramètres!$A$1:$I$89,3,0)*0.475*44/12</f>
        <v>1.5571414878693459E-15</v>
      </c>
      <c r="AX138" s="21">
        <f t="shared" si="114"/>
        <v>0.41832433374326033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-5.6843418860808015E-14</v>
      </c>
      <c r="BE138" s="13">
        <f>BD138*VLOOKUP('Données projet'!$B$11,Paramètres!$A$1:$I$89,3,0)*VLOOKUP('Données projet'!$B$11,Paramètres!$A$1:$I$89,5,0)</f>
        <v>-4.9658410716801891E-14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114.02623091248347</v>
      </c>
      <c r="BJ138" s="59">
        <f t="shared" si="146"/>
        <v>185.51554083721635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0.24396979556434017</v>
      </c>
      <c r="BQ138" s="21">
        <f>EXP(-LN(2)/25)*BQ137+(1-EXP(-LN(2)/25))/(LN(2)/25)*Calculateur!BL138*Calculateur!BN138*VLOOKUP('Données projet'!$B$11,Paramètres!$A$1:$I$89,3,0)*0.475*44/12</f>
        <v>0.61243942318056088</v>
      </c>
      <c r="BR138" s="21">
        <f>EXP(-LN(2)/2)*BR137+(1-EXP(-LN(2)/2))/(LN(2)/2)*BL138*BO138*VLOOKUP('Données projet'!$B$11,Paramètres!$A$1:$I$89,3,0)*0.475*44/12</f>
        <v>2.769529015711239E-15</v>
      </c>
      <c r="BS138" s="22">
        <f t="shared" si="117"/>
        <v>0.85640921874490383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-1.1368683772161603E-13</v>
      </c>
      <c r="BZ138" s="13">
        <f>BY138*VLOOKUP('Données projet'!$B$12,Paramètres!$A$1:$I$89,3,0)*VLOOKUP('Données projet'!$B$12,Paramètres!$A$1:$I$89,5,0)</f>
        <v>-1.0286385077051818E-13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237.22177246688199</v>
      </c>
      <c r="CE138" s="59">
        <f t="shared" si="148"/>
        <v>149.27472147904302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0.16899226410150187</v>
      </c>
      <c r="CM138" s="21">
        <f>EXP(-LN(2)/2)*CM137+(1-EXP(-LN(2)/2))/(LN(2)/2)*CG138*CJ138*VLOOKUP('Données projet'!$B$12,Paramètres!$A$1:$I$89,3,0)*0.475*44/12</f>
        <v>9.7178483904086771E-16</v>
      </c>
      <c r="CN138" s="22">
        <f t="shared" si="120"/>
        <v>0.16899226410150284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-5.6843418860808015E-13</v>
      </c>
      <c r="CU138" s="17">
        <f>CT138*VLOOKUP('Données projet'!$B$13,Paramètres!$A$1:$I$89,3,0)*VLOOKUP('Données projet'!$B$13,Paramètres!$A$1:$I$89,5,0)</f>
        <v>-3.177547114319168E-13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326.31232746914907</v>
      </c>
      <c r="CZ138" s="59">
        <f t="shared" si="150"/>
        <v>330.17137761430297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0.57099313855483935</v>
      </c>
      <c r="DG138" s="21">
        <f>EXP(-LN(2)/25)*DG137+(1-EXP(-LN(2)/25))/(LN(2)/25)*Calculateur!DB138*Calculateur!DD138*VLOOKUP('Données projet'!$B$13,Paramètres!$A$1:$I$89,3,0)*0.475*44/12</f>
        <v>1.6416923194674113</v>
      </c>
      <c r="DH138" s="21">
        <f>EXP(-LN(2)/2)*DH137+(1-EXP(-LN(2)/2))/(LN(2)/2)*DB138*DE138*VLOOKUP('Données projet'!$B$13,Paramètres!$A$1:$I$89,3,0)*0.475*44/12</f>
        <v>5.1062685691067676E-15</v>
      </c>
      <c r="DI138" s="22">
        <f t="shared" si="123"/>
        <v>2.2126854580222557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6.2527760746888816E-13</v>
      </c>
      <c r="DP138" s="17">
        <f>DO138*VLOOKUP('Données projet'!$B$14,Paramètres!$A$1:$I$89,3,0)*VLOOKUP('Données projet'!$B$14,Paramètres!$A$1:$I$89,5,0)</f>
        <v>3.9017322706058616E-13</v>
      </c>
      <c r="DQ138" s="13">
        <f t="shared" si="151"/>
        <v>5.0025007393608908E-12</v>
      </c>
      <c r="DR138" s="20">
        <f t="shared" si="124"/>
        <v>9.3922404915174053E-12</v>
      </c>
      <c r="DS138" s="59">
        <f t="shared" si="125"/>
        <v>293.33333333334269</v>
      </c>
      <c r="DT138" s="59">
        <f ca="1">AVERAGE(OFFSET($DS$3,0,0,'Données projet'!$E$14+1,1))-AVERAGE(OFFSET($H$3,0,0,'Données projet'!$E$14+1,1))</f>
        <v>209.93608079129638</v>
      </c>
      <c r="DU138" s="59">
        <f t="shared" si="152"/>
        <v>240.15652428700969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0.86916503120398292</v>
      </c>
      <c r="EB138" s="21">
        <f>EXP(-LN(2)/25)*EB137+(1-EXP(-LN(2)/25))/(LN(2)/25)*Calculateur!DW138*Calculateur!DY138*VLOOKUP('Données projet'!$B$14,Paramètres!$A$1:$I$89,3,0)*0.475*44/12</f>
        <v>1.1310578386076038</v>
      </c>
      <c r="EC138" s="21">
        <f>EXP(-LN(2)/2)*EC137+(1-EXP(-LN(2)/2))/(LN(2)/2)*DW138*DZ138*VLOOKUP('Données projet'!$B$14,Paramètres!$A$1:$I$89,3,0)*0.475*44/12</f>
        <v>3.1701447157058532E-15</v>
      </c>
      <c r="ED138" s="22">
        <f t="shared" si="126"/>
        <v>2.0002228698115898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-4.5474735088646412E-13</v>
      </c>
      <c r="EK138" s="17">
        <f>EJ138*VLOOKUP('Données projet'!$B$15,Paramètres!$A$1:$I$89,3,0)*VLOOKUP('Données projet'!$B$15,Paramètres!$A$1:$I$89,5,0)</f>
        <v>-2.7193891583010558E-13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216.94426559495264</v>
      </c>
      <c r="EP138" s="59">
        <f t="shared" si="154"/>
        <v>225.33715877618704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</v>
      </c>
      <c r="EW138" s="21">
        <f>EXP(-LN(2)/25)*EW137+(1-EXP(-LN(2)/25))/(LN(2)/25)*Calculateur!ER138*Calculateur!ET138*VLOOKUP('Données projet'!$B$15,Paramètres!$A$1:$I$89,3,0)*0.475*44/12</f>
        <v>0.69912085143772451</v>
      </c>
      <c r="EX138" s="21">
        <f>EXP(-LN(2)/2)*EX137+(1-EXP(-LN(2)/2))/(LN(2)/2)*ER138*EU138*VLOOKUP('Données projet'!$B$15,Paramètres!$A$1:$I$89,3,0)*0.475*44/12</f>
        <v>3.7257288987276542E-15</v>
      </c>
      <c r="EY138" s="22">
        <f t="shared" si="129"/>
        <v>0.69912085143772829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>
        <f>FE138*VLOOKUP('Données projet'!$B$16,Paramètres!$A$1:$I$89,3,0)*VLOOKUP('Données projet'!$B$16,Paramètres!$A$1:$I$89,5,0)</f>
        <v>0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168.08890945052406</v>
      </c>
      <c r="FK138" s="59">
        <f t="shared" si="156"/>
        <v>182.52462557642343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0.77653302590901496</v>
      </c>
      <c r="FR138" s="21">
        <f>EXP(-LN(2)/25)*FR137+(1-EXP(-LN(2)/25))/(LN(2)/25)*Calculateur!FM138*Calculateur!FO138*VLOOKUP('Données projet'!$B$16,Paramètres!$A$1:$I$89,3,0)*0.475*44/12</f>
        <v>0.67091603064864469</v>
      </c>
      <c r="FS138" s="21">
        <f>EXP(-LN(2)/2)*FS137+(1-EXP(-LN(2)/2))/(LN(2)/2)*FM138*FP138*VLOOKUP('Données projet'!$B$16,Paramètres!$A$1:$I$89,3,0)*0.475*44/12</f>
        <v>8.5502405288455993E-16</v>
      </c>
      <c r="FT138" s="22">
        <f t="shared" si="132"/>
        <v>1.4474490565576605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-5.6843418860808015E-14</v>
      </c>
      <c r="GA138" s="17">
        <f>FZ138*VLOOKUP('Données projet'!$B$17,Paramètres!$A$1:$I$89,3,0)*VLOOKUP('Données projet'!$B$17,Paramètres!$A$1:$I$89,5,0)</f>
        <v>-3.2514435588382188E-14</v>
      </c>
      <c r="GB138" s="13" t="e">
        <f t="shared" si="157"/>
        <v>#NUM!</v>
      </c>
      <c r="GC138" s="20" t="e">
        <f t="shared" si="133"/>
        <v>#NUM!</v>
      </c>
      <c r="GD138" s="59" t="e">
        <f t="shared" si="134"/>
        <v>#NUM!</v>
      </c>
      <c r="GE138" s="59">
        <f ca="1">AVERAGE(OFFSET($GD$3,0,0,'Données projet'!$E$17+1,1))-AVERAGE(OFFSET($H$3,0,0,'Données projet'!$E$17+1,1))</f>
        <v>196.95560009657527</v>
      </c>
      <c r="GF138" s="59">
        <f t="shared" si="158"/>
        <v>168.90186968005662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0</v>
      </c>
      <c r="GM138" s="21">
        <f>EXP(-LN(2)/25)*GM137+(1-EXP(-LN(2)/25))/(LN(2)/25)*Calculateur!GH138*Calculateur!GJ138*VLOOKUP('Données projet'!$B$17,Paramètres!$A$1:$I$89,3,0)*0.475*44/12</f>
        <v>0.5022499456439149</v>
      </c>
      <c r="GN138" s="21">
        <f>EXP(-LN(2)/2)*GN137+(1-EXP(-LN(2)/2))/(LN(2)/2)*GH138*GK138*VLOOKUP('Données projet'!$B$17,Paramètres!$A$1:$I$89,3,0)*0.475*44/12</f>
        <v>2.0190726992681242E-15</v>
      </c>
      <c r="GO138" s="21">
        <f t="shared" si="135"/>
        <v>0.5022499456439169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-5.3205440053716299E-14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215.23235148064941</v>
      </c>
      <c r="T139" s="59">
        <f t="shared" si="142"/>
        <v>184.07239726900434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0.38413929606436764</v>
      </c>
      <c r="AA139" s="21">
        <f>EXP(-LN(2)/25)*AA138+(1-EXP(-LN(2)/25))/(LN(2)/25)*Calculateur!V139*Calculateur!X139*VLOOKUP('Données projet'!$B$9,Paramètres!$A$1:$I$89,3,0)*0.475*44/12</f>
        <v>0.41572360113591833</v>
      </c>
      <c r="AB139" s="21">
        <f>EXP(-LN(2)/2)*AB138+(1-EXP(-LN(2)/2))/(LN(2)/2)*V139*Y139*VLOOKUP('Données projet'!$B$9,Paramètres!$A$1:$I$89,3,0)*0.475*44/12</f>
        <v>1.0915908710602542E-15</v>
      </c>
      <c r="AC139" s="22">
        <f t="shared" si="111"/>
        <v>0.79986289720028703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5.6843418860808015E-14</v>
      </c>
      <c r="AJ139" s="13">
        <f>AI139*VLOOKUP('Données projet'!$B$10,Paramètres!$A$1:$I$89,3,0)*VLOOKUP('Données projet'!$B$10,Paramètres!$A$1:$I$89,5,0)</f>
        <v>4.1677594708744434E-14</v>
      </c>
      <c r="AK139" s="13">
        <f t="shared" si="143"/>
        <v>6.9326303456159188E-13</v>
      </c>
      <c r="AL139" s="20">
        <f t="shared" si="112"/>
        <v>1.2800215959791691E-12</v>
      </c>
      <c r="AM139" s="59">
        <f t="shared" si="113"/>
        <v>293.33333333333462</v>
      </c>
      <c r="AN139" s="59">
        <f ca="1">AVERAGE(OFFSET($AM$3,0,0,'Données projet'!$E$10+1,1))-AVERAGE(OFFSET($H$3,0,0,'Données projet'!$E$10+1,1))</f>
        <v>178.12968684094687</v>
      </c>
      <c r="AO139" s="59">
        <f t="shared" si="144"/>
        <v>219.36004077210373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0.40688523283832873</v>
      </c>
      <c r="AW139" s="21">
        <f>EXP(-LN(2)/2)*AW138+(1-EXP(-LN(2)/2))/(LN(2)/2)*AQ139*AT139*VLOOKUP('Données projet'!$B$10,Paramètres!$A$1:$I$89,3,0)*0.475*44/12</f>
        <v>1.1010653053393246E-15</v>
      </c>
      <c r="AX139" s="21">
        <f t="shared" si="114"/>
        <v>0.40688523283832984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-5.6843418860808015E-14</v>
      </c>
      <c r="BE139" s="13">
        <f>BD139*VLOOKUP('Données projet'!$B$11,Paramètres!$A$1:$I$89,3,0)*VLOOKUP('Données projet'!$B$11,Paramètres!$A$1:$I$89,5,0)</f>
        <v>-4.9658410716801891E-14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114.02623091248347</v>
      </c>
      <c r="BJ139" s="59">
        <f t="shared" si="146"/>
        <v>185.51554083721635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0.23918569668020531</v>
      </c>
      <c r="BQ139" s="21">
        <f>EXP(-LN(2)/25)*BQ138+(1-EXP(-LN(2)/25))/(LN(2)/25)*Calculateur!BL139*Calculateur!BN139*VLOOKUP('Données projet'!$B$11,Paramètres!$A$1:$I$89,3,0)*0.475*44/12</f>
        <v>0.59569223494689894</v>
      </c>
      <c r="BR139" s="21">
        <f>EXP(-LN(2)/2)*BR138+(1-EXP(-LN(2)/2))/(LN(2)/2)*BL139*BO139*VLOOKUP('Données projet'!$B$11,Paramètres!$A$1:$I$89,3,0)*0.475*44/12</f>
        <v>1.9583527477023214E-15</v>
      </c>
      <c r="BS139" s="22">
        <f t="shared" si="117"/>
        <v>0.83487793162710622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-1.1368683772161603E-13</v>
      </c>
      <c r="BZ139" s="13">
        <f>BY139*VLOOKUP('Données projet'!$B$12,Paramètres!$A$1:$I$89,3,0)*VLOOKUP('Données projet'!$B$12,Paramètres!$A$1:$I$89,5,0)</f>
        <v>-1.0286385077051818E-13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237.22177246688199</v>
      </c>
      <c r="CE139" s="59">
        <f t="shared" si="148"/>
        <v>149.27472147904302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0.16437116175272937</v>
      </c>
      <c r="CM139" s="21">
        <f>EXP(-LN(2)/2)*CM138+(1-EXP(-LN(2)/2))/(LN(2)/2)*CG139*CJ139*VLOOKUP('Données projet'!$B$12,Paramètres!$A$1:$I$89,3,0)*0.475*44/12</f>
        <v>6.8715564954007516E-16</v>
      </c>
      <c r="CN139" s="22">
        <f t="shared" si="120"/>
        <v>0.16437116175273006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-5.6843418860808015E-13</v>
      </c>
      <c r="CU139" s="17">
        <f>CT139*VLOOKUP('Données projet'!$B$13,Paramètres!$A$1:$I$89,3,0)*VLOOKUP('Données projet'!$B$13,Paramètres!$A$1:$I$89,5,0)</f>
        <v>-3.177547114319168E-13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326.31232746914907</v>
      </c>
      <c r="CZ139" s="59">
        <f t="shared" si="150"/>
        <v>330.17137761430297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0.55979631137920449</v>
      </c>
      <c r="DG139" s="21">
        <f>EXP(-LN(2)/25)*DG138+(1-EXP(-LN(2)/25))/(LN(2)/25)*Calculateur!DB139*Calculateur!DD139*VLOOKUP('Données projet'!$B$13,Paramètres!$A$1:$I$89,3,0)*0.475*44/12</f>
        <v>1.596800156658728</v>
      </c>
      <c r="DH139" s="21">
        <f>EXP(-LN(2)/2)*DH138+(1-EXP(-LN(2)/2))/(LN(2)/2)*DB139*DE139*VLOOKUP('Données projet'!$B$13,Paramètres!$A$1:$I$89,3,0)*0.475*44/12</f>
        <v>3.6106771317751242E-15</v>
      </c>
      <c r="DI139" s="22">
        <f t="shared" si="123"/>
        <v>2.1565964680379359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6.2527760746888816E-13</v>
      </c>
      <c r="DP139" s="17">
        <f>DO139*VLOOKUP('Données projet'!$B$14,Paramètres!$A$1:$I$89,3,0)*VLOOKUP('Données projet'!$B$14,Paramètres!$A$1:$I$89,5,0)</f>
        <v>3.9017322706058616E-13</v>
      </c>
      <c r="DQ139" s="13">
        <f t="shared" si="151"/>
        <v>5.0025007393608908E-12</v>
      </c>
      <c r="DR139" s="20">
        <f t="shared" si="124"/>
        <v>9.3922404915174053E-12</v>
      </c>
      <c r="DS139" s="59">
        <f t="shared" si="125"/>
        <v>293.33333333334269</v>
      </c>
      <c r="DT139" s="59">
        <f ca="1">AVERAGE(OFFSET($DS$3,0,0,'Données projet'!$E$14+1,1))-AVERAGE(OFFSET($H$3,0,0,'Données projet'!$E$14+1,1))</f>
        <v>209.93608079129638</v>
      </c>
      <c r="DU139" s="59">
        <f t="shared" si="152"/>
        <v>240.15652428700969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0.85212123508039506</v>
      </c>
      <c r="EB139" s="21">
        <f>EXP(-LN(2)/25)*EB138+(1-EXP(-LN(2)/25))/(LN(2)/25)*Calculateur!DW139*Calculateur!DY139*VLOOKUP('Données projet'!$B$14,Paramètres!$A$1:$I$89,3,0)*0.475*44/12</f>
        <v>1.1001290025311321</v>
      </c>
      <c r="EC139" s="21">
        <f>EXP(-LN(2)/2)*EC138+(1-EXP(-LN(2)/2))/(LN(2)/2)*DW139*DZ139*VLOOKUP('Données projet'!$B$14,Paramètres!$A$1:$I$89,3,0)*0.475*44/12</f>
        <v>2.2416308258183086E-15</v>
      </c>
      <c r="ED139" s="22">
        <f t="shared" si="126"/>
        <v>1.9522502376115294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-4.5474735088646412E-13</v>
      </c>
      <c r="EK139" s="17">
        <f>EJ139*VLOOKUP('Données projet'!$B$15,Paramètres!$A$1:$I$89,3,0)*VLOOKUP('Données projet'!$B$15,Paramètres!$A$1:$I$89,5,0)</f>
        <v>-2.7193891583010558E-13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216.94426559495264</v>
      </c>
      <c r="EP139" s="59">
        <f t="shared" si="154"/>
        <v>225.33715877618704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</v>
      </c>
      <c r="EW139" s="21">
        <f>EXP(-LN(2)/25)*EW138+(1-EXP(-LN(2)/25))/(LN(2)/25)*Calculateur!ER139*Calculateur!ET139*VLOOKUP('Données projet'!$B$15,Paramètres!$A$1:$I$89,3,0)*0.475*44/12</f>
        <v>0.6800033549899922</v>
      </c>
      <c r="EX139" s="21">
        <f>EXP(-LN(2)/2)*EX138+(1-EXP(-LN(2)/2))/(LN(2)/2)*ER139*EU139*VLOOKUP('Données projet'!$B$15,Paramètres!$A$1:$I$89,3,0)*0.475*44/12</f>
        <v>2.6344881691530121E-15</v>
      </c>
      <c r="EY139" s="22">
        <f t="shared" si="129"/>
        <v>0.68000335498999487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>
        <f>FE139*VLOOKUP('Données projet'!$B$16,Paramètres!$A$1:$I$89,3,0)*VLOOKUP('Données projet'!$B$16,Paramètres!$A$1:$I$89,5,0)</f>
        <v>0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168.08890945052406</v>
      </c>
      <c r="FK139" s="59">
        <f t="shared" si="156"/>
        <v>182.52462557642343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0.7613056869093171</v>
      </c>
      <c r="FR139" s="21">
        <f>EXP(-LN(2)/25)*FR138+(1-EXP(-LN(2)/25))/(LN(2)/25)*Calculateur!FM139*Calculateur!FO139*VLOOKUP('Données projet'!$B$16,Paramètres!$A$1:$I$89,3,0)*0.475*44/12</f>
        <v>0.6525697965086168</v>
      </c>
      <c r="FS139" s="21">
        <f>EXP(-LN(2)/2)*FS138+(1-EXP(-LN(2)/2))/(LN(2)/2)*FM139*FP139*VLOOKUP('Données projet'!$B$16,Paramètres!$A$1:$I$89,3,0)*0.475*44/12</f>
        <v>6.0459330587227755E-16</v>
      </c>
      <c r="FT139" s="22">
        <f t="shared" si="132"/>
        <v>1.4138754834179346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-5.6843418860808015E-14</v>
      </c>
      <c r="GA139" s="17">
        <f>FZ139*VLOOKUP('Données projet'!$B$17,Paramètres!$A$1:$I$89,3,0)*VLOOKUP('Données projet'!$B$17,Paramètres!$A$1:$I$89,5,0)</f>
        <v>-3.2514435588382188E-14</v>
      </c>
      <c r="GB139" s="13" t="e">
        <f t="shared" si="157"/>
        <v>#NUM!</v>
      </c>
      <c r="GC139" s="20" t="e">
        <f t="shared" si="133"/>
        <v>#NUM!</v>
      </c>
      <c r="GD139" s="59" t="e">
        <f t="shared" si="134"/>
        <v>#NUM!</v>
      </c>
      <c r="GE139" s="59">
        <f ca="1">AVERAGE(OFFSET($GD$3,0,0,'Données projet'!$E$17+1,1))-AVERAGE(OFFSET($H$3,0,0,'Données projet'!$E$17+1,1))</f>
        <v>196.95560009657527</v>
      </c>
      <c r="GF139" s="59">
        <f t="shared" si="158"/>
        <v>168.90186968005662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0</v>
      </c>
      <c r="GM139" s="21">
        <f>EXP(-LN(2)/25)*GM138+(1-EXP(-LN(2)/25))/(LN(2)/25)*Calculateur!GH139*Calculateur!GJ139*VLOOKUP('Données projet'!$B$17,Paramètres!$A$1:$I$89,3,0)*0.475*44/12</f>
        <v>0.48851589446810528</v>
      </c>
      <c r="GN139" s="21">
        <f>EXP(-LN(2)/2)*GN138+(1-EXP(-LN(2)/2))/(LN(2)/2)*GH139*GK139*VLOOKUP('Données projet'!$B$17,Paramètres!$A$1:$I$89,3,0)*0.475*44/12</f>
        <v>1.4276999973611174E-15</v>
      </c>
      <c r="GO139" s="21">
        <f t="shared" si="135"/>
        <v>0.48851589446810673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-5.3205440053716299E-14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215.23235148064941</v>
      </c>
      <c r="T140" s="59">
        <f t="shared" si="142"/>
        <v>184.07239726900434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0.37660655877038063</v>
      </c>
      <c r="AA140" s="21">
        <f>EXP(-LN(2)/25)*AA139+(1-EXP(-LN(2)/25))/(LN(2)/25)*Calculateur!V140*Calculateur!X140*VLOOKUP('Données projet'!$B$9,Paramètres!$A$1:$I$89,3,0)*0.475*44/12</f>
        <v>0.40435561740090259</v>
      </c>
      <c r="AB140" s="21">
        <f>EXP(-LN(2)/2)*AB139+(1-EXP(-LN(2)/2))/(LN(2)/2)*V140*Y140*VLOOKUP('Données projet'!$B$9,Paramètres!$A$1:$I$89,3,0)*0.475*44/12</f>
        <v>7.7187130720803599E-16</v>
      </c>
      <c r="AC140" s="22">
        <f t="shared" si="111"/>
        <v>0.78096217617128405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5.6843418860808015E-14</v>
      </c>
      <c r="AJ140" s="13">
        <f>AI140*VLOOKUP('Données projet'!$B$10,Paramètres!$A$1:$I$89,3,0)*VLOOKUP('Données projet'!$B$10,Paramètres!$A$1:$I$89,5,0)</f>
        <v>4.1677594708744434E-14</v>
      </c>
      <c r="AK140" s="13">
        <f t="shared" si="143"/>
        <v>6.9326303456159188E-13</v>
      </c>
      <c r="AL140" s="20">
        <f t="shared" si="112"/>
        <v>1.2800215959791691E-12</v>
      </c>
      <c r="AM140" s="59">
        <f t="shared" si="113"/>
        <v>293.33333333333462</v>
      </c>
      <c r="AN140" s="59">
        <f ca="1">AVERAGE(OFFSET($AM$3,0,0,'Données projet'!$E$10+1,1))-AVERAGE(OFFSET($H$3,0,0,'Données projet'!$E$10+1,1))</f>
        <v>178.12968684094687</v>
      </c>
      <c r="AO140" s="59">
        <f t="shared" si="144"/>
        <v>219.36004077210373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0.39575893474920015</v>
      </c>
      <c r="AW140" s="21">
        <f>EXP(-LN(2)/2)*AW139+(1-EXP(-LN(2)/2))/(LN(2)/2)*AQ140*AT140*VLOOKUP('Données projet'!$B$10,Paramètres!$A$1:$I$89,3,0)*0.475*44/12</f>
        <v>7.7857074393467294E-16</v>
      </c>
      <c r="AX140" s="21">
        <f t="shared" si="114"/>
        <v>0.39575893474920093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-5.6843418860808015E-14</v>
      </c>
      <c r="BE140" s="13">
        <f>BD140*VLOOKUP('Données projet'!$B$11,Paramètres!$A$1:$I$89,3,0)*VLOOKUP('Données projet'!$B$11,Paramètres!$A$1:$I$89,5,0)</f>
        <v>-4.9658410716801891E-14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114.02623091248347</v>
      </c>
      <c r="BJ140" s="59">
        <f t="shared" si="146"/>
        <v>185.51554083721635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0.23449541105717614</v>
      </c>
      <c r="BQ140" s="21">
        <f>EXP(-LN(2)/25)*BQ139+(1-EXP(-LN(2)/25))/(LN(2)/25)*Calculateur!BL140*Calculateur!BN140*VLOOKUP('Données projet'!$B$11,Paramètres!$A$1:$I$89,3,0)*0.475*44/12</f>
        <v>0.57940299945618279</v>
      </c>
      <c r="BR140" s="21">
        <f>EXP(-LN(2)/2)*BR139+(1-EXP(-LN(2)/2))/(LN(2)/2)*BL140*BO140*VLOOKUP('Données projet'!$B$11,Paramètres!$A$1:$I$89,3,0)*0.475*44/12</f>
        <v>1.3847645078556195E-15</v>
      </c>
      <c r="BS140" s="22">
        <f t="shared" si="117"/>
        <v>0.8138984105133602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-1.1368683772161603E-13</v>
      </c>
      <c r="BZ140" s="13">
        <f>BY140*VLOOKUP('Données projet'!$B$12,Paramètres!$A$1:$I$89,3,0)*VLOOKUP('Données projet'!$B$12,Paramètres!$A$1:$I$89,5,0)</f>
        <v>-1.0286385077051818E-13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237.22177246688199</v>
      </c>
      <c r="CE140" s="59">
        <f t="shared" si="148"/>
        <v>149.27472147904302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0.15987642369069727</v>
      </c>
      <c r="CM140" s="21">
        <f>EXP(-LN(2)/2)*CM139+(1-EXP(-LN(2)/2))/(LN(2)/2)*CG140*CJ140*VLOOKUP('Données projet'!$B$12,Paramètres!$A$1:$I$89,3,0)*0.475*44/12</f>
        <v>4.8589241952043386E-16</v>
      </c>
      <c r="CN140" s="22">
        <f t="shared" si="120"/>
        <v>0.15987642369069777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-5.6843418860808015E-13</v>
      </c>
      <c r="CU140" s="17">
        <f>CT140*VLOOKUP('Données projet'!$B$13,Paramètres!$A$1:$I$89,3,0)*VLOOKUP('Données projet'!$B$13,Paramètres!$A$1:$I$89,5,0)</f>
        <v>-3.177547114319168E-13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326.31232746914907</v>
      </c>
      <c r="CZ140" s="59">
        <f t="shared" si="150"/>
        <v>330.17137761430297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0.54881904715509366</v>
      </c>
      <c r="DG140" s="21">
        <f>EXP(-LN(2)/25)*DG139+(1-EXP(-LN(2)/25))/(LN(2)/25)*Calculateur!DB140*Calculateur!DD140*VLOOKUP('Données projet'!$B$13,Paramètres!$A$1:$I$89,3,0)*0.475*44/12</f>
        <v>1.5531355724028244</v>
      </c>
      <c r="DH140" s="21">
        <f>EXP(-LN(2)/2)*DH139+(1-EXP(-LN(2)/2))/(LN(2)/2)*DB140*DE140*VLOOKUP('Données projet'!$B$13,Paramètres!$A$1:$I$89,3,0)*0.475*44/12</f>
        <v>2.5531342845533838E-15</v>
      </c>
      <c r="DI140" s="22">
        <f t="shared" si="123"/>
        <v>2.1019546195579206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6.2527760746888816E-13</v>
      </c>
      <c r="DP140" s="17">
        <f>DO140*VLOOKUP('Données projet'!$B$14,Paramètres!$A$1:$I$89,3,0)*VLOOKUP('Données projet'!$B$14,Paramètres!$A$1:$I$89,5,0)</f>
        <v>3.9017322706058616E-13</v>
      </c>
      <c r="DQ140" s="13">
        <f t="shared" si="151"/>
        <v>5.0025007393608908E-12</v>
      </c>
      <c r="DR140" s="20">
        <f t="shared" si="124"/>
        <v>9.3922404915174053E-12</v>
      </c>
      <c r="DS140" s="59">
        <f t="shared" si="125"/>
        <v>293.33333333334269</v>
      </c>
      <c r="DT140" s="59">
        <f ca="1">AVERAGE(OFFSET($DS$3,0,0,'Données projet'!$E$14+1,1))-AVERAGE(OFFSET($H$3,0,0,'Données projet'!$E$14+1,1))</f>
        <v>209.93608079129638</v>
      </c>
      <c r="DU140" s="59">
        <f t="shared" si="152"/>
        <v>240.15652428700969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0.83541165740310164</v>
      </c>
      <c r="EB140" s="21">
        <f>EXP(-LN(2)/25)*EB139+(1-EXP(-LN(2)/25))/(LN(2)/25)*Calculateur!DW140*Calculateur!DY140*VLOOKUP('Données projet'!$B$14,Paramètres!$A$1:$I$89,3,0)*0.475*44/12</f>
        <v>1.0700459171036485</v>
      </c>
      <c r="EC140" s="21">
        <f>EXP(-LN(2)/2)*EC139+(1-EXP(-LN(2)/2))/(LN(2)/2)*DW140*DZ140*VLOOKUP('Données projet'!$B$14,Paramètres!$A$1:$I$89,3,0)*0.475*44/12</f>
        <v>1.5850723578529266E-15</v>
      </c>
      <c r="ED140" s="22">
        <f t="shared" si="126"/>
        <v>1.9054575745067517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-4.5474735088646412E-13</v>
      </c>
      <c r="EK140" s="17">
        <f>EJ140*VLOOKUP('Données projet'!$B$15,Paramètres!$A$1:$I$89,3,0)*VLOOKUP('Données projet'!$B$15,Paramètres!$A$1:$I$89,5,0)</f>
        <v>-2.7193891583010558E-13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216.94426559495264</v>
      </c>
      <c r="EP140" s="59">
        <f t="shared" si="154"/>
        <v>225.33715877618704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</v>
      </c>
      <c r="EW140" s="21">
        <f>EXP(-LN(2)/25)*EW139+(1-EXP(-LN(2)/25))/(LN(2)/25)*Calculateur!ER140*Calculateur!ET140*VLOOKUP('Données projet'!$B$15,Paramètres!$A$1:$I$89,3,0)*0.475*44/12</f>
        <v>0.66140862748796858</v>
      </c>
      <c r="EX140" s="21">
        <f>EXP(-LN(2)/2)*EX139+(1-EXP(-LN(2)/2))/(LN(2)/2)*ER140*EU140*VLOOKUP('Données projet'!$B$15,Paramètres!$A$1:$I$89,3,0)*0.475*44/12</f>
        <v>1.8628644493638271E-15</v>
      </c>
      <c r="EY140" s="22">
        <f t="shared" si="129"/>
        <v>0.66140862748797047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>
        <f>FE140*VLOOKUP('Données projet'!$B$16,Paramètres!$A$1:$I$89,3,0)*VLOOKUP('Données projet'!$B$16,Paramètres!$A$1:$I$89,5,0)</f>
        <v>0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168.08890945052406</v>
      </c>
      <c r="FK140" s="59">
        <f t="shared" si="156"/>
        <v>182.52462557642343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0.74637694673964361</v>
      </c>
      <c r="FR140" s="21">
        <f>EXP(-LN(2)/25)*FR139+(1-EXP(-LN(2)/25))/(LN(2)/25)*Calculateur!FM140*Calculateur!FO140*VLOOKUP('Données projet'!$B$16,Paramètres!$A$1:$I$89,3,0)*0.475*44/12</f>
        <v>0.63472524110593453</v>
      </c>
      <c r="FS140" s="21">
        <f>EXP(-LN(2)/2)*FS139+(1-EXP(-LN(2)/2))/(LN(2)/2)*FM140*FP140*VLOOKUP('Données projet'!$B$16,Paramètres!$A$1:$I$89,3,0)*0.475*44/12</f>
        <v>4.2751202644227996E-16</v>
      </c>
      <c r="FT140" s="22">
        <f t="shared" si="132"/>
        <v>1.3811021878455785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-5.6843418860808015E-14</v>
      </c>
      <c r="GA140" s="17">
        <f>FZ140*VLOOKUP('Données projet'!$B$17,Paramètres!$A$1:$I$89,3,0)*VLOOKUP('Données projet'!$B$17,Paramètres!$A$1:$I$89,5,0)</f>
        <v>-3.2514435588382188E-14</v>
      </c>
      <c r="GB140" s="13" t="e">
        <f t="shared" si="157"/>
        <v>#NUM!</v>
      </c>
      <c r="GC140" s="20" t="e">
        <f t="shared" si="133"/>
        <v>#NUM!</v>
      </c>
      <c r="GD140" s="59" t="e">
        <f t="shared" si="134"/>
        <v>#NUM!</v>
      </c>
      <c r="GE140" s="59">
        <f ca="1">AVERAGE(OFFSET($GD$3,0,0,'Données projet'!$E$17+1,1))-AVERAGE(OFFSET($H$3,0,0,'Données projet'!$E$17+1,1))</f>
        <v>196.95560009657527</v>
      </c>
      <c r="GF140" s="59">
        <f t="shared" si="158"/>
        <v>168.90186968005662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0</v>
      </c>
      <c r="GM140" s="21">
        <f>EXP(-LN(2)/25)*GM139+(1-EXP(-LN(2)/25))/(LN(2)/25)*Calculateur!GH140*Calculateur!GJ140*VLOOKUP('Données projet'!$B$17,Paramètres!$A$1:$I$89,3,0)*0.475*44/12</f>
        <v>0.47515740164394055</v>
      </c>
      <c r="GN140" s="21">
        <f>EXP(-LN(2)/2)*GN139+(1-EXP(-LN(2)/2))/(LN(2)/2)*GH140*GK140*VLOOKUP('Données projet'!$B$17,Paramètres!$A$1:$I$89,3,0)*0.475*44/12</f>
        <v>1.0095363496340621E-15</v>
      </c>
      <c r="GO140" s="21">
        <f t="shared" si="135"/>
        <v>0.47515740164394155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-5.3205440053716299E-14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215.23235148064941</v>
      </c>
      <c r="T141" s="59">
        <f t="shared" si="142"/>
        <v>184.07239726900434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0.36922153386021261</v>
      </c>
      <c r="AA141" s="21">
        <f>EXP(-LN(2)/25)*AA140+(1-EXP(-LN(2)/25))/(LN(2)/25)*Calculateur!V141*Calculateur!X141*VLOOKUP('Données projet'!$B$9,Paramètres!$A$1:$I$89,3,0)*0.475*44/12</f>
        <v>0.39329849177893716</v>
      </c>
      <c r="AB141" s="21">
        <f>EXP(-LN(2)/2)*AB140+(1-EXP(-LN(2)/2))/(LN(2)/2)*V141*Y141*VLOOKUP('Données projet'!$B$9,Paramètres!$A$1:$I$89,3,0)*0.475*44/12</f>
        <v>5.457954355301271E-16</v>
      </c>
      <c r="AC141" s="22">
        <f t="shared" si="111"/>
        <v>0.76252002563915033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5.6843418860808015E-14</v>
      </c>
      <c r="AJ141" s="13">
        <f>AI141*VLOOKUP('Données projet'!$B$10,Paramètres!$A$1:$I$89,3,0)*VLOOKUP('Données projet'!$B$10,Paramètres!$A$1:$I$89,5,0)</f>
        <v>4.1677594708744434E-14</v>
      </c>
      <c r="AK141" s="13">
        <f t="shared" si="143"/>
        <v>6.9326303456159188E-13</v>
      </c>
      <c r="AL141" s="20">
        <f t="shared" si="112"/>
        <v>1.2800215959791691E-12</v>
      </c>
      <c r="AM141" s="59">
        <f t="shared" si="113"/>
        <v>293.33333333333462</v>
      </c>
      <c r="AN141" s="59">
        <f ca="1">AVERAGE(OFFSET($AM$3,0,0,'Données projet'!$E$10+1,1))-AVERAGE(OFFSET($H$3,0,0,'Données projet'!$E$10+1,1))</f>
        <v>178.12968684094687</v>
      </c>
      <c r="AO141" s="59">
        <f t="shared" si="144"/>
        <v>219.36004077210373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0.38493688586642544</v>
      </c>
      <c r="AW141" s="21">
        <f>EXP(-LN(2)/2)*AW140+(1-EXP(-LN(2)/2))/(LN(2)/2)*AQ141*AT141*VLOOKUP('Données projet'!$B$10,Paramètres!$A$1:$I$89,3,0)*0.475*44/12</f>
        <v>5.505326526696623E-16</v>
      </c>
      <c r="AX141" s="21">
        <f t="shared" si="114"/>
        <v>0.38493688586642599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-5.6843418860808015E-14</v>
      </c>
      <c r="BE141" s="13">
        <f>BD141*VLOOKUP('Données projet'!$B$11,Paramètres!$A$1:$I$89,3,0)*VLOOKUP('Données projet'!$B$11,Paramètres!$A$1:$I$89,5,0)</f>
        <v>-4.9658410716801891E-14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114.02623091248347</v>
      </c>
      <c r="BJ141" s="59">
        <f t="shared" si="146"/>
        <v>185.51554083721635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0.22989709907442282</v>
      </c>
      <c r="BQ141" s="21">
        <f>EXP(-LN(2)/25)*BQ140+(1-EXP(-LN(2)/25))/(LN(2)/25)*Calculateur!BL141*Calculateur!BN141*VLOOKUP('Données projet'!$B$11,Paramètres!$A$1:$I$89,3,0)*0.475*44/12</f>
        <v>0.56355919396657395</v>
      </c>
      <c r="BR141" s="21">
        <f>EXP(-LN(2)/2)*BR140+(1-EXP(-LN(2)/2))/(LN(2)/2)*BL141*BO141*VLOOKUP('Données projet'!$B$11,Paramètres!$A$1:$I$89,3,0)*0.475*44/12</f>
        <v>9.7917637385116069E-16</v>
      </c>
      <c r="BS141" s="22">
        <f t="shared" si="117"/>
        <v>0.79345629304099774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-1.1368683772161603E-13</v>
      </c>
      <c r="BZ141" s="13">
        <f>BY141*VLOOKUP('Données projet'!$B$12,Paramètres!$A$1:$I$89,3,0)*VLOOKUP('Données projet'!$B$12,Paramètres!$A$1:$I$89,5,0)</f>
        <v>-1.0286385077051818E-13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237.22177246688199</v>
      </c>
      <c r="CE141" s="59">
        <f t="shared" si="148"/>
        <v>149.27472147904302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0.15550459447733944</v>
      </c>
      <c r="CM141" s="21">
        <f>EXP(-LN(2)/2)*CM140+(1-EXP(-LN(2)/2))/(LN(2)/2)*CG141*CJ141*VLOOKUP('Données projet'!$B$12,Paramètres!$A$1:$I$89,3,0)*0.475*44/12</f>
        <v>3.4357782477003758E-16</v>
      </c>
      <c r="CN141" s="22">
        <f t="shared" si="120"/>
        <v>0.15550459447733977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-5.6843418860808015E-13</v>
      </c>
      <c r="CU141" s="17">
        <f>CT141*VLOOKUP('Données projet'!$B$13,Paramètres!$A$1:$I$89,3,0)*VLOOKUP('Données projet'!$B$13,Paramètres!$A$1:$I$89,5,0)</f>
        <v>-3.177547114319168E-13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326.31232746914907</v>
      </c>
      <c r="CZ141" s="59">
        <f t="shared" si="150"/>
        <v>330.17137761430297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0.53805704038694757</v>
      </c>
      <c r="DG141" s="21">
        <f>EXP(-LN(2)/25)*DG140+(1-EXP(-LN(2)/25))/(LN(2)/25)*Calculateur!DB141*Calculateur!DD141*VLOOKUP('Données projet'!$B$13,Paramètres!$A$1:$I$89,3,0)*0.475*44/12</f>
        <v>1.5106649984996192</v>
      </c>
      <c r="DH141" s="21">
        <f>EXP(-LN(2)/2)*DH140+(1-EXP(-LN(2)/2))/(LN(2)/2)*DB141*DE141*VLOOKUP('Données projet'!$B$13,Paramètres!$A$1:$I$89,3,0)*0.475*44/12</f>
        <v>1.8053385658875621E-15</v>
      </c>
      <c r="DI141" s="22">
        <f t="shared" si="123"/>
        <v>2.0487220388865683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6.2527760746888816E-13</v>
      </c>
      <c r="DP141" s="17">
        <f>DO141*VLOOKUP('Données projet'!$B$14,Paramètres!$A$1:$I$89,3,0)*VLOOKUP('Données projet'!$B$14,Paramètres!$A$1:$I$89,5,0)</f>
        <v>3.9017322706058616E-13</v>
      </c>
      <c r="DQ141" s="13">
        <f t="shared" si="151"/>
        <v>5.0025007393608908E-12</v>
      </c>
      <c r="DR141" s="20">
        <f t="shared" si="124"/>
        <v>9.3922404915174053E-12</v>
      </c>
      <c r="DS141" s="59">
        <f t="shared" si="125"/>
        <v>293.33333333334269</v>
      </c>
      <c r="DT141" s="59">
        <f ca="1">AVERAGE(OFFSET($DS$3,0,0,'Données projet'!$E$14+1,1))-AVERAGE(OFFSET($H$3,0,0,'Données projet'!$E$14+1,1))</f>
        <v>209.93608079129638</v>
      </c>
      <c r="DU141" s="59">
        <f t="shared" si="152"/>
        <v>240.15652428700969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0.81902974435222387</v>
      </c>
      <c r="EB141" s="21">
        <f>EXP(-LN(2)/25)*EB140+(1-EXP(-LN(2)/25))/(LN(2)/25)*Calculateur!DW141*Calculateur!DY141*VLOOKUP('Données projet'!$B$14,Paramètres!$A$1:$I$89,3,0)*0.475*44/12</f>
        <v>1.04078545522918</v>
      </c>
      <c r="EC141" s="21">
        <f>EXP(-LN(2)/2)*EC140+(1-EXP(-LN(2)/2))/(LN(2)/2)*DW141*DZ141*VLOOKUP('Données projet'!$B$14,Paramètres!$A$1:$I$89,3,0)*0.475*44/12</f>
        <v>1.1208154129091543E-15</v>
      </c>
      <c r="ED141" s="22">
        <f t="shared" si="126"/>
        <v>1.859815199581405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-4.5474735088646412E-13</v>
      </c>
      <c r="EK141" s="17">
        <f>EJ141*VLOOKUP('Données projet'!$B$15,Paramètres!$A$1:$I$89,3,0)*VLOOKUP('Données projet'!$B$15,Paramètres!$A$1:$I$89,5,0)</f>
        <v>-2.7193891583010558E-13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216.94426559495264</v>
      </c>
      <c r="EP141" s="59">
        <f t="shared" si="154"/>
        <v>225.33715877618704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</v>
      </c>
      <c r="EW141" s="21">
        <f>EXP(-LN(2)/25)*EW140+(1-EXP(-LN(2)/25))/(LN(2)/25)*Calculateur!ER141*Calculateur!ET141*VLOOKUP('Données projet'!$B$15,Paramètres!$A$1:$I$89,3,0)*0.475*44/12</f>
        <v>0.64332237378734203</v>
      </c>
      <c r="EX141" s="21">
        <f>EXP(-LN(2)/2)*EX140+(1-EXP(-LN(2)/2))/(LN(2)/2)*ER141*EU141*VLOOKUP('Données projet'!$B$15,Paramètres!$A$1:$I$89,3,0)*0.475*44/12</f>
        <v>1.3172440845765061E-15</v>
      </c>
      <c r="EY141" s="22">
        <f t="shared" si="129"/>
        <v>0.64332237378734336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>
        <f>FE141*VLOOKUP('Données projet'!$B$16,Paramètres!$A$1:$I$89,3,0)*VLOOKUP('Données projet'!$B$16,Paramètres!$A$1:$I$89,5,0)</f>
        <v>0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168.08890945052406</v>
      </c>
      <c r="FK141" s="59">
        <f t="shared" si="156"/>
        <v>182.52462557642343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0.73174095005906503</v>
      </c>
      <c r="FR141" s="21">
        <f>EXP(-LN(2)/25)*FR140+(1-EXP(-LN(2)/25))/(LN(2)/25)*Calculateur!FM141*Calculateur!FO141*VLOOKUP('Données projet'!$B$16,Paramètres!$A$1:$I$89,3,0)*0.475*44/12</f>
        <v>0.61736864600914299</v>
      </c>
      <c r="FS141" s="21">
        <f>EXP(-LN(2)/2)*FS140+(1-EXP(-LN(2)/2))/(LN(2)/2)*FM141*FP141*VLOOKUP('Données projet'!$B$16,Paramètres!$A$1:$I$89,3,0)*0.475*44/12</f>
        <v>3.0229665293613877E-16</v>
      </c>
      <c r="FT141" s="22">
        <f t="shared" si="132"/>
        <v>1.3491095960682082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-5.6843418860808015E-14</v>
      </c>
      <c r="GA141" s="17">
        <f>FZ141*VLOOKUP('Données projet'!$B$17,Paramètres!$A$1:$I$89,3,0)*VLOOKUP('Données projet'!$B$17,Paramètres!$A$1:$I$89,5,0)</f>
        <v>-3.2514435588382188E-14</v>
      </c>
      <c r="GB141" s="13" t="e">
        <f t="shared" si="157"/>
        <v>#NUM!</v>
      </c>
      <c r="GC141" s="20" t="e">
        <f t="shared" si="133"/>
        <v>#NUM!</v>
      </c>
      <c r="GD141" s="59" t="e">
        <f t="shared" si="134"/>
        <v>#NUM!</v>
      </c>
      <c r="GE141" s="59">
        <f ca="1">AVERAGE(OFFSET($GD$3,0,0,'Données projet'!$E$17+1,1))-AVERAGE(OFFSET($H$3,0,0,'Données projet'!$E$17+1,1))</f>
        <v>196.95560009657527</v>
      </c>
      <c r="GF141" s="59">
        <f t="shared" si="158"/>
        <v>168.90186968005662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0</v>
      </c>
      <c r="GM141" s="21">
        <f>EXP(-LN(2)/25)*GM140+(1-EXP(-LN(2)/25))/(LN(2)/25)*Calculateur!GH141*Calculateur!GJ141*VLOOKUP('Données projet'!$B$17,Paramètres!$A$1:$I$89,3,0)*0.475*44/12</f>
        <v>0.4621641975085452</v>
      </c>
      <c r="GN141" s="21">
        <f>EXP(-LN(2)/2)*GN140+(1-EXP(-LN(2)/2))/(LN(2)/2)*GH141*GK141*VLOOKUP('Données projet'!$B$17,Paramètres!$A$1:$I$89,3,0)*0.475*44/12</f>
        <v>7.138499986805587E-16</v>
      </c>
      <c r="GO141" s="21">
        <f t="shared" si="135"/>
        <v>0.46216419750854593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-5.3205440053716299E-14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215.23235148064941</v>
      </c>
      <c r="T142" s="59">
        <f t="shared" si="142"/>
        <v>184.07239726900434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0.36198132478411255</v>
      </c>
      <c r="AA142" s="21">
        <f>EXP(-LN(2)/25)*AA141+(1-EXP(-LN(2)/25))/(LN(2)/25)*Calculateur!V142*Calculateur!X142*VLOOKUP('Données projet'!$B$9,Paramètres!$A$1:$I$89,3,0)*0.475*44/12</f>
        <v>0.38254372383857332</v>
      </c>
      <c r="AB142" s="21">
        <f>EXP(-LN(2)/2)*AB141+(1-EXP(-LN(2)/2))/(LN(2)/2)*V142*Y142*VLOOKUP('Données projet'!$B$9,Paramètres!$A$1:$I$89,3,0)*0.475*44/12</f>
        <v>3.85935653604018E-16</v>
      </c>
      <c r="AC142" s="22">
        <f t="shared" si="111"/>
        <v>0.7445250486226862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5.6843418860808015E-14</v>
      </c>
      <c r="AJ142" s="13">
        <f>AI142*VLOOKUP('Données projet'!$B$10,Paramètres!$A$1:$I$89,3,0)*VLOOKUP('Données projet'!$B$10,Paramètres!$A$1:$I$89,5,0)</f>
        <v>4.1677594708744434E-14</v>
      </c>
      <c r="AK142" s="13">
        <f t="shared" si="143"/>
        <v>6.9326303456159188E-13</v>
      </c>
      <c r="AL142" s="20">
        <f t="shared" si="112"/>
        <v>1.2800215959791691E-12</v>
      </c>
      <c r="AM142" s="59">
        <f t="shared" si="113"/>
        <v>293.33333333333462</v>
      </c>
      <c r="AN142" s="59">
        <f ca="1">AVERAGE(OFFSET($AM$3,0,0,'Données projet'!$E$10+1,1))-AVERAGE(OFFSET($H$3,0,0,'Données projet'!$E$10+1,1))</f>
        <v>178.12968684094687</v>
      </c>
      <c r="AO142" s="59">
        <f t="shared" si="144"/>
        <v>219.36004077210373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0.37441076647945698</v>
      </c>
      <c r="AW142" s="21">
        <f>EXP(-LN(2)/2)*AW141+(1-EXP(-LN(2)/2))/(LN(2)/2)*AQ142*AT142*VLOOKUP('Données projet'!$B$10,Paramètres!$A$1:$I$89,3,0)*0.475*44/12</f>
        <v>3.8928537196733647E-16</v>
      </c>
      <c r="AX142" s="21">
        <f t="shared" si="114"/>
        <v>0.37441076647945737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-5.6843418860808015E-14</v>
      </c>
      <c r="BE142" s="13">
        <f>BD142*VLOOKUP('Données projet'!$B$11,Paramètres!$A$1:$I$89,3,0)*VLOOKUP('Données projet'!$B$11,Paramètres!$A$1:$I$89,5,0)</f>
        <v>-4.9658410716801891E-14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114.02623091248347</v>
      </c>
      <c r="BJ142" s="59">
        <f t="shared" si="146"/>
        <v>185.51554083721635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0.22538895718495791</v>
      </c>
      <c r="BQ142" s="21">
        <f>EXP(-LN(2)/25)*BQ141+(1-EXP(-LN(2)/25))/(LN(2)/25)*Calculateur!BL142*Calculateur!BN142*VLOOKUP('Données projet'!$B$11,Paramètres!$A$1:$I$89,3,0)*0.475*44/12</f>
        <v>0.54814863817126802</v>
      </c>
      <c r="BR142" s="21">
        <f>EXP(-LN(2)/2)*BR141+(1-EXP(-LN(2)/2))/(LN(2)/2)*BL142*BO142*VLOOKUP('Données projet'!$B$11,Paramètres!$A$1:$I$89,3,0)*0.475*44/12</f>
        <v>6.9238225392780975E-16</v>
      </c>
      <c r="BS142" s="22">
        <f t="shared" si="117"/>
        <v>0.77353759535622657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-1.1368683772161603E-13</v>
      </c>
      <c r="BZ142" s="13">
        <f>BY142*VLOOKUP('Données projet'!$B$12,Paramètres!$A$1:$I$89,3,0)*VLOOKUP('Données projet'!$B$12,Paramètres!$A$1:$I$89,5,0)</f>
        <v>-1.0286385077051818E-13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237.22177246688199</v>
      </c>
      <c r="CE142" s="59">
        <f t="shared" si="148"/>
        <v>149.27472147904302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0.15125231316372539</v>
      </c>
      <c r="CM142" s="21">
        <f>EXP(-LN(2)/2)*CM141+(1-EXP(-LN(2)/2))/(LN(2)/2)*CG142*CJ142*VLOOKUP('Données projet'!$B$12,Paramètres!$A$1:$I$89,3,0)*0.475*44/12</f>
        <v>2.4294620976021693E-16</v>
      </c>
      <c r="CN142" s="22">
        <f t="shared" si="120"/>
        <v>0.15125231316372564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-5.6843418860808015E-13</v>
      </c>
      <c r="CU142" s="17">
        <f>CT142*VLOOKUP('Données projet'!$B$13,Paramètres!$A$1:$I$89,3,0)*VLOOKUP('Données projet'!$B$13,Paramètres!$A$1:$I$89,5,0)</f>
        <v>-3.177547114319168E-13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326.31232746914907</v>
      </c>
      <c r="CZ142" s="59">
        <f t="shared" si="150"/>
        <v>330.17137761430297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0.52750607000734884</v>
      </c>
      <c r="DG142" s="21">
        <f>EXP(-LN(2)/25)*DG141+(1-EXP(-LN(2)/25))/(LN(2)/25)*Calculateur!DB142*Calculateur!DD142*VLOOKUP('Données projet'!$B$13,Paramètres!$A$1:$I$89,3,0)*0.475*44/12</f>
        <v>1.4693557846732275</v>
      </c>
      <c r="DH142" s="21">
        <f>EXP(-LN(2)/2)*DH141+(1-EXP(-LN(2)/2))/(LN(2)/2)*DB142*DE142*VLOOKUP('Données projet'!$B$13,Paramètres!$A$1:$I$89,3,0)*0.475*44/12</f>
        <v>1.2765671422766919E-15</v>
      </c>
      <c r="DI142" s="22">
        <f t="shared" si="123"/>
        <v>1.9968618546805776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6.2527760746888816E-13</v>
      </c>
      <c r="DP142" s="17">
        <f>DO142*VLOOKUP('Données projet'!$B$14,Paramètres!$A$1:$I$89,3,0)*VLOOKUP('Données projet'!$B$14,Paramètres!$A$1:$I$89,5,0)</f>
        <v>3.9017322706058616E-13</v>
      </c>
      <c r="DQ142" s="13">
        <f t="shared" si="151"/>
        <v>5.0025007393608908E-12</v>
      </c>
      <c r="DR142" s="20">
        <f t="shared" si="124"/>
        <v>9.3922404915174053E-12</v>
      </c>
      <c r="DS142" s="59">
        <f t="shared" si="125"/>
        <v>293.33333333334269</v>
      </c>
      <c r="DT142" s="59">
        <f ca="1">AVERAGE(OFFSET($DS$3,0,0,'Données projet'!$E$14+1,1))-AVERAGE(OFFSET($H$3,0,0,'Données projet'!$E$14+1,1))</f>
        <v>209.93608079129638</v>
      </c>
      <c r="DU142" s="59">
        <f t="shared" si="152"/>
        <v>240.15652428700969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0.80296907062429346</v>
      </c>
      <c r="EB142" s="21">
        <f>EXP(-LN(2)/25)*EB141+(1-EXP(-LN(2)/25))/(LN(2)/25)*Calculateur!DW142*Calculateur!DY142*VLOOKUP('Données projet'!$B$14,Paramètres!$A$1:$I$89,3,0)*0.475*44/12</f>
        <v>1.0123251222234098</v>
      </c>
      <c r="EC142" s="21">
        <f>EXP(-LN(2)/2)*EC141+(1-EXP(-LN(2)/2))/(LN(2)/2)*DW142*DZ142*VLOOKUP('Données projet'!$B$14,Paramètres!$A$1:$I$89,3,0)*0.475*44/12</f>
        <v>7.9253617892646331E-16</v>
      </c>
      <c r="ED142" s="22">
        <f t="shared" si="126"/>
        <v>1.8152941928477042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-4.5474735088646412E-13</v>
      </c>
      <c r="EK142" s="17">
        <f>EJ142*VLOOKUP('Données projet'!$B$15,Paramètres!$A$1:$I$89,3,0)*VLOOKUP('Données projet'!$B$15,Paramètres!$A$1:$I$89,5,0)</f>
        <v>-2.7193891583010558E-13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216.94426559495264</v>
      </c>
      <c r="EP142" s="59">
        <f t="shared" si="154"/>
        <v>225.33715877618704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</v>
      </c>
      <c r="EW142" s="21">
        <f>EXP(-LN(2)/25)*EW141+(1-EXP(-LN(2)/25))/(LN(2)/25)*Calculateur!ER142*Calculateur!ET142*VLOOKUP('Données projet'!$B$15,Paramètres!$A$1:$I$89,3,0)*0.475*44/12</f>
        <v>0.6257306896452739</v>
      </c>
      <c r="EX142" s="21">
        <f>EXP(-LN(2)/2)*EX141+(1-EXP(-LN(2)/2))/(LN(2)/2)*ER142*EU142*VLOOKUP('Données projet'!$B$15,Paramètres!$A$1:$I$89,3,0)*0.475*44/12</f>
        <v>9.3143222468191356E-16</v>
      </c>
      <c r="EY142" s="22">
        <f t="shared" si="129"/>
        <v>0.62573068964527478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>
        <f>FE142*VLOOKUP('Données projet'!$B$16,Paramètres!$A$1:$I$89,3,0)*VLOOKUP('Données projet'!$B$16,Paramètres!$A$1:$I$89,5,0)</f>
        <v>0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168.08890945052406</v>
      </c>
      <c r="FK142" s="59">
        <f t="shared" si="156"/>
        <v>182.52462557642343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0.71739195634631603</v>
      </c>
      <c r="FR142" s="21">
        <f>EXP(-LN(2)/25)*FR141+(1-EXP(-LN(2)/25))/(LN(2)/25)*Calculateur!FM142*Calculateur!FO142*VLOOKUP('Données projet'!$B$16,Paramètres!$A$1:$I$89,3,0)*0.475*44/12</f>
        <v>0.60048666791801686</v>
      </c>
      <c r="FS142" s="21">
        <f>EXP(-LN(2)/2)*FS141+(1-EXP(-LN(2)/2))/(LN(2)/2)*FM142*FP142*VLOOKUP('Données projet'!$B$16,Paramètres!$A$1:$I$89,3,0)*0.475*44/12</f>
        <v>2.1375601322113998E-16</v>
      </c>
      <c r="FT142" s="22">
        <f t="shared" si="132"/>
        <v>1.3178786242643332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-5.6843418860808015E-14</v>
      </c>
      <c r="GA142" s="17">
        <f>FZ142*VLOOKUP('Données projet'!$B$17,Paramètres!$A$1:$I$89,3,0)*VLOOKUP('Données projet'!$B$17,Paramètres!$A$1:$I$89,5,0)</f>
        <v>-3.2514435588382188E-14</v>
      </c>
      <c r="GB142" s="13" t="e">
        <f t="shared" si="157"/>
        <v>#NUM!</v>
      </c>
      <c r="GC142" s="20" t="e">
        <f t="shared" si="133"/>
        <v>#NUM!</v>
      </c>
      <c r="GD142" s="59" t="e">
        <f t="shared" si="134"/>
        <v>#NUM!</v>
      </c>
      <c r="GE142" s="59">
        <f ca="1">AVERAGE(OFFSET($GD$3,0,0,'Données projet'!$E$17+1,1))-AVERAGE(OFFSET($H$3,0,0,'Données projet'!$E$17+1,1))</f>
        <v>196.95560009657527</v>
      </c>
      <c r="GF142" s="59">
        <f t="shared" si="158"/>
        <v>168.90186968005662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0</v>
      </c>
      <c r="GM142" s="21">
        <f>EXP(-LN(2)/25)*GM141+(1-EXP(-LN(2)/25))/(LN(2)/25)*Calculateur!GH142*Calculateur!GJ142*VLOOKUP('Données projet'!$B$17,Paramètres!$A$1:$I$89,3,0)*0.475*44/12</f>
        <v>0.44952629322351517</v>
      </c>
      <c r="GN142" s="21">
        <f>EXP(-LN(2)/2)*GN141+(1-EXP(-LN(2)/2))/(LN(2)/2)*GH142*GK142*VLOOKUP('Données projet'!$B$17,Paramètres!$A$1:$I$89,3,0)*0.475*44/12</f>
        <v>5.0476817481703106E-16</v>
      </c>
      <c r="GO142" s="21">
        <f t="shared" si="135"/>
        <v>0.44952629322351567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-5.3205440053716299E-14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215.23235148064941</v>
      </c>
      <c r="T143" s="59">
        <f t="shared" si="142"/>
        <v>184.07239726900434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0.3548830917919033</v>
      </c>
      <c r="AA143" s="21">
        <f>EXP(-LN(2)/25)*AA142+(1-EXP(-LN(2)/25))/(LN(2)/25)*Calculateur!V143*Calculateur!X143*VLOOKUP('Données projet'!$B$9,Paramètres!$A$1:$I$89,3,0)*0.475*44/12</f>
        <v>0.3720830455931074</v>
      </c>
      <c r="AB143" s="21">
        <f>EXP(-LN(2)/2)*AB142+(1-EXP(-LN(2)/2))/(LN(2)/2)*V143*Y143*VLOOKUP('Données projet'!$B$9,Paramètres!$A$1:$I$89,3,0)*0.475*44/12</f>
        <v>2.7289771776506355E-16</v>
      </c>
      <c r="AC143" s="22">
        <f t="shared" si="111"/>
        <v>0.72696613738501092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5.6843418860808015E-14</v>
      </c>
      <c r="AJ143" s="13">
        <f>AI143*VLOOKUP('Données projet'!$B$10,Paramètres!$A$1:$I$89,3,0)*VLOOKUP('Données projet'!$B$10,Paramètres!$A$1:$I$89,5,0)</f>
        <v>4.1677594708744434E-14</v>
      </c>
      <c r="AK143" s="13">
        <f t="shared" si="143"/>
        <v>6.9326303456159188E-13</v>
      </c>
      <c r="AL143" s="20">
        <f t="shared" si="112"/>
        <v>1.2800215959791691E-12</v>
      </c>
      <c r="AM143" s="59">
        <f t="shared" si="113"/>
        <v>293.33333333333462</v>
      </c>
      <c r="AN143" s="59">
        <f ca="1">AVERAGE(OFFSET($AM$3,0,0,'Données projet'!$E$10+1,1))-AVERAGE(OFFSET($H$3,0,0,'Données projet'!$E$10+1,1))</f>
        <v>178.12968684094687</v>
      </c>
      <c r="AO143" s="59">
        <f t="shared" si="144"/>
        <v>219.36004077210373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0.36417248438066974</v>
      </c>
      <c r="AW143" s="21">
        <f>EXP(-LN(2)/2)*AW142+(1-EXP(-LN(2)/2))/(LN(2)/2)*AQ143*AT143*VLOOKUP('Données projet'!$B$10,Paramètres!$A$1:$I$89,3,0)*0.475*44/12</f>
        <v>2.7526632633483115E-16</v>
      </c>
      <c r="AX143" s="21">
        <f t="shared" si="114"/>
        <v>0.36417248438067001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-5.6843418860808015E-14</v>
      </c>
      <c r="BE143" s="13">
        <f>BD143*VLOOKUP('Données projet'!$B$11,Paramètres!$A$1:$I$89,3,0)*VLOOKUP('Données projet'!$B$11,Paramètres!$A$1:$I$89,5,0)</f>
        <v>-4.9658410716801891E-14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114.02623091248347</v>
      </c>
      <c r="BJ143" s="59">
        <f t="shared" si="146"/>
        <v>185.51554083721635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0.22096921720825036</v>
      </c>
      <c r="BQ143" s="21">
        <f>EXP(-LN(2)/25)*BQ142+(1-EXP(-LN(2)/25))/(LN(2)/25)*Calculateur!BL143*Calculateur!BN143*VLOOKUP('Données projet'!$B$11,Paramètres!$A$1:$I$89,3,0)*0.475*44/12</f>
        <v>0.53315948483459064</v>
      </c>
      <c r="BR143" s="21">
        <f>EXP(-LN(2)/2)*BR142+(1-EXP(-LN(2)/2))/(LN(2)/2)*BL143*BO143*VLOOKUP('Données projet'!$B$11,Paramètres!$A$1:$I$89,3,0)*0.475*44/12</f>
        <v>4.8958818692558035E-16</v>
      </c>
      <c r="BS143" s="22">
        <f t="shared" si="117"/>
        <v>0.75412870204284144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-1.1368683772161603E-13</v>
      </c>
      <c r="BZ143" s="13">
        <f>BY143*VLOOKUP('Données projet'!$B$12,Paramètres!$A$1:$I$89,3,0)*VLOOKUP('Données projet'!$B$12,Paramètres!$A$1:$I$89,5,0)</f>
        <v>-1.0286385077051818E-13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237.22177246688199</v>
      </c>
      <c r="CE143" s="59">
        <f t="shared" si="148"/>
        <v>149.27472147904302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0.14711631070624986</v>
      </c>
      <c r="CM143" s="21">
        <f>EXP(-LN(2)/2)*CM142+(1-EXP(-LN(2)/2))/(LN(2)/2)*CG143*CJ143*VLOOKUP('Données projet'!$B$12,Paramètres!$A$1:$I$89,3,0)*0.475*44/12</f>
        <v>1.7178891238501879E-16</v>
      </c>
      <c r="CN143" s="22">
        <f t="shared" si="120"/>
        <v>0.14711631070625003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-5.6843418860808015E-13</v>
      </c>
      <c r="CU143" s="17">
        <f>CT143*VLOOKUP('Données projet'!$B$13,Paramètres!$A$1:$I$89,3,0)*VLOOKUP('Données projet'!$B$13,Paramètres!$A$1:$I$89,5,0)</f>
        <v>-3.177547114319168E-13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326.31232746914907</v>
      </c>
      <c r="CZ143" s="59">
        <f t="shared" si="150"/>
        <v>330.17137761430297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0.51716199772143756</v>
      </c>
      <c r="DG143" s="21">
        <f>EXP(-LN(2)/25)*DG142+(1-EXP(-LN(2)/25))/(LN(2)/25)*Calculateur!DB143*Calculateur!DD143*VLOOKUP('Données projet'!$B$13,Paramètres!$A$1:$I$89,3,0)*0.475*44/12</f>
        <v>1.4291761734712756</v>
      </c>
      <c r="DH143" s="21">
        <f>EXP(-LN(2)/2)*DH142+(1-EXP(-LN(2)/2))/(LN(2)/2)*DB143*DE143*VLOOKUP('Données projet'!$B$13,Paramètres!$A$1:$I$89,3,0)*0.475*44/12</f>
        <v>9.0266928294378106E-16</v>
      </c>
      <c r="DI143" s="22">
        <f t="shared" si="123"/>
        <v>1.9463381711927141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6.2527760746888816E-13</v>
      </c>
      <c r="DP143" s="17">
        <f>DO143*VLOOKUP('Données projet'!$B$14,Paramètres!$A$1:$I$89,3,0)*VLOOKUP('Données projet'!$B$14,Paramètres!$A$1:$I$89,5,0)</f>
        <v>3.9017322706058616E-13</v>
      </c>
      <c r="DQ143" s="13">
        <f t="shared" si="151"/>
        <v>5.0025007393608908E-12</v>
      </c>
      <c r="DR143" s="20">
        <f t="shared" si="124"/>
        <v>9.3922404915174053E-12</v>
      </c>
      <c r="DS143" s="59">
        <f t="shared" si="125"/>
        <v>293.33333333334269</v>
      </c>
      <c r="DT143" s="59">
        <f ca="1">AVERAGE(OFFSET($DS$3,0,0,'Données projet'!$E$14+1,1))-AVERAGE(OFFSET($H$3,0,0,'Données projet'!$E$14+1,1))</f>
        <v>209.93608079129638</v>
      </c>
      <c r="DU143" s="59">
        <f t="shared" si="152"/>
        <v>240.15652428700969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0.78722333691212409</v>
      </c>
      <c r="EB143" s="21">
        <f>EXP(-LN(2)/25)*EB142+(1-EXP(-LN(2)/25))/(LN(2)/25)*Calculateur!DW143*Calculateur!DY143*VLOOKUP('Données projet'!$B$14,Paramètres!$A$1:$I$89,3,0)*0.475*44/12</f>
        <v>0.98464303852034618</v>
      </c>
      <c r="EC143" s="21">
        <f>EXP(-LN(2)/2)*EC142+(1-EXP(-LN(2)/2))/(LN(2)/2)*DW143*DZ143*VLOOKUP('Données projet'!$B$14,Paramètres!$A$1:$I$89,3,0)*0.475*44/12</f>
        <v>5.6040770645457716E-16</v>
      </c>
      <c r="ED143" s="22">
        <f t="shared" si="126"/>
        <v>1.7718663754324708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-4.5474735088646412E-13</v>
      </c>
      <c r="EK143" s="17">
        <f>EJ143*VLOOKUP('Données projet'!$B$15,Paramètres!$A$1:$I$89,3,0)*VLOOKUP('Données projet'!$B$15,Paramètres!$A$1:$I$89,5,0)</f>
        <v>-2.7193891583010558E-13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216.94426559495264</v>
      </c>
      <c r="EP143" s="59">
        <f t="shared" si="154"/>
        <v>225.33715877618704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</v>
      </c>
      <c r="EW143" s="21">
        <f>EXP(-LN(2)/25)*EW142+(1-EXP(-LN(2)/25))/(LN(2)/25)*Calculateur!ER143*Calculateur!ET143*VLOOKUP('Données projet'!$B$15,Paramètres!$A$1:$I$89,3,0)*0.475*44/12</f>
        <v>0.608620051031177</v>
      </c>
      <c r="EX143" s="21">
        <f>EXP(-LN(2)/2)*EX142+(1-EXP(-LN(2)/2))/(LN(2)/2)*ER143*EU143*VLOOKUP('Données projet'!$B$15,Paramètres!$A$1:$I$89,3,0)*0.475*44/12</f>
        <v>6.5862204228825304E-16</v>
      </c>
      <c r="EY143" s="22">
        <f t="shared" si="129"/>
        <v>0.60862005103117767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>
        <f>FE143*VLOOKUP('Données projet'!$B$16,Paramètres!$A$1:$I$89,3,0)*VLOOKUP('Données projet'!$B$16,Paramètres!$A$1:$I$89,5,0)</f>
        <v>0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168.08890945052406</v>
      </c>
      <c r="FK143" s="59">
        <f t="shared" si="156"/>
        <v>182.52462557642343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0.70332433764825208</v>
      </c>
      <c r="FR143" s="21">
        <f>EXP(-LN(2)/25)*FR142+(1-EXP(-LN(2)/25))/(LN(2)/25)*Calculateur!FM143*Calculateur!FO143*VLOOKUP('Données projet'!$B$16,Paramètres!$A$1:$I$89,3,0)*0.475*44/12</f>
        <v>0.58406632840557726</v>
      </c>
      <c r="FS143" s="21">
        <f>EXP(-LN(2)/2)*FS142+(1-EXP(-LN(2)/2))/(LN(2)/2)*FM143*FP143*VLOOKUP('Données projet'!$B$16,Paramètres!$A$1:$I$89,3,0)*0.475*44/12</f>
        <v>1.5114832646806939E-16</v>
      </c>
      <c r="FT143" s="22">
        <f t="shared" si="132"/>
        <v>1.2873906660538295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-5.6843418860808015E-14</v>
      </c>
      <c r="GA143" s="17">
        <f>FZ143*VLOOKUP('Données projet'!$B$17,Paramètres!$A$1:$I$89,3,0)*VLOOKUP('Données projet'!$B$17,Paramètres!$A$1:$I$89,5,0)</f>
        <v>-3.2514435588382188E-14</v>
      </c>
      <c r="GB143" s="13" t="e">
        <f t="shared" si="157"/>
        <v>#NUM!</v>
      </c>
      <c r="GC143" s="20" t="e">
        <f t="shared" si="133"/>
        <v>#NUM!</v>
      </c>
      <c r="GD143" s="59" t="e">
        <f t="shared" si="134"/>
        <v>#NUM!</v>
      </c>
      <c r="GE143" s="59">
        <f ca="1">AVERAGE(OFFSET($GD$3,0,0,'Données projet'!$E$17+1,1))-AVERAGE(OFFSET($H$3,0,0,'Données projet'!$E$17+1,1))</f>
        <v>196.95560009657527</v>
      </c>
      <c r="GF143" s="59">
        <f t="shared" si="158"/>
        <v>168.90186968005662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0</v>
      </c>
      <c r="GM143" s="21">
        <f>EXP(-LN(2)/25)*GM142+(1-EXP(-LN(2)/25))/(LN(2)/25)*Calculateur!GH143*Calculateur!GJ143*VLOOKUP('Données projet'!$B$17,Paramètres!$A$1:$I$89,3,0)*0.475*44/12</f>
        <v>0.43723397309575779</v>
      </c>
      <c r="GN143" s="21">
        <f>EXP(-LN(2)/2)*GN142+(1-EXP(-LN(2)/2))/(LN(2)/2)*GH143*GK143*VLOOKUP('Données projet'!$B$17,Paramètres!$A$1:$I$89,3,0)*0.475*44/12</f>
        <v>3.5692499934027935E-16</v>
      </c>
      <c r="GO143" s="21">
        <f t="shared" si="135"/>
        <v>0.43723397309575812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-5.3205440053716299E-14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215.23235148064941</v>
      </c>
      <c r="T144" s="59">
        <f t="shared" si="142"/>
        <v>184.07239726900434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0.34792405081917671</v>
      </c>
      <c r="AA144" s="21">
        <f>EXP(-LN(2)/25)*AA143+(1-EXP(-LN(2)/25))/(LN(2)/25)*Calculateur!V144*Calculateur!X144*VLOOKUP('Données projet'!$B$9,Paramètres!$A$1:$I$89,3,0)*0.475*44/12</f>
        <v>0.36190841514436689</v>
      </c>
      <c r="AB144" s="21">
        <f>EXP(-LN(2)/2)*AB143+(1-EXP(-LN(2)/2))/(LN(2)/2)*V144*Y144*VLOOKUP('Données projet'!$B$9,Paramètres!$A$1:$I$89,3,0)*0.475*44/12</f>
        <v>1.92967826802009E-16</v>
      </c>
      <c r="AC144" s="22">
        <f t="shared" si="111"/>
        <v>0.70983246596354377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5.6843418860808015E-14</v>
      </c>
      <c r="AJ144" s="13">
        <f>AI144*VLOOKUP('Données projet'!$B$10,Paramètres!$A$1:$I$89,3,0)*VLOOKUP('Données projet'!$B$10,Paramètres!$A$1:$I$89,5,0)</f>
        <v>4.1677594708744434E-14</v>
      </c>
      <c r="AK144" s="13">
        <f t="shared" si="143"/>
        <v>6.9326303456159188E-13</v>
      </c>
      <c r="AL144" s="20">
        <f t="shared" si="112"/>
        <v>1.2800215959791691E-12</v>
      </c>
      <c r="AM144" s="59">
        <f t="shared" si="113"/>
        <v>293.33333333333462</v>
      </c>
      <c r="AN144" s="59">
        <f ca="1">AVERAGE(OFFSET($AM$3,0,0,'Données projet'!$E$10+1,1))-AVERAGE(OFFSET($H$3,0,0,'Données projet'!$E$10+1,1))</f>
        <v>178.12968684094687</v>
      </c>
      <c r="AO144" s="59">
        <f t="shared" si="144"/>
        <v>219.36004077210373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0.35421416864428168</v>
      </c>
      <c r="AW144" s="21">
        <f>EXP(-LN(2)/2)*AW143+(1-EXP(-LN(2)/2))/(LN(2)/2)*AQ144*AT144*VLOOKUP('Données projet'!$B$10,Paramètres!$A$1:$I$89,3,0)*0.475*44/12</f>
        <v>1.9464268598366824E-16</v>
      </c>
      <c r="AX144" s="21">
        <f t="shared" si="114"/>
        <v>0.3542141686442819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-5.6843418860808015E-14</v>
      </c>
      <c r="BE144" s="13">
        <f>BD144*VLOOKUP('Données projet'!$B$11,Paramètres!$A$1:$I$89,3,0)*VLOOKUP('Données projet'!$B$11,Paramètres!$A$1:$I$89,5,0)</f>
        <v>-4.9658410716801891E-14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114.02623091248347</v>
      </c>
      <c r="BJ144" s="59">
        <f t="shared" si="146"/>
        <v>185.51554083721635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0.21663614563671085</v>
      </c>
      <c r="BQ144" s="21">
        <f>EXP(-LN(2)/25)*BQ143+(1-EXP(-LN(2)/25))/(LN(2)/25)*Calculateur!BL144*Calculateur!BN144*VLOOKUP('Données projet'!$B$11,Paramètres!$A$1:$I$89,3,0)*0.475*44/12</f>
        <v>0.51858021068414994</v>
      </c>
      <c r="BR144" s="21">
        <f>EXP(-LN(2)/2)*BR143+(1-EXP(-LN(2)/2))/(LN(2)/2)*BL144*BO144*VLOOKUP('Données projet'!$B$11,Paramètres!$A$1:$I$89,3,0)*0.475*44/12</f>
        <v>3.4619112696390488E-16</v>
      </c>
      <c r="BS144" s="22">
        <f t="shared" si="117"/>
        <v>0.73521635632086113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-1.1368683772161603E-13</v>
      </c>
      <c r="BZ144" s="13">
        <f>BY144*VLOOKUP('Données projet'!$B$12,Paramètres!$A$1:$I$89,3,0)*VLOOKUP('Données projet'!$B$12,Paramètres!$A$1:$I$89,5,0)</f>
        <v>-1.0286385077051818E-13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237.22177246688199</v>
      </c>
      <c r="CE144" s="59">
        <f t="shared" si="148"/>
        <v>149.27472147904302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0.14309340745347693</v>
      </c>
      <c r="CM144" s="21">
        <f>EXP(-LN(2)/2)*CM143+(1-EXP(-LN(2)/2))/(LN(2)/2)*CG144*CJ144*VLOOKUP('Données projet'!$B$12,Paramètres!$A$1:$I$89,3,0)*0.475*44/12</f>
        <v>1.2147310488010846E-16</v>
      </c>
      <c r="CN144" s="22">
        <f t="shared" si="120"/>
        <v>0.14309340745347704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-5.6843418860808015E-13</v>
      </c>
      <c r="CU144" s="17">
        <f>CT144*VLOOKUP('Données projet'!$B$13,Paramètres!$A$1:$I$89,3,0)*VLOOKUP('Données projet'!$B$13,Paramètres!$A$1:$I$89,5,0)</f>
        <v>-3.177547114319168E-13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326.31232746914907</v>
      </c>
      <c r="CZ144" s="59">
        <f t="shared" si="150"/>
        <v>330.17137761430297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0.5070207663837919</v>
      </c>
      <c r="DG144" s="21">
        <f>EXP(-LN(2)/25)*DG143+(1-EXP(-LN(2)/25))/(LN(2)/25)*Calculateur!DB144*Calculateur!DD144*VLOOKUP('Données projet'!$B$13,Paramètres!$A$1:$I$89,3,0)*0.475*44/12</f>
        <v>1.3900952758505949</v>
      </c>
      <c r="DH144" s="21">
        <f>EXP(-LN(2)/2)*DH143+(1-EXP(-LN(2)/2))/(LN(2)/2)*DB144*DE144*VLOOKUP('Données projet'!$B$13,Paramètres!$A$1:$I$89,3,0)*0.475*44/12</f>
        <v>6.3828357113834595E-16</v>
      </c>
      <c r="DI144" s="22">
        <f t="shared" si="123"/>
        <v>1.8971160422343873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6.2527760746888816E-13</v>
      </c>
      <c r="DP144" s="17">
        <f>DO144*VLOOKUP('Données projet'!$B$14,Paramètres!$A$1:$I$89,3,0)*VLOOKUP('Données projet'!$B$14,Paramètres!$A$1:$I$89,5,0)</f>
        <v>3.9017322706058616E-13</v>
      </c>
      <c r="DQ144" s="13">
        <f t="shared" si="151"/>
        <v>5.0025007393608908E-12</v>
      </c>
      <c r="DR144" s="20">
        <f t="shared" si="124"/>
        <v>9.3922404915174053E-12</v>
      </c>
      <c r="DS144" s="59">
        <f t="shared" si="125"/>
        <v>293.33333333334269</v>
      </c>
      <c r="DT144" s="59">
        <f ca="1">AVERAGE(OFFSET($DS$3,0,0,'Données projet'!$E$14+1,1))-AVERAGE(OFFSET($H$3,0,0,'Données projet'!$E$14+1,1))</f>
        <v>209.93608079129638</v>
      </c>
      <c r="DU144" s="59">
        <f t="shared" si="152"/>
        <v>240.15652428700969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0.77178636743410112</v>
      </c>
      <c r="EB144" s="21">
        <f>EXP(-LN(2)/25)*EB143+(1-EXP(-LN(2)/25))/(LN(2)/25)*Calculateur!DW144*Calculateur!DY144*VLOOKUP('Données projet'!$B$14,Paramètres!$A$1:$I$89,3,0)*0.475*44/12</f>
        <v>0.9577179228518804</v>
      </c>
      <c r="EC144" s="21">
        <f>EXP(-LN(2)/2)*EC143+(1-EXP(-LN(2)/2))/(LN(2)/2)*DW144*DZ144*VLOOKUP('Données projet'!$B$14,Paramètres!$A$1:$I$89,3,0)*0.475*44/12</f>
        <v>3.9626808946323165E-16</v>
      </c>
      <c r="ED144" s="22">
        <f t="shared" si="126"/>
        <v>1.7295042902859818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-4.5474735088646412E-13</v>
      </c>
      <c r="EK144" s="17">
        <f>EJ144*VLOOKUP('Données projet'!$B$15,Paramètres!$A$1:$I$89,3,0)*VLOOKUP('Données projet'!$B$15,Paramètres!$A$1:$I$89,5,0)</f>
        <v>-2.7193891583010558E-13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216.94426559495264</v>
      </c>
      <c r="EP144" s="59">
        <f t="shared" si="154"/>
        <v>225.33715877618704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</v>
      </c>
      <c r="EW144" s="21">
        <f>EXP(-LN(2)/25)*EW143+(1-EXP(-LN(2)/25))/(LN(2)/25)*Calculateur!ER144*Calculateur!ET144*VLOOKUP('Données projet'!$B$15,Paramètres!$A$1:$I$89,3,0)*0.475*44/12</f>
        <v>0.59197730372979196</v>
      </c>
      <c r="EX144" s="21">
        <f>EXP(-LN(2)/2)*EX143+(1-EXP(-LN(2)/2))/(LN(2)/2)*ER144*EU144*VLOOKUP('Données projet'!$B$15,Paramètres!$A$1:$I$89,3,0)*0.475*44/12</f>
        <v>4.6571611234095678E-16</v>
      </c>
      <c r="EY144" s="22">
        <f t="shared" si="129"/>
        <v>0.5919773037297924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>
        <f>FE144*VLOOKUP('Données projet'!$B$16,Paramètres!$A$1:$I$89,3,0)*VLOOKUP('Données projet'!$B$16,Paramètres!$A$1:$I$89,5,0)</f>
        <v>0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168.08890945052406</v>
      </c>
      <c r="FK144" s="59">
        <f t="shared" si="156"/>
        <v>182.52462557642343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0.68953257637245702</v>
      </c>
      <c r="FR144" s="21">
        <f>EXP(-LN(2)/25)*FR143+(1-EXP(-LN(2)/25))/(LN(2)/25)*Calculateur!FM144*Calculateur!FO144*VLOOKUP('Données projet'!$B$16,Paramètres!$A$1:$I$89,3,0)*0.475*44/12</f>
        <v>0.56809500394061341</v>
      </c>
      <c r="FS144" s="21">
        <f>EXP(-LN(2)/2)*FS143+(1-EXP(-LN(2)/2))/(LN(2)/2)*FM144*FP144*VLOOKUP('Données projet'!$B$16,Paramètres!$A$1:$I$89,3,0)*0.475*44/12</f>
        <v>1.0687800661056999E-16</v>
      </c>
      <c r="FT144" s="22">
        <f t="shared" si="132"/>
        <v>1.2576275803130703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-5.6843418860808015E-14</v>
      </c>
      <c r="GA144" s="17">
        <f>FZ144*VLOOKUP('Données projet'!$B$17,Paramètres!$A$1:$I$89,3,0)*VLOOKUP('Données projet'!$B$17,Paramètres!$A$1:$I$89,5,0)</f>
        <v>-3.2514435588382188E-14</v>
      </c>
      <c r="GB144" s="13" t="e">
        <f t="shared" si="157"/>
        <v>#NUM!</v>
      </c>
      <c r="GC144" s="20" t="e">
        <f t="shared" si="133"/>
        <v>#NUM!</v>
      </c>
      <c r="GD144" s="59" t="e">
        <f t="shared" si="134"/>
        <v>#NUM!</v>
      </c>
      <c r="GE144" s="59">
        <f ca="1">AVERAGE(OFFSET($GD$3,0,0,'Données projet'!$E$17+1,1))-AVERAGE(OFFSET($H$3,0,0,'Données projet'!$E$17+1,1))</f>
        <v>196.95560009657527</v>
      </c>
      <c r="GF144" s="59">
        <f t="shared" si="158"/>
        <v>168.90186968005662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0</v>
      </c>
      <c r="GM144" s="21">
        <f>EXP(-LN(2)/25)*GM143+(1-EXP(-LN(2)/25))/(LN(2)/25)*Calculateur!GH144*Calculateur!GJ144*VLOOKUP('Données projet'!$B$17,Paramètres!$A$1:$I$89,3,0)*0.475*44/12</f>
        <v>0.42527778710831898</v>
      </c>
      <c r="GN144" s="21">
        <f>EXP(-LN(2)/2)*GN143+(1-EXP(-LN(2)/2))/(LN(2)/2)*GH144*GK144*VLOOKUP('Données projet'!$B$17,Paramètres!$A$1:$I$89,3,0)*0.475*44/12</f>
        <v>2.5238408740851553E-16</v>
      </c>
      <c r="GO144" s="21">
        <f t="shared" si="135"/>
        <v>0.42527778710831926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-5.3205440053716299E-14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215.23235148064941</v>
      </c>
      <c r="T145" s="59">
        <f t="shared" si="142"/>
        <v>184.07239726900434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0.3411014723953294</v>
      </c>
      <c r="AA145" s="21">
        <f>EXP(-LN(2)/25)*AA144+(1-EXP(-LN(2)/25))/(LN(2)/25)*Calculateur!V145*Calculateur!X145*VLOOKUP('Données projet'!$B$9,Paramètres!$A$1:$I$89,3,0)*0.475*44/12</f>
        <v>0.35201201050030778</v>
      </c>
      <c r="AB145" s="21">
        <f>EXP(-LN(2)/2)*AB144+(1-EXP(-LN(2)/2))/(LN(2)/2)*V145*Y145*VLOOKUP('Données projet'!$B$9,Paramètres!$A$1:$I$89,3,0)*0.475*44/12</f>
        <v>1.3644885888253177E-16</v>
      </c>
      <c r="AC145" s="22">
        <f t="shared" si="111"/>
        <v>0.69311348289563723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5.6843418860808015E-14</v>
      </c>
      <c r="AJ145" s="13">
        <f>AI145*VLOOKUP('Données projet'!$B$10,Paramètres!$A$1:$I$89,3,0)*VLOOKUP('Données projet'!$B$10,Paramètres!$A$1:$I$89,5,0)</f>
        <v>4.1677594708744434E-14</v>
      </c>
      <c r="AK145" s="13">
        <f t="shared" si="143"/>
        <v>6.9326303456159188E-13</v>
      </c>
      <c r="AL145" s="20">
        <f t="shared" si="112"/>
        <v>1.2800215959791691E-12</v>
      </c>
      <c r="AM145" s="59">
        <f t="shared" si="113"/>
        <v>293.33333333333462</v>
      </c>
      <c r="AN145" s="59">
        <f ca="1">AVERAGE(OFFSET($AM$3,0,0,'Données projet'!$E$10+1,1))-AVERAGE(OFFSET($H$3,0,0,'Données projet'!$E$10+1,1))</f>
        <v>178.12968684094687</v>
      </c>
      <c r="AO145" s="59">
        <f t="shared" si="144"/>
        <v>219.36004077210373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0.34452816357539023</v>
      </c>
      <c r="AW145" s="21">
        <f>EXP(-LN(2)/2)*AW144+(1-EXP(-LN(2)/2))/(LN(2)/2)*AQ145*AT145*VLOOKUP('Données projet'!$B$10,Paramètres!$A$1:$I$89,3,0)*0.475*44/12</f>
        <v>1.3763316316741557E-16</v>
      </c>
      <c r="AX145" s="21">
        <f t="shared" si="114"/>
        <v>0.34452816357539034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-5.6843418860808015E-14</v>
      </c>
      <c r="BE145" s="13">
        <f>BD145*VLOOKUP('Données projet'!$B$11,Paramètres!$A$1:$I$89,3,0)*VLOOKUP('Données projet'!$B$11,Paramètres!$A$1:$I$89,5,0)</f>
        <v>-4.9658410716801891E-14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114.02623091248347</v>
      </c>
      <c r="BJ145" s="59">
        <f t="shared" si="146"/>
        <v>185.51554083721635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0.21238804295577654</v>
      </c>
      <c r="BQ145" s="21">
        <f>EXP(-LN(2)/25)*BQ144+(1-EXP(-LN(2)/25))/(LN(2)/25)*Calculateur!BL145*Calculateur!BN145*VLOOKUP('Données projet'!$B$11,Paramètres!$A$1:$I$89,3,0)*0.475*44/12</f>
        <v>0.50439960755204383</v>
      </c>
      <c r="BR145" s="21">
        <f>EXP(-LN(2)/2)*BR144+(1-EXP(-LN(2)/2))/(LN(2)/2)*BL145*BO145*VLOOKUP('Données projet'!$B$11,Paramètres!$A$1:$I$89,3,0)*0.475*44/12</f>
        <v>2.4479409346279017E-16</v>
      </c>
      <c r="BS145" s="22">
        <f t="shared" si="117"/>
        <v>0.71678765050782056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-1.1368683772161603E-13</v>
      </c>
      <c r="BZ145" s="13">
        <f>BY145*VLOOKUP('Données projet'!$B$12,Paramètres!$A$1:$I$89,3,0)*VLOOKUP('Données projet'!$B$12,Paramètres!$A$1:$I$89,5,0)</f>
        <v>-1.0286385077051818E-13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237.22177246688199</v>
      </c>
      <c r="CE145" s="59">
        <f t="shared" si="148"/>
        <v>149.27472147904302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0.13918051070170634</v>
      </c>
      <c r="CM145" s="21">
        <f>EXP(-LN(2)/2)*CM144+(1-EXP(-LN(2)/2))/(LN(2)/2)*CG145*CJ145*VLOOKUP('Données projet'!$B$12,Paramètres!$A$1:$I$89,3,0)*0.475*44/12</f>
        <v>8.5894456192509395E-17</v>
      </c>
      <c r="CN145" s="22">
        <f t="shared" si="120"/>
        <v>0.13918051070170642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-5.6843418860808015E-13</v>
      </c>
      <c r="CU145" s="17">
        <f>CT145*VLOOKUP('Données projet'!$B$13,Paramètres!$A$1:$I$89,3,0)*VLOOKUP('Données projet'!$B$13,Paramètres!$A$1:$I$89,5,0)</f>
        <v>-3.177547114319168E-13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326.31232746914907</v>
      </c>
      <c r="CZ145" s="59">
        <f t="shared" si="150"/>
        <v>330.17137761430297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0.49707839840713713</v>
      </c>
      <c r="DG145" s="21">
        <f>EXP(-LN(2)/25)*DG144+(1-EXP(-LN(2)/25))/(LN(2)/25)*Calculateur!DB145*Calculateur!DD145*VLOOKUP('Données projet'!$B$13,Paramètres!$A$1:$I$89,3,0)*0.475*44/12</f>
        <v>1.352083047430527</v>
      </c>
      <c r="DH145" s="21">
        <f>EXP(-LN(2)/2)*DH144+(1-EXP(-LN(2)/2))/(LN(2)/2)*DB145*DE145*VLOOKUP('Données projet'!$B$13,Paramètres!$A$1:$I$89,3,0)*0.475*44/12</f>
        <v>4.5133464147189053E-16</v>
      </c>
      <c r="DI145" s="22">
        <f t="shared" si="123"/>
        <v>1.8491614458376646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6.2527760746888816E-13</v>
      </c>
      <c r="DP145" s="17">
        <f>DO145*VLOOKUP('Données projet'!$B$14,Paramètres!$A$1:$I$89,3,0)*VLOOKUP('Données projet'!$B$14,Paramètres!$A$1:$I$89,5,0)</f>
        <v>3.9017322706058616E-13</v>
      </c>
      <c r="DQ145" s="13">
        <f t="shared" si="151"/>
        <v>5.0025007393608908E-12</v>
      </c>
      <c r="DR145" s="20">
        <f t="shared" si="124"/>
        <v>9.3922404915174053E-12</v>
      </c>
      <c r="DS145" s="59">
        <f t="shared" si="125"/>
        <v>293.33333333334269</v>
      </c>
      <c r="DT145" s="59">
        <f ca="1">AVERAGE(OFFSET($DS$3,0,0,'Données projet'!$E$14+1,1))-AVERAGE(OFFSET($H$3,0,0,'Données projet'!$E$14+1,1))</f>
        <v>209.93608079129638</v>
      </c>
      <c r="DU145" s="59">
        <f t="shared" si="152"/>
        <v>240.15652428700969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0.75665210751192047</v>
      </c>
      <c r="EB145" s="21">
        <f>EXP(-LN(2)/25)*EB144+(1-EXP(-LN(2)/25))/(LN(2)/25)*Calculateur!DW145*Calculateur!DY145*VLOOKUP('Données projet'!$B$14,Paramètres!$A$1:$I$89,3,0)*0.475*44/12</f>
        <v>0.93152907588729905</v>
      </c>
      <c r="EC145" s="21">
        <f>EXP(-LN(2)/2)*EC144+(1-EXP(-LN(2)/2))/(LN(2)/2)*DW145*DZ145*VLOOKUP('Données projet'!$B$14,Paramètres!$A$1:$I$89,3,0)*0.475*44/12</f>
        <v>2.8020385322728858E-16</v>
      </c>
      <c r="ED145" s="22">
        <f t="shared" si="126"/>
        <v>1.6881811833992197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-4.5474735088646412E-13</v>
      </c>
      <c r="EK145" s="17">
        <f>EJ145*VLOOKUP('Données projet'!$B$15,Paramètres!$A$1:$I$89,3,0)*VLOOKUP('Données projet'!$B$15,Paramètres!$A$1:$I$89,5,0)</f>
        <v>-2.7193891583010558E-13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216.94426559495264</v>
      </c>
      <c r="EP145" s="59">
        <f t="shared" si="154"/>
        <v>225.33715877618704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</v>
      </c>
      <c r="EW145" s="21">
        <f>EXP(-LN(2)/25)*EW144+(1-EXP(-LN(2)/25))/(LN(2)/25)*Calculateur!ER145*Calculateur!ET145*VLOOKUP('Données projet'!$B$15,Paramètres!$A$1:$I$89,3,0)*0.475*44/12</f>
        <v>0.57578965322856734</v>
      </c>
      <c r="EX145" s="21">
        <f>EXP(-LN(2)/2)*EX144+(1-EXP(-LN(2)/2))/(LN(2)/2)*ER145*EU145*VLOOKUP('Données projet'!$B$15,Paramètres!$A$1:$I$89,3,0)*0.475*44/12</f>
        <v>3.2931102114412652E-16</v>
      </c>
      <c r="EY145" s="22">
        <f t="shared" si="129"/>
        <v>0.57578965322856768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>
        <f>FE145*VLOOKUP('Données projet'!$B$16,Paramètres!$A$1:$I$89,3,0)*VLOOKUP('Données projet'!$B$16,Paramètres!$A$1:$I$89,5,0)</f>
        <v>0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168.08890945052406</v>
      </c>
      <c r="FK145" s="59">
        <f t="shared" si="156"/>
        <v>182.52462557642343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0.67601126312313653</v>
      </c>
      <c r="FR145" s="21">
        <f>EXP(-LN(2)/25)*FR144+(1-EXP(-LN(2)/25))/(LN(2)/25)*Calculateur!FM145*Calculateur!FO145*VLOOKUP('Données projet'!$B$16,Paramètres!$A$1:$I$89,3,0)*0.475*44/12</f>
        <v>0.55256041618303953</v>
      </c>
      <c r="FS145" s="21">
        <f>EXP(-LN(2)/2)*FS144+(1-EXP(-LN(2)/2))/(LN(2)/2)*FM145*FP145*VLOOKUP('Données projet'!$B$16,Paramètres!$A$1:$I$89,3,0)*0.475*44/12</f>
        <v>7.5574163234034693E-17</v>
      </c>
      <c r="FT145" s="22">
        <f t="shared" si="132"/>
        <v>1.2285716793061761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-5.6843418860808015E-14</v>
      </c>
      <c r="GA145" s="17">
        <f>FZ145*VLOOKUP('Données projet'!$B$17,Paramètres!$A$1:$I$89,3,0)*VLOOKUP('Données projet'!$B$17,Paramètres!$A$1:$I$89,5,0)</f>
        <v>-3.2514435588382188E-14</v>
      </c>
      <c r="GB145" s="13" t="e">
        <f t="shared" si="157"/>
        <v>#NUM!</v>
      </c>
      <c r="GC145" s="20" t="e">
        <f t="shared" si="133"/>
        <v>#NUM!</v>
      </c>
      <c r="GD145" s="59" t="e">
        <f t="shared" si="134"/>
        <v>#NUM!</v>
      </c>
      <c r="GE145" s="59">
        <f ca="1">AVERAGE(OFFSET($GD$3,0,0,'Données projet'!$E$17+1,1))-AVERAGE(OFFSET($H$3,0,0,'Données projet'!$E$17+1,1))</f>
        <v>196.95560009657527</v>
      </c>
      <c r="GF145" s="59">
        <f t="shared" si="158"/>
        <v>168.90186968005662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0</v>
      </c>
      <c r="GM145" s="21">
        <f>EXP(-LN(2)/25)*GM144+(1-EXP(-LN(2)/25))/(LN(2)/25)*Calculateur!GH145*Calculateur!GJ145*VLOOKUP('Données projet'!$B$17,Paramètres!$A$1:$I$89,3,0)*0.475*44/12</f>
        <v>0.41364854365545517</v>
      </c>
      <c r="GN145" s="21">
        <f>EXP(-LN(2)/2)*GN144+(1-EXP(-LN(2)/2))/(LN(2)/2)*GH145*GK145*VLOOKUP('Données projet'!$B$17,Paramètres!$A$1:$I$89,3,0)*0.475*44/12</f>
        <v>1.7846249967013967E-16</v>
      </c>
      <c r="GO145" s="21">
        <f t="shared" si="135"/>
        <v>0.41364854365545534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-5.3205440053716299E-14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215.23235148064941</v>
      </c>
      <c r="T146" s="59">
        <f t="shared" si="142"/>
        <v>184.07239726900434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0.33441268057301177</v>
      </c>
      <c r="AA146" s="21">
        <f>EXP(-LN(2)/25)*AA145+(1-EXP(-LN(2)/25))/(LN(2)/25)*Calculateur!V146*Calculateur!X146*VLOOKUP('Données projet'!$B$9,Paramètres!$A$1:$I$89,3,0)*0.475*44/12</f>
        <v>0.34238622356166976</v>
      </c>
      <c r="AB146" s="21">
        <f>EXP(-LN(2)/2)*AB145+(1-EXP(-LN(2)/2))/(LN(2)/2)*V146*Y146*VLOOKUP('Données projet'!$B$9,Paramètres!$A$1:$I$89,3,0)*0.475*44/12</f>
        <v>9.6483913401004499E-17</v>
      </c>
      <c r="AC146" s="22">
        <f t="shared" si="111"/>
        <v>0.67679890413468169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5.6843418860808015E-14</v>
      </c>
      <c r="AJ146" s="13">
        <f>AI146*VLOOKUP('Données projet'!$B$10,Paramètres!$A$1:$I$89,3,0)*VLOOKUP('Données projet'!$B$10,Paramètres!$A$1:$I$89,5,0)</f>
        <v>4.1677594708744434E-14</v>
      </c>
      <c r="AK146" s="13">
        <f t="shared" si="143"/>
        <v>6.9326303456159188E-13</v>
      </c>
      <c r="AL146" s="20">
        <f t="shared" si="112"/>
        <v>1.2800215959791691E-12</v>
      </c>
      <c r="AM146" s="59">
        <f t="shared" si="113"/>
        <v>293.33333333333462</v>
      </c>
      <c r="AN146" s="59">
        <f ca="1">AVERAGE(OFFSET($AM$3,0,0,'Données projet'!$E$10+1,1))-AVERAGE(OFFSET($H$3,0,0,'Données projet'!$E$10+1,1))</f>
        <v>178.12968684094687</v>
      </c>
      <c r="AO146" s="59">
        <f t="shared" si="144"/>
        <v>219.36004077210373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0.33510702282447252</v>
      </c>
      <c r="AW146" s="21">
        <f>EXP(-LN(2)/2)*AW145+(1-EXP(-LN(2)/2))/(LN(2)/2)*AQ146*AT146*VLOOKUP('Données projet'!$B$10,Paramètres!$A$1:$I$89,3,0)*0.475*44/12</f>
        <v>9.7321342991834118E-17</v>
      </c>
      <c r="AX146" s="21">
        <f t="shared" si="114"/>
        <v>0.33510702282447263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-5.6843418860808015E-14</v>
      </c>
      <c r="BE146" s="13">
        <f>BD146*VLOOKUP('Données projet'!$B$11,Paramètres!$A$1:$I$89,3,0)*VLOOKUP('Données projet'!$B$11,Paramètres!$A$1:$I$89,5,0)</f>
        <v>-4.9658410716801891E-14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114.02623091248347</v>
      </c>
      <c r="BJ146" s="59">
        <f t="shared" si="146"/>
        <v>185.51554083721635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0.20822324297732855</v>
      </c>
      <c r="BQ146" s="21">
        <f>EXP(-LN(2)/25)*BQ145+(1-EXP(-LN(2)/25))/(LN(2)/25)*Calculateur!BL146*Calculateur!BN146*VLOOKUP('Données projet'!$B$11,Paramètres!$A$1:$I$89,3,0)*0.475*44/12</f>
        <v>0.49060677375831063</v>
      </c>
      <c r="BR146" s="21">
        <f>EXP(-LN(2)/2)*BR145+(1-EXP(-LN(2)/2))/(LN(2)/2)*BL146*BO146*VLOOKUP('Données projet'!$B$11,Paramètres!$A$1:$I$89,3,0)*0.475*44/12</f>
        <v>1.7309556348195244E-16</v>
      </c>
      <c r="BS146" s="22">
        <f t="shared" si="117"/>
        <v>0.69883001673563938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-1.1368683772161603E-13</v>
      </c>
      <c r="BZ146" s="13">
        <f>BY146*VLOOKUP('Données projet'!$B$12,Paramètres!$A$1:$I$89,3,0)*VLOOKUP('Données projet'!$B$12,Paramètres!$A$1:$I$89,5,0)</f>
        <v>-1.0286385077051818E-13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237.22177246688199</v>
      </c>
      <c r="CE146" s="59">
        <f t="shared" si="148"/>
        <v>149.27472147904302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0.13537461231738324</v>
      </c>
      <c r="CM146" s="21">
        <f>EXP(-LN(2)/2)*CM145+(1-EXP(-LN(2)/2))/(LN(2)/2)*CG146*CJ146*VLOOKUP('Données projet'!$B$12,Paramètres!$A$1:$I$89,3,0)*0.475*44/12</f>
        <v>6.0736552440054232E-17</v>
      </c>
      <c r="CN146" s="22">
        <f t="shared" si="120"/>
        <v>0.13537461231738329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-5.6843418860808015E-13</v>
      </c>
      <c r="CU146" s="17">
        <f>CT146*VLOOKUP('Données projet'!$B$13,Paramètres!$A$1:$I$89,3,0)*VLOOKUP('Données projet'!$B$13,Paramètres!$A$1:$I$89,5,0)</f>
        <v>-3.177547114319168E-13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326.31232746914907</v>
      </c>
      <c r="CZ146" s="59">
        <f t="shared" si="150"/>
        <v>330.17137761430297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0.48733099420225889</v>
      </c>
      <c r="DG146" s="21">
        <f>EXP(-LN(2)/25)*DG145+(1-EXP(-LN(2)/25))/(LN(2)/25)*Calculateur!DB146*Calculateur!DD146*VLOOKUP('Données projet'!$B$13,Paramètres!$A$1:$I$89,3,0)*0.475*44/12</f>
        <v>1.315110265395582</v>
      </c>
      <c r="DH146" s="21">
        <f>EXP(-LN(2)/2)*DH145+(1-EXP(-LN(2)/2))/(LN(2)/2)*DB146*DE146*VLOOKUP('Données projet'!$B$13,Paramètres!$A$1:$I$89,3,0)*0.475*44/12</f>
        <v>3.1914178556917297E-16</v>
      </c>
      <c r="DI146" s="22">
        <f t="shared" si="123"/>
        <v>1.8024412595978412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6.2527760746888816E-13</v>
      </c>
      <c r="DP146" s="17">
        <f>DO146*VLOOKUP('Données projet'!$B$14,Paramètres!$A$1:$I$89,3,0)*VLOOKUP('Données projet'!$B$14,Paramètres!$A$1:$I$89,5,0)</f>
        <v>3.9017322706058616E-13</v>
      </c>
      <c r="DQ146" s="13">
        <f t="shared" si="151"/>
        <v>5.0025007393608908E-12</v>
      </c>
      <c r="DR146" s="20">
        <f t="shared" si="124"/>
        <v>9.3922404915174053E-12</v>
      </c>
      <c r="DS146" s="59">
        <f t="shared" si="125"/>
        <v>293.33333333334269</v>
      </c>
      <c r="DT146" s="59">
        <f ca="1">AVERAGE(OFFSET($DS$3,0,0,'Données projet'!$E$14+1,1))-AVERAGE(OFFSET($H$3,0,0,'Données projet'!$E$14+1,1))</f>
        <v>209.93608079129638</v>
      </c>
      <c r="DU146" s="59">
        <f t="shared" si="152"/>
        <v>240.15652428700969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0.74181462119582675</v>
      </c>
      <c r="EB146" s="21">
        <f>EXP(-LN(2)/25)*EB145+(1-EXP(-LN(2)/25))/(LN(2)/25)*Calculateur!DW146*Calculateur!DY146*VLOOKUP('Données projet'!$B$14,Paramètres!$A$1:$I$89,3,0)*0.475*44/12</f>
        <v>0.90605636432017578</v>
      </c>
      <c r="EC146" s="21">
        <f>EXP(-LN(2)/2)*EC145+(1-EXP(-LN(2)/2))/(LN(2)/2)*DW146*DZ146*VLOOKUP('Données projet'!$B$14,Paramètres!$A$1:$I$89,3,0)*0.475*44/12</f>
        <v>1.9813404473161583E-16</v>
      </c>
      <c r="ED146" s="22">
        <f t="shared" si="126"/>
        <v>1.6478709855160028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-4.5474735088646412E-13</v>
      </c>
      <c r="EK146" s="17">
        <f>EJ146*VLOOKUP('Données projet'!$B$15,Paramètres!$A$1:$I$89,3,0)*VLOOKUP('Données projet'!$B$15,Paramètres!$A$1:$I$89,5,0)</f>
        <v>-2.7193891583010558E-13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216.94426559495264</v>
      </c>
      <c r="EP146" s="59">
        <f t="shared" si="154"/>
        <v>225.33715877618704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</v>
      </c>
      <c r="EW146" s="21">
        <f>EXP(-LN(2)/25)*EW145+(1-EXP(-LN(2)/25))/(LN(2)/25)*Calculateur!ER146*Calculateur!ET146*VLOOKUP('Données projet'!$B$15,Paramètres!$A$1:$I$89,3,0)*0.475*44/12</f>
        <v>0.56004465488157029</v>
      </c>
      <c r="EX146" s="21">
        <f>EXP(-LN(2)/2)*EX145+(1-EXP(-LN(2)/2))/(LN(2)/2)*ER146*EU146*VLOOKUP('Données projet'!$B$15,Paramètres!$A$1:$I$89,3,0)*0.475*44/12</f>
        <v>2.3285805617047839E-16</v>
      </c>
      <c r="EY146" s="22">
        <f t="shared" si="129"/>
        <v>0.56004465488157051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>
        <f>FE146*VLOOKUP('Données projet'!$B$16,Paramètres!$A$1:$I$89,3,0)*VLOOKUP('Données projet'!$B$16,Paramètres!$A$1:$I$89,5,0)</f>
        <v>0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168.08890945052406</v>
      </c>
      <c r="FK146" s="59">
        <f t="shared" si="156"/>
        <v>182.52462557642343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0.66275509457944848</v>
      </c>
      <c r="FR146" s="21">
        <f>EXP(-LN(2)/25)*FR145+(1-EXP(-LN(2)/25))/(LN(2)/25)*Calculateur!FM146*Calculateur!FO146*VLOOKUP('Données projet'!$B$16,Paramètres!$A$1:$I$89,3,0)*0.475*44/12</f>
        <v>0.53745062254462495</v>
      </c>
      <c r="FS146" s="21">
        <f>EXP(-LN(2)/2)*FS145+(1-EXP(-LN(2)/2))/(LN(2)/2)*FM146*FP146*VLOOKUP('Données projet'!$B$16,Paramètres!$A$1:$I$89,3,0)*0.475*44/12</f>
        <v>5.3439003305284995E-17</v>
      </c>
      <c r="FT146" s="22">
        <f t="shared" si="132"/>
        <v>1.2002057171240734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-5.6843418860808015E-14</v>
      </c>
      <c r="GA146" s="17">
        <f>FZ146*VLOOKUP('Données projet'!$B$17,Paramètres!$A$1:$I$89,3,0)*VLOOKUP('Données projet'!$B$17,Paramètres!$A$1:$I$89,5,0)</f>
        <v>-3.2514435588382188E-14</v>
      </c>
      <c r="GB146" s="13" t="e">
        <f t="shared" si="157"/>
        <v>#NUM!</v>
      </c>
      <c r="GC146" s="20" t="e">
        <f t="shared" si="133"/>
        <v>#NUM!</v>
      </c>
      <c r="GD146" s="59" t="e">
        <f t="shared" si="134"/>
        <v>#NUM!</v>
      </c>
      <c r="GE146" s="59">
        <f ca="1">AVERAGE(OFFSET($GD$3,0,0,'Données projet'!$E$17+1,1))-AVERAGE(OFFSET($H$3,0,0,'Données projet'!$E$17+1,1))</f>
        <v>196.95560009657527</v>
      </c>
      <c r="GF146" s="59">
        <f t="shared" si="158"/>
        <v>168.90186968005662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0</v>
      </c>
      <c r="GM146" s="21">
        <f>EXP(-LN(2)/25)*GM145+(1-EXP(-LN(2)/25))/(LN(2)/25)*Calculateur!GH146*Calculateur!GJ146*VLOOKUP('Données projet'!$B$17,Paramètres!$A$1:$I$89,3,0)*0.475*44/12</f>
        <v>0.40233730247636523</v>
      </c>
      <c r="GN146" s="21">
        <f>EXP(-LN(2)/2)*GN145+(1-EXP(-LN(2)/2))/(LN(2)/2)*GH146*GK146*VLOOKUP('Données projet'!$B$17,Paramètres!$A$1:$I$89,3,0)*0.475*44/12</f>
        <v>1.2619204370425776E-16</v>
      </c>
      <c r="GO146" s="21">
        <f t="shared" si="135"/>
        <v>0.40233730247636534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-5.3205440053716299E-14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215.23235148064941</v>
      </c>
      <c r="T147" s="59">
        <f t="shared" si="142"/>
        <v>184.07239726900434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0.32785505187856961</v>
      </c>
      <c r="AA147" s="21">
        <f>EXP(-LN(2)/25)*AA146+(1-EXP(-LN(2)/25))/(LN(2)/25)*Calculateur!V147*Calculateur!X147*VLOOKUP('Données projet'!$B$9,Paramètres!$A$1:$I$89,3,0)*0.475*44/12</f>
        <v>0.33302365427306696</v>
      </c>
      <c r="AB147" s="21">
        <f>EXP(-LN(2)/2)*AB146+(1-EXP(-LN(2)/2))/(LN(2)/2)*V147*Y147*VLOOKUP('Données projet'!$B$9,Paramètres!$A$1:$I$89,3,0)*0.475*44/12</f>
        <v>6.8224429441265887E-17</v>
      </c>
      <c r="AC147" s="22">
        <f t="shared" si="111"/>
        <v>0.66087870615163669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5.6843418860808015E-14</v>
      </c>
      <c r="AJ147" s="13">
        <f>AI147*VLOOKUP('Données projet'!$B$10,Paramètres!$A$1:$I$89,3,0)*VLOOKUP('Données projet'!$B$10,Paramètres!$A$1:$I$89,5,0)</f>
        <v>4.1677594708744434E-14</v>
      </c>
      <c r="AK147" s="13">
        <f t="shared" si="143"/>
        <v>6.9326303456159188E-13</v>
      </c>
      <c r="AL147" s="20">
        <f t="shared" si="112"/>
        <v>1.2800215959791691E-12</v>
      </c>
      <c r="AM147" s="59">
        <f t="shared" si="113"/>
        <v>293.33333333333462</v>
      </c>
      <c r="AN147" s="59">
        <f ca="1">AVERAGE(OFFSET($AM$3,0,0,'Données projet'!$E$10+1,1))-AVERAGE(OFFSET($H$3,0,0,'Données projet'!$E$10+1,1))</f>
        <v>178.12968684094687</v>
      </c>
      <c r="AO147" s="59">
        <f t="shared" si="144"/>
        <v>219.36004077210373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0.32594350366282487</v>
      </c>
      <c r="AW147" s="21">
        <f>EXP(-LN(2)/2)*AW146+(1-EXP(-LN(2)/2))/(LN(2)/2)*AQ147*AT147*VLOOKUP('Données projet'!$B$10,Paramètres!$A$1:$I$89,3,0)*0.475*44/12</f>
        <v>6.8816581583707787E-17</v>
      </c>
      <c r="AX147" s="21">
        <f t="shared" si="114"/>
        <v>0.32594350366282493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-5.6843418860808015E-14</v>
      </c>
      <c r="BE147" s="13">
        <f>BD147*VLOOKUP('Données projet'!$B$11,Paramètres!$A$1:$I$89,3,0)*VLOOKUP('Données projet'!$B$11,Paramètres!$A$1:$I$89,5,0)</f>
        <v>-4.9658410716801891E-14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114.02623091248347</v>
      </c>
      <c r="BJ147" s="59">
        <f t="shared" si="146"/>
        <v>185.51554083721635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0.20414011218618078</v>
      </c>
      <c r="BQ147" s="21">
        <f>EXP(-LN(2)/25)*BQ146+(1-EXP(-LN(2)/25))/(LN(2)/25)*Calculateur!BL147*Calculateur!BN147*VLOOKUP('Données projet'!$B$11,Paramètres!$A$1:$I$89,3,0)*0.475*44/12</f>
        <v>0.47719110573000068</v>
      </c>
      <c r="BR147" s="21">
        <f>EXP(-LN(2)/2)*BR146+(1-EXP(-LN(2)/2))/(LN(2)/2)*BL147*BO147*VLOOKUP('Données projet'!$B$11,Paramètres!$A$1:$I$89,3,0)*0.475*44/12</f>
        <v>1.2239704673139509E-16</v>
      </c>
      <c r="BS147" s="22">
        <f t="shared" si="117"/>
        <v>0.68133121791618156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-1.1368683772161603E-13</v>
      </c>
      <c r="BZ147" s="13">
        <f>BY147*VLOOKUP('Données projet'!$B$12,Paramètres!$A$1:$I$89,3,0)*VLOOKUP('Données projet'!$B$12,Paramètres!$A$1:$I$89,5,0)</f>
        <v>-1.0286385077051818E-13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237.22177246688199</v>
      </c>
      <c r="CE147" s="59">
        <f t="shared" si="148"/>
        <v>149.27472147904302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0.13167278642452293</v>
      </c>
      <c r="CM147" s="21">
        <f>EXP(-LN(2)/2)*CM146+(1-EXP(-LN(2)/2))/(LN(2)/2)*CG147*CJ147*VLOOKUP('Données projet'!$B$12,Paramètres!$A$1:$I$89,3,0)*0.475*44/12</f>
        <v>4.2947228096254698E-17</v>
      </c>
      <c r="CN147" s="22">
        <f t="shared" si="120"/>
        <v>0.13167278642452299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-5.6843418860808015E-13</v>
      </c>
      <c r="CU147" s="17">
        <f>CT147*VLOOKUP('Données projet'!$B$13,Paramètres!$A$1:$I$89,3,0)*VLOOKUP('Données projet'!$B$13,Paramètres!$A$1:$I$89,5,0)</f>
        <v>-3.177547114319168E-13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326.31232746914907</v>
      </c>
      <c r="CZ147" s="59">
        <f t="shared" si="150"/>
        <v>330.17137761430297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0.47777473064850878</v>
      </c>
      <c r="DG147" s="21">
        <f>EXP(-LN(2)/25)*DG146+(1-EXP(-LN(2)/25))/(LN(2)/25)*Calculateur!DB147*Calculateur!DD147*VLOOKUP('Données projet'!$B$13,Paramètres!$A$1:$I$89,3,0)*0.475*44/12</f>
        <v>1.2791485060296965</v>
      </c>
      <c r="DH147" s="21">
        <f>EXP(-LN(2)/2)*DH146+(1-EXP(-LN(2)/2))/(LN(2)/2)*DB147*DE147*VLOOKUP('Données projet'!$B$13,Paramètres!$A$1:$I$89,3,0)*0.475*44/12</f>
        <v>2.2566732073594527E-16</v>
      </c>
      <c r="DI147" s="22">
        <f t="shared" si="123"/>
        <v>1.7569232366782055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6.2527760746888816E-13</v>
      </c>
      <c r="DP147" s="17">
        <f>DO147*VLOOKUP('Données projet'!$B$14,Paramètres!$A$1:$I$89,3,0)*VLOOKUP('Données projet'!$B$14,Paramètres!$A$1:$I$89,5,0)</f>
        <v>3.9017322706058616E-13</v>
      </c>
      <c r="DQ147" s="13">
        <f t="shared" si="151"/>
        <v>5.0025007393608908E-12</v>
      </c>
      <c r="DR147" s="20">
        <f t="shared" si="124"/>
        <v>9.3922404915174053E-12</v>
      </c>
      <c r="DS147" s="59">
        <f t="shared" si="125"/>
        <v>293.33333333334269</v>
      </c>
      <c r="DT147" s="59">
        <f ca="1">AVERAGE(OFFSET($DS$3,0,0,'Données projet'!$E$14+1,1))-AVERAGE(OFFSET($H$3,0,0,'Données projet'!$E$14+1,1))</f>
        <v>209.93608079129638</v>
      </c>
      <c r="DU147" s="59">
        <f t="shared" si="152"/>
        <v>240.15652428700969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0.72726808893641859</v>
      </c>
      <c r="EB147" s="21">
        <f>EXP(-LN(2)/25)*EB146+(1-EXP(-LN(2)/25))/(LN(2)/25)*Calculateur!DW147*Calculateur!DY147*VLOOKUP('Données projet'!$B$14,Paramètres!$A$1:$I$89,3,0)*0.475*44/12</f>
        <v>0.88128020539040719</v>
      </c>
      <c r="EC147" s="21">
        <f>EXP(-LN(2)/2)*EC146+(1-EXP(-LN(2)/2))/(LN(2)/2)*DW147*DZ147*VLOOKUP('Données projet'!$B$14,Paramètres!$A$1:$I$89,3,0)*0.475*44/12</f>
        <v>1.4010192661364429E-16</v>
      </c>
      <c r="ED147" s="22">
        <f t="shared" si="126"/>
        <v>1.6085482943268261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-4.5474735088646412E-13</v>
      </c>
      <c r="EK147" s="17">
        <f>EJ147*VLOOKUP('Données projet'!$B$15,Paramètres!$A$1:$I$89,3,0)*VLOOKUP('Données projet'!$B$15,Paramètres!$A$1:$I$89,5,0)</f>
        <v>-2.7193891583010558E-13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216.94426559495264</v>
      </c>
      <c r="EP147" s="59">
        <f t="shared" si="154"/>
        <v>225.33715877618704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</v>
      </c>
      <c r="EW147" s="21">
        <f>EXP(-LN(2)/25)*EW146+(1-EXP(-LN(2)/25))/(LN(2)/25)*Calculateur!ER147*Calculateur!ET147*VLOOKUP('Données projet'!$B$15,Paramètres!$A$1:$I$89,3,0)*0.475*44/12</f>
        <v>0.5447302043423653</v>
      </c>
      <c r="EX147" s="21">
        <f>EXP(-LN(2)/2)*EX146+(1-EXP(-LN(2)/2))/(LN(2)/2)*ER147*EU147*VLOOKUP('Données projet'!$B$15,Paramètres!$A$1:$I$89,3,0)*0.475*44/12</f>
        <v>1.6465551057206326E-16</v>
      </c>
      <c r="EY147" s="22">
        <f t="shared" si="129"/>
        <v>0.54473020434236541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>
        <f>FE147*VLOOKUP('Données projet'!$B$16,Paramètres!$A$1:$I$89,3,0)*VLOOKUP('Données projet'!$B$16,Paramètres!$A$1:$I$89,5,0)</f>
        <v>0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168.08890945052406</v>
      </c>
      <c r="FK147" s="59">
        <f t="shared" si="156"/>
        <v>182.52462557642343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0.64975887141543776</v>
      </c>
      <c r="FR147" s="21">
        <f>EXP(-LN(2)/25)*FR146+(1-EXP(-LN(2)/25))/(LN(2)/25)*Calculateur!FM147*Calculateur!FO147*VLOOKUP('Données projet'!$B$16,Paramètres!$A$1:$I$89,3,0)*0.475*44/12</f>
        <v>0.52275400700784225</v>
      </c>
      <c r="FS147" s="21">
        <f>EXP(-LN(2)/2)*FS146+(1-EXP(-LN(2)/2))/(LN(2)/2)*FM147*FP147*VLOOKUP('Données projet'!$B$16,Paramètres!$A$1:$I$89,3,0)*0.475*44/12</f>
        <v>3.7787081617017347E-17</v>
      </c>
      <c r="FT147" s="22">
        <f t="shared" si="132"/>
        <v>1.1725128784232801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-5.6843418860808015E-14</v>
      </c>
      <c r="GA147" s="17">
        <f>FZ147*VLOOKUP('Données projet'!$B$17,Paramètres!$A$1:$I$89,3,0)*VLOOKUP('Données projet'!$B$17,Paramètres!$A$1:$I$89,5,0)</f>
        <v>-3.2514435588382188E-14</v>
      </c>
      <c r="GB147" s="13" t="e">
        <f t="shared" si="157"/>
        <v>#NUM!</v>
      </c>
      <c r="GC147" s="20" t="e">
        <f t="shared" si="133"/>
        <v>#NUM!</v>
      </c>
      <c r="GD147" s="59" t="e">
        <f t="shared" si="134"/>
        <v>#NUM!</v>
      </c>
      <c r="GE147" s="59">
        <f ca="1">AVERAGE(OFFSET($GD$3,0,0,'Données projet'!$E$17+1,1))-AVERAGE(OFFSET($H$3,0,0,'Données projet'!$E$17+1,1))</f>
        <v>196.95560009657527</v>
      </c>
      <c r="GF147" s="59">
        <f t="shared" si="158"/>
        <v>168.90186968005662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0</v>
      </c>
      <c r="GM147" s="21">
        <f>EXP(-LN(2)/25)*GM146+(1-EXP(-LN(2)/25))/(LN(2)/25)*Calculateur!GH147*Calculateur!GJ147*VLOOKUP('Données projet'!$B$17,Paramètres!$A$1:$I$89,3,0)*0.475*44/12</f>
        <v>0.39133536778214983</v>
      </c>
      <c r="GN147" s="21">
        <f>EXP(-LN(2)/2)*GN146+(1-EXP(-LN(2)/2))/(LN(2)/2)*GH147*GK147*VLOOKUP('Données projet'!$B$17,Paramètres!$A$1:$I$89,3,0)*0.475*44/12</f>
        <v>8.9231249835069837E-17</v>
      </c>
      <c r="GO147" s="21">
        <f t="shared" si="135"/>
        <v>0.39133536778214995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-5.3205440053716299E-14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215.23235148064941</v>
      </c>
      <c r="T148" s="59">
        <f t="shared" si="142"/>
        <v>184.07239726900434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0.32142601428306694</v>
      </c>
      <c r="AA148" s="21">
        <f>EXP(-LN(2)/25)*AA147+(1-EXP(-LN(2)/25))/(LN(2)/25)*Calculateur!V148*Calculateur!X148*VLOOKUP('Données projet'!$B$9,Paramètres!$A$1:$I$89,3,0)*0.475*44/12</f>
        <v>0.3239171049340171</v>
      </c>
      <c r="AB148" s="21">
        <f>EXP(-LN(2)/2)*AB147+(1-EXP(-LN(2)/2))/(LN(2)/2)*V148*Y148*VLOOKUP('Données projet'!$B$9,Paramètres!$A$1:$I$89,3,0)*0.475*44/12</f>
        <v>4.8241956700502249E-17</v>
      </c>
      <c r="AC148" s="22">
        <f t="shared" si="111"/>
        <v>0.64534311921708398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5.6843418860808015E-14</v>
      </c>
      <c r="AJ148" s="13">
        <f>AI148*VLOOKUP('Données projet'!$B$10,Paramètres!$A$1:$I$89,3,0)*VLOOKUP('Données projet'!$B$10,Paramètres!$A$1:$I$89,5,0)</f>
        <v>4.1677594708744434E-14</v>
      </c>
      <c r="AK148" s="13">
        <f t="shared" si="143"/>
        <v>6.9326303456159188E-13</v>
      </c>
      <c r="AL148" s="20">
        <f t="shared" si="112"/>
        <v>1.2800215959791691E-12</v>
      </c>
      <c r="AM148" s="59">
        <f t="shared" si="113"/>
        <v>293.33333333333462</v>
      </c>
      <c r="AN148" s="59">
        <f ca="1">AVERAGE(OFFSET($AM$3,0,0,'Données projet'!$E$10+1,1))-AVERAGE(OFFSET($H$3,0,0,'Données projet'!$E$10+1,1))</f>
        <v>178.12968684094687</v>
      </c>
      <c r="AO148" s="59">
        <f t="shared" si="144"/>
        <v>219.36004077210373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0.317030561414541</v>
      </c>
      <c r="AW148" s="21">
        <f>EXP(-LN(2)/2)*AW147+(1-EXP(-LN(2)/2))/(LN(2)/2)*AQ148*AT148*VLOOKUP('Données projet'!$B$10,Paramètres!$A$1:$I$89,3,0)*0.475*44/12</f>
        <v>4.8660671495917059E-17</v>
      </c>
      <c r="AX148" s="21">
        <f t="shared" si="114"/>
        <v>0.31703056141454106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-5.6843418860808015E-14</v>
      </c>
      <c r="BE148" s="13">
        <f>BD148*VLOOKUP('Données projet'!$B$11,Paramètres!$A$1:$I$89,3,0)*VLOOKUP('Données projet'!$B$11,Paramètres!$A$1:$I$89,5,0)</f>
        <v>-4.9658410716801891E-14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114.02623091248347</v>
      </c>
      <c r="BJ148" s="59">
        <f t="shared" si="146"/>
        <v>185.51554083721635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0.20013704909938354</v>
      </c>
      <c r="BQ148" s="21">
        <f>EXP(-LN(2)/25)*BQ147+(1-EXP(-LN(2)/25))/(LN(2)/25)*Calculateur!BL148*Calculateur!BN148*VLOOKUP('Données projet'!$B$11,Paramètres!$A$1:$I$89,3,0)*0.475*44/12</f>
        <v>0.46414228984942418</v>
      </c>
      <c r="BR148" s="21">
        <f>EXP(-LN(2)/2)*BR147+(1-EXP(-LN(2)/2))/(LN(2)/2)*BL148*BO148*VLOOKUP('Données projet'!$B$11,Paramètres!$A$1:$I$89,3,0)*0.475*44/12</f>
        <v>8.6547781740976219E-17</v>
      </c>
      <c r="BS148" s="22">
        <f t="shared" si="117"/>
        <v>0.66427933894880786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-1.1368683772161603E-13</v>
      </c>
      <c r="BZ148" s="13">
        <f>BY148*VLOOKUP('Données projet'!$B$12,Paramètres!$A$1:$I$89,3,0)*VLOOKUP('Données projet'!$B$12,Paramètres!$A$1:$I$89,5,0)</f>
        <v>-1.0286385077051818E-13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237.22177246688199</v>
      </c>
      <c r="CE148" s="59">
        <f t="shared" si="148"/>
        <v>149.27472147904302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0.12807218715537347</v>
      </c>
      <c r="CM148" s="21">
        <f>EXP(-LN(2)/2)*CM147+(1-EXP(-LN(2)/2))/(LN(2)/2)*CG148*CJ148*VLOOKUP('Données projet'!$B$12,Paramètres!$A$1:$I$89,3,0)*0.475*44/12</f>
        <v>3.0368276220027116E-17</v>
      </c>
      <c r="CN148" s="22">
        <f t="shared" si="120"/>
        <v>0.1280721871553735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-5.6843418860808015E-13</v>
      </c>
      <c r="CU148" s="17">
        <f>CT148*VLOOKUP('Données projet'!$B$13,Paramètres!$A$1:$I$89,3,0)*VLOOKUP('Données projet'!$B$13,Paramètres!$A$1:$I$89,5,0)</f>
        <v>-3.177547114319168E-13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326.31232746914907</v>
      </c>
      <c r="CZ148" s="59">
        <f t="shared" si="150"/>
        <v>330.17137761430297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0.46840585959430248</v>
      </c>
      <c r="DG148" s="21">
        <f>EXP(-LN(2)/25)*DG147+(1-EXP(-LN(2)/25))/(LN(2)/25)*Calculateur!DB148*Calculateur!DD148*VLOOKUP('Données projet'!$B$13,Paramètres!$A$1:$I$89,3,0)*0.475*44/12</f>
        <v>1.2441701228648181</v>
      </c>
      <c r="DH148" s="21">
        <f>EXP(-LN(2)/2)*DH147+(1-EXP(-LN(2)/2))/(LN(2)/2)*DB148*DE148*VLOOKUP('Données projet'!$B$13,Paramètres!$A$1:$I$89,3,0)*0.475*44/12</f>
        <v>1.5957089278458649E-16</v>
      </c>
      <c r="DI148" s="22">
        <f t="shared" si="123"/>
        <v>1.7125759824591207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6.2527760746888816E-13</v>
      </c>
      <c r="DP148" s="17">
        <f>DO148*VLOOKUP('Données projet'!$B$14,Paramètres!$A$1:$I$89,3,0)*VLOOKUP('Données projet'!$B$14,Paramètres!$A$1:$I$89,5,0)</f>
        <v>3.9017322706058616E-13</v>
      </c>
      <c r="DQ148" s="13">
        <f t="shared" si="151"/>
        <v>5.0025007393608908E-12</v>
      </c>
      <c r="DR148" s="20">
        <f t="shared" si="124"/>
        <v>9.3922404915174053E-12</v>
      </c>
      <c r="DS148" s="59">
        <f t="shared" si="125"/>
        <v>293.33333333334269</v>
      </c>
      <c r="DT148" s="59">
        <f ca="1">AVERAGE(OFFSET($DS$3,0,0,'Données projet'!$E$14+1,1))-AVERAGE(OFFSET($H$3,0,0,'Données projet'!$E$14+1,1))</f>
        <v>209.93608079129638</v>
      </c>
      <c r="DU148" s="59">
        <f t="shared" si="152"/>
        <v>240.15652428700969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0.7130068053021088</v>
      </c>
      <c r="EB148" s="21">
        <f>EXP(-LN(2)/25)*EB147+(1-EXP(-LN(2)/25))/(LN(2)/25)*Calculateur!DW148*Calculateur!DY148*VLOOKUP('Données projet'!$B$14,Paramètres!$A$1:$I$89,3,0)*0.475*44/12</f>
        <v>0.85718155182949474</v>
      </c>
      <c r="EC148" s="21">
        <f>EXP(-LN(2)/2)*EC147+(1-EXP(-LN(2)/2))/(LN(2)/2)*DW148*DZ148*VLOOKUP('Données projet'!$B$14,Paramètres!$A$1:$I$89,3,0)*0.475*44/12</f>
        <v>9.9067022365807913E-17</v>
      </c>
      <c r="ED148" s="22">
        <f t="shared" si="126"/>
        <v>1.5701883571316035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-4.5474735088646412E-13</v>
      </c>
      <c r="EK148" s="17">
        <f>EJ148*VLOOKUP('Données projet'!$B$15,Paramètres!$A$1:$I$89,3,0)*VLOOKUP('Données projet'!$B$15,Paramètres!$A$1:$I$89,5,0)</f>
        <v>-2.7193891583010558E-13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216.94426559495264</v>
      </c>
      <c r="EP148" s="59">
        <f t="shared" si="154"/>
        <v>225.33715877618704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</v>
      </c>
      <c r="EW148" s="21">
        <f>EXP(-LN(2)/25)*EW147+(1-EXP(-LN(2)/25))/(LN(2)/25)*Calculateur!ER148*Calculateur!ET148*VLOOKUP('Données projet'!$B$15,Paramètres!$A$1:$I$89,3,0)*0.475*44/12</f>
        <v>0.52983452825850685</v>
      </c>
      <c r="EX148" s="21">
        <f>EXP(-LN(2)/2)*EX147+(1-EXP(-LN(2)/2))/(LN(2)/2)*ER148*EU148*VLOOKUP('Données projet'!$B$15,Paramètres!$A$1:$I$89,3,0)*0.475*44/12</f>
        <v>1.1642902808523919E-16</v>
      </c>
      <c r="EY148" s="22">
        <f t="shared" si="129"/>
        <v>0.52983452825850696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>
        <f>FE148*VLOOKUP('Données projet'!$B$16,Paramètres!$A$1:$I$89,3,0)*VLOOKUP('Données projet'!$B$16,Paramètres!$A$1:$I$89,5,0)</f>
        <v>0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168.08890945052406</v>
      </c>
      <c r="FK148" s="59">
        <f t="shared" si="156"/>
        <v>182.52462557642343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0.63701749626075987</v>
      </c>
      <c r="FR148" s="21">
        <f>EXP(-LN(2)/25)*FR147+(1-EXP(-LN(2)/25))/(LN(2)/25)*Calculateur!FM148*Calculateur!FO148*VLOOKUP('Données projet'!$B$16,Paramètres!$A$1:$I$89,3,0)*0.475*44/12</f>
        <v>0.50845927119577439</v>
      </c>
      <c r="FS148" s="21">
        <f>EXP(-LN(2)/2)*FS147+(1-EXP(-LN(2)/2))/(LN(2)/2)*FM148*FP148*VLOOKUP('Données projet'!$B$16,Paramètres!$A$1:$I$89,3,0)*0.475*44/12</f>
        <v>2.6719501652642498E-17</v>
      </c>
      <c r="FT148" s="22">
        <f t="shared" si="132"/>
        <v>1.1454767674565343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-5.6843418860808015E-14</v>
      </c>
      <c r="GA148" s="17">
        <f>FZ148*VLOOKUP('Données projet'!$B$17,Paramètres!$A$1:$I$89,3,0)*VLOOKUP('Données projet'!$B$17,Paramètres!$A$1:$I$89,5,0)</f>
        <v>-3.2514435588382188E-14</v>
      </c>
      <c r="GB148" s="13" t="e">
        <f t="shared" si="157"/>
        <v>#NUM!</v>
      </c>
      <c r="GC148" s="20" t="e">
        <f t="shared" si="133"/>
        <v>#NUM!</v>
      </c>
      <c r="GD148" s="59" t="e">
        <f t="shared" si="134"/>
        <v>#NUM!</v>
      </c>
      <c r="GE148" s="59">
        <f ca="1">AVERAGE(OFFSET($GD$3,0,0,'Données projet'!$E$17+1,1))-AVERAGE(OFFSET($H$3,0,0,'Données projet'!$E$17+1,1))</f>
        <v>196.95560009657527</v>
      </c>
      <c r="GF148" s="59">
        <f t="shared" si="158"/>
        <v>168.90186968005662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0</v>
      </c>
      <c r="GM148" s="21">
        <f>EXP(-LN(2)/25)*GM147+(1-EXP(-LN(2)/25))/(LN(2)/25)*Calculateur!GH148*Calculateur!GJ148*VLOOKUP('Données projet'!$B$17,Paramètres!$A$1:$I$89,3,0)*0.475*44/12</f>
        <v>0.38063428157071438</v>
      </c>
      <c r="GN148" s="21">
        <f>EXP(-LN(2)/2)*GN147+(1-EXP(-LN(2)/2))/(LN(2)/2)*GH148*GK148*VLOOKUP('Données projet'!$B$17,Paramètres!$A$1:$I$89,3,0)*0.475*44/12</f>
        <v>6.3096021852128882E-17</v>
      </c>
      <c r="GO148" s="21">
        <f t="shared" si="135"/>
        <v>0.38063428157071444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-5.3205440053716299E-14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215.23235148064941</v>
      </c>
      <c r="T149" s="59">
        <f t="shared" si="142"/>
        <v>184.07239726900434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0.31512304619348636</v>
      </c>
      <c r="AA149" s="21">
        <f>EXP(-LN(2)/25)*AA148+(1-EXP(-LN(2)/25))/(LN(2)/25)*Calculateur!V149*Calculateur!X149*VLOOKUP('Données projet'!$B$9,Paramètres!$A$1:$I$89,3,0)*0.475*44/12</f>
        <v>0.31505957466553619</v>
      </c>
      <c r="AB149" s="21">
        <f>EXP(-LN(2)/2)*AB148+(1-EXP(-LN(2)/2))/(LN(2)/2)*V149*Y149*VLOOKUP('Données projet'!$B$9,Paramètres!$A$1:$I$89,3,0)*0.475*44/12</f>
        <v>3.4112214720632944E-17</v>
      </c>
      <c r="AC149" s="22">
        <f t="shared" si="111"/>
        <v>0.63018262085902255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5.6843418860808015E-14</v>
      </c>
      <c r="AJ149" s="13">
        <f>AI149*VLOOKUP('Données projet'!$B$10,Paramètres!$A$1:$I$89,3,0)*VLOOKUP('Données projet'!$B$10,Paramètres!$A$1:$I$89,5,0)</f>
        <v>4.1677594708744434E-14</v>
      </c>
      <c r="AK149" s="13">
        <f t="shared" si="143"/>
        <v>6.9326303456159188E-13</v>
      </c>
      <c r="AL149" s="20">
        <f t="shared" si="112"/>
        <v>1.2800215959791691E-12</v>
      </c>
      <c r="AM149" s="59">
        <f t="shared" si="113"/>
        <v>293.33333333333462</v>
      </c>
      <c r="AN149" s="59">
        <f ca="1">AVERAGE(OFFSET($AM$3,0,0,'Données projet'!$E$10+1,1))-AVERAGE(OFFSET($H$3,0,0,'Données projet'!$E$10+1,1))</f>
        <v>178.12968684094687</v>
      </c>
      <c r="AO149" s="59">
        <f t="shared" si="144"/>
        <v>219.36004077210373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0.30836134404074772</v>
      </c>
      <c r="AW149" s="21">
        <f>EXP(-LN(2)/2)*AW148+(1-EXP(-LN(2)/2))/(LN(2)/2)*AQ149*AT149*VLOOKUP('Données projet'!$B$10,Paramètres!$A$1:$I$89,3,0)*0.475*44/12</f>
        <v>3.4408290791853894E-17</v>
      </c>
      <c r="AX149" s="21">
        <f t="shared" si="114"/>
        <v>0.30836134404074778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-5.6843418860808015E-14</v>
      </c>
      <c r="BE149" s="13">
        <f>BD149*VLOOKUP('Données projet'!$B$11,Paramètres!$A$1:$I$89,3,0)*VLOOKUP('Données projet'!$B$11,Paramètres!$A$1:$I$89,5,0)</f>
        <v>-4.9658410716801891E-14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114.02623091248347</v>
      </c>
      <c r="BJ149" s="59">
        <f t="shared" si="146"/>
        <v>185.51554083721635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0.19621248363809102</v>
      </c>
      <c r="BQ149" s="21">
        <f>EXP(-LN(2)/25)*BQ148+(1-EXP(-LN(2)/25))/(LN(2)/25)*Calculateur!BL149*Calculateur!BN149*VLOOKUP('Données projet'!$B$11,Paramètres!$A$1:$I$89,3,0)*0.475*44/12</f>
        <v>0.45145029452530949</v>
      </c>
      <c r="BR149" s="21">
        <f>EXP(-LN(2)/2)*BR148+(1-EXP(-LN(2)/2))/(LN(2)/2)*BL149*BO149*VLOOKUP('Données projet'!$B$11,Paramètres!$A$1:$I$89,3,0)*0.475*44/12</f>
        <v>6.1198523365697543E-17</v>
      </c>
      <c r="BS149" s="22">
        <f t="shared" si="117"/>
        <v>0.64766277816340068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-1.1368683772161603E-13</v>
      </c>
      <c r="BZ149" s="13">
        <f>BY149*VLOOKUP('Données projet'!$B$12,Paramètres!$A$1:$I$89,3,0)*VLOOKUP('Données projet'!$B$12,Paramètres!$A$1:$I$89,5,0)</f>
        <v>-1.0286385077051818E-13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237.22177246688199</v>
      </c>
      <c r="CE149" s="59">
        <f t="shared" si="148"/>
        <v>149.27472147904302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0.12457004646258617</v>
      </c>
      <c r="CM149" s="21">
        <f>EXP(-LN(2)/2)*CM148+(1-EXP(-LN(2)/2))/(LN(2)/2)*CG149*CJ149*VLOOKUP('Données projet'!$B$12,Paramètres!$A$1:$I$89,3,0)*0.475*44/12</f>
        <v>2.1473614048127349E-17</v>
      </c>
      <c r="CN149" s="22">
        <f t="shared" si="120"/>
        <v>0.1245700464625862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-5.6843418860808015E-13</v>
      </c>
      <c r="CU149" s="17">
        <f>CT149*VLOOKUP('Données projet'!$B$13,Paramètres!$A$1:$I$89,3,0)*VLOOKUP('Données projet'!$B$13,Paramètres!$A$1:$I$89,5,0)</f>
        <v>-3.177547114319168E-13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326.31232746914907</v>
      </c>
      <c r="CZ149" s="59">
        <f t="shared" si="150"/>
        <v>330.17137761430297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0.45922070638702212</v>
      </c>
      <c r="DG149" s="21">
        <f>EXP(-LN(2)/25)*DG148+(1-EXP(-LN(2)/25))/(LN(2)/25)*Calculateur!DB149*Calculateur!DD149*VLOOKUP('Données projet'!$B$13,Paramètres!$A$1:$I$89,3,0)*0.475*44/12</f>
        <v>1.2101482254270164</v>
      </c>
      <c r="DH149" s="21">
        <f>EXP(-LN(2)/2)*DH148+(1-EXP(-LN(2)/2))/(LN(2)/2)*DB149*DE149*VLOOKUP('Données projet'!$B$13,Paramètres!$A$1:$I$89,3,0)*0.475*44/12</f>
        <v>1.1283366036797263E-16</v>
      </c>
      <c r="DI149" s="22">
        <f t="shared" si="123"/>
        <v>1.6693689318140388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6.2527760746888816E-13</v>
      </c>
      <c r="DP149" s="17">
        <f>DO149*VLOOKUP('Données projet'!$B$14,Paramètres!$A$1:$I$89,3,0)*VLOOKUP('Données projet'!$B$14,Paramètres!$A$1:$I$89,5,0)</f>
        <v>3.9017322706058616E-13</v>
      </c>
      <c r="DQ149" s="13">
        <f t="shared" si="151"/>
        <v>5.0025007393608908E-12</v>
      </c>
      <c r="DR149" s="20">
        <f t="shared" si="124"/>
        <v>9.3922404915174053E-12</v>
      </c>
      <c r="DS149" s="59">
        <f t="shared" si="125"/>
        <v>293.33333333334269</v>
      </c>
      <c r="DT149" s="59">
        <f ca="1">AVERAGE(OFFSET($DS$3,0,0,'Données projet'!$E$14+1,1))-AVERAGE(OFFSET($H$3,0,0,'Données projet'!$E$14+1,1))</f>
        <v>209.93608079129638</v>
      </c>
      <c r="DU149" s="59">
        <f t="shared" si="152"/>
        <v>240.15652428700969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0.69902517674134379</v>
      </c>
      <c r="EB149" s="21">
        <f>EXP(-LN(2)/25)*EB148+(1-EXP(-LN(2)/25))/(LN(2)/25)*Calculateur!DW149*Calculateur!DY149*VLOOKUP('Données projet'!$B$14,Paramètres!$A$1:$I$89,3,0)*0.475*44/12</f>
        <v>0.83374187721749848</v>
      </c>
      <c r="EC149" s="21">
        <f>EXP(-LN(2)/2)*EC148+(1-EXP(-LN(2)/2))/(LN(2)/2)*DW149*DZ149*VLOOKUP('Données projet'!$B$14,Paramètres!$A$1:$I$89,3,0)*0.475*44/12</f>
        <v>7.0050963306822145E-17</v>
      </c>
      <c r="ED149" s="22">
        <f t="shared" si="126"/>
        <v>1.5327670539588423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-4.5474735088646412E-13</v>
      </c>
      <c r="EK149" s="17">
        <f>EJ149*VLOOKUP('Données projet'!$B$15,Paramètres!$A$1:$I$89,3,0)*VLOOKUP('Données projet'!$B$15,Paramètres!$A$1:$I$89,5,0)</f>
        <v>-2.7193891583010558E-13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216.94426559495264</v>
      </c>
      <c r="EP149" s="59">
        <f t="shared" si="154"/>
        <v>225.33715877618704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</v>
      </c>
      <c r="EW149" s="21">
        <f>EXP(-LN(2)/25)*EW148+(1-EXP(-LN(2)/25))/(LN(2)/25)*Calculateur!ER149*Calculateur!ET149*VLOOKUP('Données projet'!$B$15,Paramètres!$A$1:$I$89,3,0)*0.475*44/12</f>
        <v>0.51534617522049109</v>
      </c>
      <c r="EX149" s="21">
        <f>EXP(-LN(2)/2)*EX148+(1-EXP(-LN(2)/2))/(LN(2)/2)*ER149*EU149*VLOOKUP('Données projet'!$B$15,Paramètres!$A$1:$I$89,3,0)*0.475*44/12</f>
        <v>8.232775528603163E-17</v>
      </c>
      <c r="EY149" s="22">
        <f t="shared" si="129"/>
        <v>0.5153461752204912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>
        <f>FE149*VLOOKUP('Données projet'!$B$16,Paramètres!$A$1:$I$89,3,0)*VLOOKUP('Données projet'!$B$16,Paramètres!$A$1:$I$89,5,0)</f>
        <v>0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168.08890945052406</v>
      </c>
      <c r="FK149" s="59">
        <f t="shared" si="156"/>
        <v>182.52462557642343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0.62452597170139368</v>
      </c>
      <c r="FR149" s="21">
        <f>EXP(-LN(2)/25)*FR148+(1-EXP(-LN(2)/25))/(LN(2)/25)*Calculateur!FM149*Calculateur!FO149*VLOOKUP('Données projet'!$B$16,Paramètres!$A$1:$I$89,3,0)*0.475*44/12</f>
        <v>0.49455542568621497</v>
      </c>
      <c r="FS149" s="21">
        <f>EXP(-LN(2)/2)*FS148+(1-EXP(-LN(2)/2))/(LN(2)/2)*FM149*FP149*VLOOKUP('Données projet'!$B$16,Paramètres!$A$1:$I$89,3,0)*0.475*44/12</f>
        <v>1.8893540808508673E-17</v>
      </c>
      <c r="FT149" s="22">
        <f t="shared" si="132"/>
        <v>1.1190813973876086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-5.6843418860808015E-14</v>
      </c>
      <c r="GA149" s="17">
        <f>FZ149*VLOOKUP('Données projet'!$B$17,Paramètres!$A$1:$I$89,3,0)*VLOOKUP('Données projet'!$B$17,Paramètres!$A$1:$I$89,5,0)</f>
        <v>-3.2514435588382188E-14</v>
      </c>
      <c r="GB149" s="13" t="e">
        <f t="shared" si="157"/>
        <v>#NUM!</v>
      </c>
      <c r="GC149" s="20" t="e">
        <f t="shared" si="133"/>
        <v>#NUM!</v>
      </c>
      <c r="GD149" s="59" t="e">
        <f t="shared" si="134"/>
        <v>#NUM!</v>
      </c>
      <c r="GE149" s="59">
        <f ca="1">AVERAGE(OFFSET($GD$3,0,0,'Données projet'!$E$17+1,1))-AVERAGE(OFFSET($H$3,0,0,'Données projet'!$E$17+1,1))</f>
        <v>196.95560009657527</v>
      </c>
      <c r="GF149" s="59">
        <f t="shared" si="158"/>
        <v>168.90186968005662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0</v>
      </c>
      <c r="GM149" s="21">
        <f>EXP(-LN(2)/25)*GM148+(1-EXP(-LN(2)/25))/(LN(2)/25)*Calculateur!GH149*Calculateur!GJ149*VLOOKUP('Données projet'!$B$17,Paramètres!$A$1:$I$89,3,0)*0.475*44/12</f>
        <v>0.37022581712447628</v>
      </c>
      <c r="GN149" s="21">
        <f>EXP(-LN(2)/2)*GN148+(1-EXP(-LN(2)/2))/(LN(2)/2)*GH149*GK149*VLOOKUP('Données projet'!$B$17,Paramètres!$A$1:$I$89,3,0)*0.475*44/12</f>
        <v>4.4615624917534919E-17</v>
      </c>
      <c r="GO149" s="21">
        <f t="shared" si="135"/>
        <v>0.37022581712447633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-5.3205440053716299E-14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215.23235148064941</v>
      </c>
      <c r="T150" s="59">
        <f t="shared" si="142"/>
        <v>184.07239726900434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0.30894367546371149</v>
      </c>
      <c r="AA150" s="21">
        <f>EXP(-LN(2)/25)*AA149+(1-EXP(-LN(2)/25))/(LN(2)/25)*Calculateur!V150*Calculateur!X150*VLOOKUP('Données projet'!$B$9,Paramètres!$A$1:$I$89,3,0)*0.475*44/12</f>
        <v>0.30644425402804415</v>
      </c>
      <c r="AB150" s="21">
        <f>EXP(-LN(2)/2)*AB149+(1-EXP(-LN(2)/2))/(LN(2)/2)*V150*Y150*VLOOKUP('Données projet'!$B$9,Paramètres!$A$1:$I$89,3,0)*0.475*44/12</f>
        <v>2.4120978350251125E-17</v>
      </c>
      <c r="AC150" s="22">
        <f t="shared" si="111"/>
        <v>0.61538792949175569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5.6843418860808015E-14</v>
      </c>
      <c r="AJ150" s="13">
        <f>AI150*VLOOKUP('Données projet'!$B$10,Paramètres!$A$1:$I$89,3,0)*VLOOKUP('Données projet'!$B$10,Paramètres!$A$1:$I$89,5,0)</f>
        <v>4.1677594708744434E-14</v>
      </c>
      <c r="AK150" s="13">
        <f t="shared" si="143"/>
        <v>6.9326303456159188E-13</v>
      </c>
      <c r="AL150" s="20">
        <f t="shared" si="112"/>
        <v>1.2800215959791691E-12</v>
      </c>
      <c r="AM150" s="59">
        <f t="shared" si="113"/>
        <v>293.33333333333462</v>
      </c>
      <c r="AN150" s="59">
        <f ca="1">AVERAGE(OFFSET($AM$3,0,0,'Données projet'!$E$10+1,1))-AVERAGE(OFFSET($H$3,0,0,'Données projet'!$E$10+1,1))</f>
        <v>178.12968684094687</v>
      </c>
      <c r="AO150" s="59">
        <f t="shared" si="144"/>
        <v>219.36004077210373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0.29992918687193515</v>
      </c>
      <c r="AW150" s="21">
        <f>EXP(-LN(2)/2)*AW149+(1-EXP(-LN(2)/2))/(LN(2)/2)*AQ150*AT150*VLOOKUP('Données projet'!$B$10,Paramètres!$A$1:$I$89,3,0)*0.475*44/12</f>
        <v>2.4330335747958529E-17</v>
      </c>
      <c r="AX150" s="21">
        <f t="shared" si="114"/>
        <v>0.29992918687193515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-5.6843418860808015E-14</v>
      </c>
      <c r="BE150" s="13">
        <f>BD150*VLOOKUP('Données projet'!$B$11,Paramètres!$A$1:$I$89,3,0)*VLOOKUP('Données projet'!$B$11,Paramètres!$A$1:$I$89,5,0)</f>
        <v>-4.9658410716801891E-14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114.02623091248347</v>
      </c>
      <c r="BJ150" s="59">
        <f t="shared" si="146"/>
        <v>185.51554083721635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0.19236487651174586</v>
      </c>
      <c r="BQ150" s="21">
        <f>EXP(-LN(2)/25)*BQ149+(1-EXP(-LN(2)/25))/(LN(2)/25)*Calculateur!BL150*Calculateur!BN150*VLOOKUP('Données projet'!$B$11,Paramètres!$A$1:$I$89,3,0)*0.475*44/12</f>
        <v>0.4391053624807757</v>
      </c>
      <c r="BR150" s="21">
        <f>EXP(-LN(2)/2)*BR149+(1-EXP(-LN(2)/2))/(LN(2)/2)*BL150*BO150*VLOOKUP('Données projet'!$B$11,Paramètres!$A$1:$I$89,3,0)*0.475*44/12</f>
        <v>4.3273890870488109E-17</v>
      </c>
      <c r="BS150" s="22">
        <f t="shared" si="117"/>
        <v>0.63147023899252153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-1.1368683772161603E-13</v>
      </c>
      <c r="BZ150" s="13">
        <f>BY150*VLOOKUP('Données projet'!$B$12,Paramètres!$A$1:$I$89,3,0)*VLOOKUP('Données projet'!$B$12,Paramètres!$A$1:$I$89,5,0)</f>
        <v>-1.0286385077051818E-13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237.22177246688199</v>
      </c>
      <c r="CE150" s="59">
        <f t="shared" si="148"/>
        <v>149.27472147904302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0.12116367199121271</v>
      </c>
      <c r="CM150" s="21">
        <f>EXP(-LN(2)/2)*CM149+(1-EXP(-LN(2)/2))/(LN(2)/2)*CG150*CJ150*VLOOKUP('Données projet'!$B$12,Paramètres!$A$1:$I$89,3,0)*0.475*44/12</f>
        <v>1.5184138110013558E-17</v>
      </c>
      <c r="CN150" s="22">
        <f t="shared" si="120"/>
        <v>0.12116367199121272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-5.6843418860808015E-13</v>
      </c>
      <c r="CU150" s="17">
        <f>CT150*VLOOKUP('Données projet'!$B$13,Paramètres!$A$1:$I$89,3,0)*VLOOKUP('Données projet'!$B$13,Paramètres!$A$1:$I$89,5,0)</f>
        <v>-3.177547114319168E-13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326.31232746914907</v>
      </c>
      <c r="CZ150" s="59">
        <f t="shared" si="150"/>
        <v>330.17137761430297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0.45021566843174621</v>
      </c>
      <c r="DG150" s="21">
        <f>EXP(-LN(2)/25)*DG149+(1-EXP(-LN(2)/25))/(LN(2)/25)*Calculateur!DB150*Calculateur!DD150*VLOOKUP('Données projet'!$B$13,Paramètres!$A$1:$I$89,3,0)*0.475*44/12</f>
        <v>1.1770566585637854</v>
      </c>
      <c r="DH150" s="21">
        <f>EXP(-LN(2)/2)*DH149+(1-EXP(-LN(2)/2))/(LN(2)/2)*DB150*DE150*VLOOKUP('Données projet'!$B$13,Paramètres!$A$1:$I$89,3,0)*0.475*44/12</f>
        <v>7.9785446392293243E-17</v>
      </c>
      <c r="DI150" s="22">
        <f t="shared" si="123"/>
        <v>1.6272723269955316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6.2527760746888816E-13</v>
      </c>
      <c r="DP150" s="17">
        <f>DO150*VLOOKUP('Données projet'!$B$14,Paramètres!$A$1:$I$89,3,0)*VLOOKUP('Données projet'!$B$14,Paramètres!$A$1:$I$89,5,0)</f>
        <v>3.9017322706058616E-13</v>
      </c>
      <c r="DQ150" s="13">
        <f t="shared" si="151"/>
        <v>5.0025007393608908E-12</v>
      </c>
      <c r="DR150" s="20">
        <f t="shared" si="124"/>
        <v>9.3922404915174053E-12</v>
      </c>
      <c r="DS150" s="59">
        <f t="shared" si="125"/>
        <v>293.33333333334269</v>
      </c>
      <c r="DT150" s="59">
        <f ca="1">AVERAGE(OFFSET($DS$3,0,0,'Données projet'!$E$14+1,1))-AVERAGE(OFFSET($H$3,0,0,'Données projet'!$E$14+1,1))</f>
        <v>209.93608079129638</v>
      </c>
      <c r="DU150" s="59">
        <f t="shared" si="152"/>
        <v>240.15652428700969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0.68531771938870401</v>
      </c>
      <c r="EB150" s="21">
        <f>EXP(-LN(2)/25)*EB149+(1-EXP(-LN(2)/25))/(LN(2)/25)*Calculateur!DW150*Calculateur!DY150*VLOOKUP('Données projet'!$B$14,Paramètres!$A$1:$I$89,3,0)*0.475*44/12</f>
        <v>0.81094316174040626</v>
      </c>
      <c r="EC150" s="21">
        <f>EXP(-LN(2)/2)*EC149+(1-EXP(-LN(2)/2))/(LN(2)/2)*DW150*DZ150*VLOOKUP('Données projet'!$B$14,Paramètres!$A$1:$I$89,3,0)*0.475*44/12</f>
        <v>4.9533511182903957E-17</v>
      </c>
      <c r="ED150" s="22">
        <f t="shared" si="126"/>
        <v>1.4962608811291103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-4.5474735088646412E-13</v>
      </c>
      <c r="EK150" s="17">
        <f>EJ150*VLOOKUP('Données projet'!$B$15,Paramètres!$A$1:$I$89,3,0)*VLOOKUP('Données projet'!$B$15,Paramètres!$A$1:$I$89,5,0)</f>
        <v>-2.7193891583010558E-13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216.94426559495264</v>
      </c>
      <c r="EP150" s="59">
        <f t="shared" si="154"/>
        <v>225.33715877618704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</v>
      </c>
      <c r="EW150" s="21">
        <f>EXP(-LN(2)/25)*EW149+(1-EXP(-LN(2)/25))/(LN(2)/25)*Calculateur!ER150*Calculateur!ET150*VLOOKUP('Données projet'!$B$15,Paramètres!$A$1:$I$89,3,0)*0.475*44/12</f>
        <v>0.50125400695820921</v>
      </c>
      <c r="EX150" s="21">
        <f>EXP(-LN(2)/2)*EX149+(1-EXP(-LN(2)/2))/(LN(2)/2)*ER150*EU150*VLOOKUP('Données projet'!$B$15,Paramètres!$A$1:$I$89,3,0)*0.475*44/12</f>
        <v>5.8214514042619597E-17</v>
      </c>
      <c r="EY150" s="22">
        <f t="shared" si="129"/>
        <v>0.50125400695820932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>
        <f>FE150*VLOOKUP('Données projet'!$B$16,Paramètres!$A$1:$I$89,3,0)*VLOOKUP('Données projet'!$B$16,Paramètres!$A$1:$I$89,5,0)</f>
        <v>0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168.08890945052406</v>
      </c>
      <c r="FK150" s="59">
        <f t="shared" si="156"/>
        <v>182.52462557642343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0.61227939831955902</v>
      </c>
      <c r="FR150" s="21">
        <f>EXP(-LN(2)/25)*FR149+(1-EXP(-LN(2)/25))/(LN(2)/25)*Calculateur!FM150*Calculateur!FO150*VLOOKUP('Données projet'!$B$16,Paramètres!$A$1:$I$89,3,0)*0.475*44/12</f>
        <v>0.48103178156328591</v>
      </c>
      <c r="FS150" s="21">
        <f>EXP(-LN(2)/2)*FS149+(1-EXP(-LN(2)/2))/(LN(2)/2)*FM150*FP150*VLOOKUP('Données projet'!$B$16,Paramètres!$A$1:$I$89,3,0)*0.475*44/12</f>
        <v>1.3359750826321249E-17</v>
      </c>
      <c r="FT150" s="22">
        <f t="shared" si="132"/>
        <v>1.093311179882845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-5.6843418860808015E-14</v>
      </c>
      <c r="GA150" s="17">
        <f>FZ150*VLOOKUP('Données projet'!$B$17,Paramètres!$A$1:$I$89,3,0)*VLOOKUP('Données projet'!$B$17,Paramètres!$A$1:$I$89,5,0)</f>
        <v>-3.2514435588382188E-14</v>
      </c>
      <c r="GB150" s="13" t="e">
        <f t="shared" si="157"/>
        <v>#NUM!</v>
      </c>
      <c r="GC150" s="20" t="e">
        <f t="shared" si="133"/>
        <v>#NUM!</v>
      </c>
      <c r="GD150" s="59" t="e">
        <f t="shared" si="134"/>
        <v>#NUM!</v>
      </c>
      <c r="GE150" s="59">
        <f ca="1">AVERAGE(OFFSET($GD$3,0,0,'Données projet'!$E$17+1,1))-AVERAGE(OFFSET($H$3,0,0,'Données projet'!$E$17+1,1))</f>
        <v>196.95560009657527</v>
      </c>
      <c r="GF150" s="59">
        <f t="shared" si="158"/>
        <v>168.90186968005662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0</v>
      </c>
      <c r="GM150" s="21">
        <f>EXP(-LN(2)/25)*GM149+(1-EXP(-LN(2)/25))/(LN(2)/25)*Calculateur!GH150*Calculateur!GJ150*VLOOKUP('Données projet'!$B$17,Paramètres!$A$1:$I$89,3,0)*0.475*44/12</f>
        <v>0.3601019726858779</v>
      </c>
      <c r="GN150" s="21">
        <f>EXP(-LN(2)/2)*GN149+(1-EXP(-LN(2)/2))/(LN(2)/2)*GH150*GK150*VLOOKUP('Données projet'!$B$17,Paramètres!$A$1:$I$89,3,0)*0.475*44/12</f>
        <v>3.1548010926064441E-17</v>
      </c>
      <c r="GO150" s="21">
        <f t="shared" si="135"/>
        <v>0.36010197268587796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-5.3205440053716299E-14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215.23235148064941</v>
      </c>
      <c r="T151" s="59">
        <f t="shared" si="142"/>
        <v>184.07239726900434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0.30288547842490354</v>
      </c>
      <c r="AA151" s="21">
        <f>EXP(-LN(2)/25)*AA150+(1-EXP(-LN(2)/25))/(LN(2)/25)*Calculateur!V151*Calculateur!X151*VLOOKUP('Données projet'!$B$9,Paramètres!$A$1:$I$89,3,0)*0.475*44/12</f>
        <v>0.29806451978644433</v>
      </c>
      <c r="AB151" s="21">
        <f>EXP(-LN(2)/2)*AB150+(1-EXP(-LN(2)/2))/(LN(2)/2)*V151*Y151*VLOOKUP('Données projet'!$B$9,Paramètres!$A$1:$I$89,3,0)*0.475*44/12</f>
        <v>1.7056107360316472E-17</v>
      </c>
      <c r="AC151" s="22">
        <f t="shared" si="111"/>
        <v>0.60094999821134787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5.6843418860808015E-14</v>
      </c>
      <c r="AJ151" s="13">
        <f>AI151*VLOOKUP('Données projet'!$B$10,Paramètres!$A$1:$I$89,3,0)*VLOOKUP('Données projet'!$B$10,Paramètres!$A$1:$I$89,5,0)</f>
        <v>4.1677594708744434E-14</v>
      </c>
      <c r="AK151" s="13">
        <f t="shared" si="143"/>
        <v>6.9326303456159188E-13</v>
      </c>
      <c r="AL151" s="20">
        <f t="shared" si="112"/>
        <v>1.2800215959791691E-12</v>
      </c>
      <c r="AM151" s="59">
        <f t="shared" si="113"/>
        <v>293.33333333333462</v>
      </c>
      <c r="AN151" s="59">
        <f ca="1">AVERAGE(OFFSET($AM$3,0,0,'Données projet'!$E$10+1,1))-AVERAGE(OFFSET($H$3,0,0,'Données projet'!$E$10+1,1))</f>
        <v>178.12968684094687</v>
      </c>
      <c r="AO151" s="59">
        <f t="shared" si="144"/>
        <v>219.36004077210373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0.29172760748433163</v>
      </c>
      <c r="AW151" s="21">
        <f>EXP(-LN(2)/2)*AW150+(1-EXP(-LN(2)/2))/(LN(2)/2)*AQ151*AT151*VLOOKUP('Données projet'!$B$10,Paramètres!$A$1:$I$89,3,0)*0.475*44/12</f>
        <v>1.7204145395926947E-17</v>
      </c>
      <c r="AX151" s="21">
        <f t="shared" si="114"/>
        <v>0.29172760748433163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-5.6843418860808015E-14</v>
      </c>
      <c r="BE151" s="13">
        <f>BD151*VLOOKUP('Données projet'!$B$11,Paramètres!$A$1:$I$89,3,0)*VLOOKUP('Données projet'!$B$11,Paramètres!$A$1:$I$89,5,0)</f>
        <v>-4.9658410716801891E-14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114.02623091248347</v>
      </c>
      <c r="BJ151" s="59">
        <f t="shared" si="146"/>
        <v>185.51554083721635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0.18859271861433971</v>
      </c>
      <c r="BQ151" s="21">
        <f>EXP(-LN(2)/25)*BQ150+(1-EXP(-LN(2)/25))/(LN(2)/25)*Calculateur!BL151*Calculateur!BN151*VLOOKUP('Données projet'!$B$11,Paramètres!$A$1:$I$89,3,0)*0.475*44/12</f>
        <v>0.42709800325219144</v>
      </c>
      <c r="BR151" s="21">
        <f>EXP(-LN(2)/2)*BR150+(1-EXP(-LN(2)/2))/(LN(2)/2)*BL151*BO151*VLOOKUP('Données projet'!$B$11,Paramètres!$A$1:$I$89,3,0)*0.475*44/12</f>
        <v>3.0599261682848772E-17</v>
      </c>
      <c r="BS151" s="22">
        <f t="shared" si="117"/>
        <v>0.61569072186653118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-1.1368683772161603E-13</v>
      </c>
      <c r="BZ151" s="13">
        <f>BY151*VLOOKUP('Données projet'!$B$12,Paramètres!$A$1:$I$89,3,0)*VLOOKUP('Données projet'!$B$12,Paramètres!$A$1:$I$89,5,0)</f>
        <v>-1.0286385077051818E-13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237.22177246688199</v>
      </c>
      <c r="CE151" s="59">
        <f t="shared" si="148"/>
        <v>149.27472147904302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0.11785044500889241</v>
      </c>
      <c r="CM151" s="21">
        <f>EXP(-LN(2)/2)*CM150+(1-EXP(-LN(2)/2))/(LN(2)/2)*CG151*CJ151*VLOOKUP('Données projet'!$B$12,Paramètres!$A$1:$I$89,3,0)*0.475*44/12</f>
        <v>1.0736807024063674E-17</v>
      </c>
      <c r="CN151" s="22">
        <f t="shared" si="120"/>
        <v>0.11785044500889243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-5.6843418860808015E-13</v>
      </c>
      <c r="CU151" s="17">
        <f>CT151*VLOOKUP('Données projet'!$B$13,Paramètres!$A$1:$I$89,3,0)*VLOOKUP('Données projet'!$B$13,Paramètres!$A$1:$I$89,5,0)</f>
        <v>-3.177547114319168E-13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326.31232746914907</v>
      </c>
      <c r="CZ151" s="59">
        <f t="shared" si="150"/>
        <v>330.17137761430297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0.44138721377824247</v>
      </c>
      <c r="DG151" s="21">
        <f>EXP(-LN(2)/25)*DG150+(1-EXP(-LN(2)/25))/(LN(2)/25)*Calculateur!DB151*Calculateur!DD151*VLOOKUP('Données projet'!$B$13,Paramètres!$A$1:$I$89,3,0)*0.475*44/12</f>
        <v>1.1448699823366393</v>
      </c>
      <c r="DH151" s="21">
        <f>EXP(-LN(2)/2)*DH150+(1-EXP(-LN(2)/2))/(LN(2)/2)*DB151*DE151*VLOOKUP('Données projet'!$B$13,Paramètres!$A$1:$I$89,3,0)*0.475*44/12</f>
        <v>5.6416830183986316E-17</v>
      </c>
      <c r="DI151" s="22">
        <f t="shared" si="123"/>
        <v>1.5862571961148817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6.2527760746888816E-13</v>
      </c>
      <c r="DP151" s="17">
        <f>DO151*VLOOKUP('Données projet'!$B$14,Paramètres!$A$1:$I$89,3,0)*VLOOKUP('Données projet'!$B$14,Paramètres!$A$1:$I$89,5,0)</f>
        <v>3.9017322706058616E-13</v>
      </c>
      <c r="DQ151" s="13">
        <f t="shared" si="151"/>
        <v>5.0025007393608908E-12</v>
      </c>
      <c r="DR151" s="20">
        <f t="shared" si="124"/>
        <v>9.3922404915174053E-12</v>
      </c>
      <c r="DS151" s="59">
        <f t="shared" si="125"/>
        <v>293.33333333334269</v>
      </c>
      <c r="DT151" s="59">
        <f ca="1">AVERAGE(OFFSET($DS$3,0,0,'Données projet'!$E$14+1,1))-AVERAGE(OFFSET($H$3,0,0,'Données projet'!$E$14+1,1))</f>
        <v>209.93608079129638</v>
      </c>
      <c r="DU151" s="59">
        <f t="shared" si="152"/>
        <v>240.15652428700969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0.67187905691402605</v>
      </c>
      <c r="EB151" s="21">
        <f>EXP(-LN(2)/25)*EB150+(1-EXP(-LN(2)/25))/(LN(2)/25)*Calculateur!DW151*Calculateur!DY151*VLOOKUP('Données projet'!$B$14,Paramètres!$A$1:$I$89,3,0)*0.475*44/12</f>
        <v>0.78876787833696738</v>
      </c>
      <c r="EC151" s="21">
        <f>EXP(-LN(2)/2)*EC150+(1-EXP(-LN(2)/2))/(LN(2)/2)*DW151*DZ151*VLOOKUP('Données projet'!$B$14,Paramètres!$A$1:$I$89,3,0)*0.475*44/12</f>
        <v>3.5025481653411072E-17</v>
      </c>
      <c r="ED151" s="22">
        <f t="shared" si="126"/>
        <v>1.4606469352509934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-4.5474735088646412E-13</v>
      </c>
      <c r="EK151" s="17">
        <f>EJ151*VLOOKUP('Données projet'!$B$15,Paramètres!$A$1:$I$89,3,0)*VLOOKUP('Données projet'!$B$15,Paramètres!$A$1:$I$89,5,0)</f>
        <v>-2.7193891583010558E-13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216.94426559495264</v>
      </c>
      <c r="EP151" s="59">
        <f t="shared" si="154"/>
        <v>225.33715877618704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</v>
      </c>
      <c r="EW151" s="21">
        <f>EXP(-LN(2)/25)*EW150+(1-EXP(-LN(2)/25))/(LN(2)/25)*Calculateur!ER151*Calculateur!ET151*VLOOKUP('Données projet'!$B$15,Paramètres!$A$1:$I$89,3,0)*0.475*44/12</f>
        <v>0.48754718977813438</v>
      </c>
      <c r="EX151" s="21">
        <f>EXP(-LN(2)/2)*EX150+(1-EXP(-LN(2)/2))/(LN(2)/2)*ER151*EU151*VLOOKUP('Données projet'!$B$15,Paramètres!$A$1:$I$89,3,0)*0.475*44/12</f>
        <v>4.1163877643015815E-17</v>
      </c>
      <c r="EY151" s="22">
        <f t="shared" si="129"/>
        <v>0.48754718977813444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>
        <f>FE151*VLOOKUP('Données projet'!$B$16,Paramètres!$A$1:$I$89,3,0)*VLOOKUP('Données projet'!$B$16,Paramètres!$A$1:$I$89,5,0)</f>
        <v>0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168.08890945052406</v>
      </c>
      <c r="FK151" s="59">
        <f t="shared" si="156"/>
        <v>182.52462557642343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0.60027297277206992</v>
      </c>
      <c r="FR151" s="21">
        <f>EXP(-LN(2)/25)*FR150+(1-EXP(-LN(2)/25))/(LN(2)/25)*Calculateur!FM151*Calculateur!FO151*VLOOKUP('Données projet'!$B$16,Paramètres!$A$1:$I$89,3,0)*0.475*44/12</f>
        <v>0.46787794220007589</v>
      </c>
      <c r="FS151" s="21">
        <f>EXP(-LN(2)/2)*FS150+(1-EXP(-LN(2)/2))/(LN(2)/2)*FM151*FP151*VLOOKUP('Données projet'!$B$16,Paramètres!$A$1:$I$89,3,0)*0.475*44/12</f>
        <v>9.4467704042543367E-18</v>
      </c>
      <c r="FT151" s="22">
        <f t="shared" si="132"/>
        <v>1.0681509149721458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-5.6843418860808015E-14</v>
      </c>
      <c r="GA151" s="17">
        <f>FZ151*VLOOKUP('Données projet'!$B$17,Paramètres!$A$1:$I$89,3,0)*VLOOKUP('Données projet'!$B$17,Paramètres!$A$1:$I$89,5,0)</f>
        <v>-3.2514435588382188E-14</v>
      </c>
      <c r="GB151" s="13" t="e">
        <f t="shared" si="157"/>
        <v>#NUM!</v>
      </c>
      <c r="GC151" s="20" t="e">
        <f t="shared" si="133"/>
        <v>#NUM!</v>
      </c>
      <c r="GD151" s="59" t="e">
        <f t="shared" si="134"/>
        <v>#NUM!</v>
      </c>
      <c r="GE151" s="59">
        <f ca="1">AVERAGE(OFFSET($GD$3,0,0,'Données projet'!$E$17+1,1))-AVERAGE(OFFSET($H$3,0,0,'Données projet'!$E$17+1,1))</f>
        <v>196.95560009657527</v>
      </c>
      <c r="GF151" s="59">
        <f t="shared" si="158"/>
        <v>168.90186968005662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0</v>
      </c>
      <c r="GM151" s="21">
        <f>EXP(-LN(2)/25)*GM150+(1-EXP(-LN(2)/25))/(LN(2)/25)*Calculateur!GH151*Calculateur!GJ151*VLOOKUP('Données projet'!$B$17,Paramètres!$A$1:$I$89,3,0)*0.475*44/12</f>
        <v>0.35025496530584282</v>
      </c>
      <c r="GN151" s="21">
        <f>EXP(-LN(2)/2)*GN150+(1-EXP(-LN(2)/2))/(LN(2)/2)*GH151*GK151*VLOOKUP('Données projet'!$B$17,Paramètres!$A$1:$I$89,3,0)*0.475*44/12</f>
        <v>2.2307812458767459E-17</v>
      </c>
      <c r="GO151" s="21">
        <f t="shared" si="135"/>
        <v>0.35025496530584282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-5.3205440053716299E-14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215.23235148064941</v>
      </c>
      <c r="T152" s="59">
        <f t="shared" si="142"/>
        <v>184.07239726900434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0.29694607893489128</v>
      </c>
      <c r="AA152" s="21">
        <f>EXP(-LN(2)/25)*AA151+(1-EXP(-LN(2)/25))/(LN(2)/25)*Calculateur!V152*Calculateur!X152*VLOOKUP('Données projet'!$B$9,Paramètres!$A$1:$I$89,3,0)*0.475*44/12</f>
        <v>0.28991392981835212</v>
      </c>
      <c r="AB152" s="21">
        <f>EXP(-LN(2)/2)*AB151+(1-EXP(-LN(2)/2))/(LN(2)/2)*V152*Y152*VLOOKUP('Données projet'!$B$9,Paramètres!$A$1:$I$89,3,0)*0.475*44/12</f>
        <v>1.2060489175125562E-17</v>
      </c>
      <c r="AC152" s="22">
        <f t="shared" si="111"/>
        <v>0.5868600087532434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5.6843418860808015E-14</v>
      </c>
      <c r="AJ152" s="13">
        <f>AI152*VLOOKUP('Données projet'!$B$10,Paramètres!$A$1:$I$89,3,0)*VLOOKUP('Données projet'!$B$10,Paramètres!$A$1:$I$89,5,0)</f>
        <v>4.1677594708744434E-14</v>
      </c>
      <c r="AK152" s="13">
        <f t="shared" si="143"/>
        <v>6.9326303456159188E-13</v>
      </c>
      <c r="AL152" s="20">
        <f t="shared" si="112"/>
        <v>1.2800215959791691E-12</v>
      </c>
      <c r="AM152" s="59">
        <f t="shared" si="113"/>
        <v>293.33333333333462</v>
      </c>
      <c r="AN152" s="59">
        <f ca="1">AVERAGE(OFFSET($AM$3,0,0,'Données projet'!$E$10+1,1))-AVERAGE(OFFSET($H$3,0,0,'Données projet'!$E$10+1,1))</f>
        <v>178.12968684094687</v>
      </c>
      <c r="AO152" s="59">
        <f t="shared" si="144"/>
        <v>219.36004077210373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0.28375030071638446</v>
      </c>
      <c r="AW152" s="21">
        <f>EXP(-LN(2)/2)*AW151+(1-EXP(-LN(2)/2))/(LN(2)/2)*AQ152*AT152*VLOOKUP('Données projet'!$B$10,Paramètres!$A$1:$I$89,3,0)*0.475*44/12</f>
        <v>1.2165167873979265E-17</v>
      </c>
      <c r="AX152" s="21">
        <f t="shared" si="114"/>
        <v>0.28375030071638446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-5.6843418860808015E-14</v>
      </c>
      <c r="BE152" s="13">
        <f>BD152*VLOOKUP('Données projet'!$B$11,Paramètres!$A$1:$I$89,3,0)*VLOOKUP('Données projet'!$B$11,Paramètres!$A$1:$I$89,5,0)</f>
        <v>-4.9658410716801891E-14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114.02623091248347</v>
      </c>
      <c r="BJ152" s="59">
        <f t="shared" si="146"/>
        <v>185.51554083721635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0.18489453043251258</v>
      </c>
      <c r="BQ152" s="21">
        <f>EXP(-LN(2)/25)*BQ151+(1-EXP(-LN(2)/25))/(LN(2)/25)*Calculateur!BL152*Calculateur!BN152*VLOOKUP('Données projet'!$B$11,Paramètres!$A$1:$I$89,3,0)*0.475*44/12</f>
        <v>0.4154189858931524</v>
      </c>
      <c r="BR152" s="21">
        <f>EXP(-LN(2)/2)*BR151+(1-EXP(-LN(2)/2))/(LN(2)/2)*BL152*BO152*VLOOKUP('Données projet'!$B$11,Paramètres!$A$1:$I$89,3,0)*0.475*44/12</f>
        <v>2.1636945435244055E-17</v>
      </c>
      <c r="BS152" s="22">
        <f t="shared" si="117"/>
        <v>0.60031351632566499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-1.1368683772161603E-13</v>
      </c>
      <c r="BZ152" s="13">
        <f>BY152*VLOOKUP('Données projet'!$B$12,Paramètres!$A$1:$I$89,3,0)*VLOOKUP('Données projet'!$B$12,Paramètres!$A$1:$I$89,5,0)</f>
        <v>-1.0286385077051818E-13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237.22177246688199</v>
      </c>
      <c r="CE152" s="59">
        <f t="shared" si="148"/>
        <v>149.27472147904302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0.11462781839263869</v>
      </c>
      <c r="CM152" s="21">
        <f>EXP(-LN(2)/2)*CM151+(1-EXP(-LN(2)/2))/(LN(2)/2)*CG152*CJ152*VLOOKUP('Données projet'!$B$12,Paramètres!$A$1:$I$89,3,0)*0.475*44/12</f>
        <v>7.592069055006779E-18</v>
      </c>
      <c r="CN152" s="22">
        <f t="shared" si="120"/>
        <v>0.11462781839263871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-5.6843418860808015E-13</v>
      </c>
      <c r="CU152" s="17">
        <f>CT152*VLOOKUP('Données projet'!$B$13,Paramètres!$A$1:$I$89,3,0)*VLOOKUP('Données projet'!$B$13,Paramètres!$A$1:$I$89,5,0)</f>
        <v>-3.177547114319168E-13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326.31232746914907</v>
      </c>
      <c r="CZ152" s="59">
        <f t="shared" si="150"/>
        <v>330.17137761430297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0.43273187973566829</v>
      </c>
      <c r="DG152" s="21">
        <f>EXP(-LN(2)/25)*DG151+(1-EXP(-LN(2)/25))/(LN(2)/25)*Calculateur!DB152*Calculateur!DD152*VLOOKUP('Données projet'!$B$13,Paramètres!$A$1:$I$89,3,0)*0.475*44/12</f>
        <v>1.113563452463548</v>
      </c>
      <c r="DH152" s="21">
        <f>EXP(-LN(2)/2)*DH151+(1-EXP(-LN(2)/2))/(LN(2)/2)*DB152*DE152*VLOOKUP('Données projet'!$B$13,Paramètres!$A$1:$I$89,3,0)*0.475*44/12</f>
        <v>3.9892723196146622E-17</v>
      </c>
      <c r="DI152" s="22">
        <f t="shared" si="123"/>
        <v>1.5462953321992163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6.2527760746888816E-13</v>
      </c>
      <c r="DP152" s="17">
        <f>DO152*VLOOKUP('Données projet'!$B$14,Paramètres!$A$1:$I$89,3,0)*VLOOKUP('Données projet'!$B$14,Paramètres!$A$1:$I$89,5,0)</f>
        <v>3.9017322706058616E-13</v>
      </c>
      <c r="DQ152" s="13">
        <f t="shared" si="151"/>
        <v>5.0025007393608908E-12</v>
      </c>
      <c r="DR152" s="20">
        <f t="shared" si="124"/>
        <v>9.3922404915174053E-12</v>
      </c>
      <c r="DS152" s="59">
        <f t="shared" si="125"/>
        <v>293.33333333334269</v>
      </c>
      <c r="DT152" s="59">
        <f ca="1">AVERAGE(OFFSET($DS$3,0,0,'Données projet'!$E$14+1,1))-AVERAGE(OFFSET($H$3,0,0,'Données projet'!$E$14+1,1))</f>
        <v>209.93608079129638</v>
      </c>
      <c r="DU152" s="59">
        <f t="shared" si="152"/>
        <v>240.15652428700969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0.65870391841370179</v>
      </c>
      <c r="EB152" s="21">
        <f>EXP(-LN(2)/25)*EB151+(1-EXP(-LN(2)/25))/(LN(2)/25)*Calculateur!DW152*Calculateur!DY152*VLOOKUP('Données projet'!$B$14,Paramètres!$A$1:$I$89,3,0)*0.475*44/12</f>
        <v>0.76719897922434299</v>
      </c>
      <c r="EC152" s="21">
        <f>EXP(-LN(2)/2)*EC151+(1-EXP(-LN(2)/2))/(LN(2)/2)*DW152*DZ152*VLOOKUP('Données projet'!$B$14,Paramètres!$A$1:$I$89,3,0)*0.475*44/12</f>
        <v>2.4766755591451978E-17</v>
      </c>
      <c r="ED152" s="22">
        <f t="shared" si="126"/>
        <v>1.4259028976380448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-4.5474735088646412E-13</v>
      </c>
      <c r="EK152" s="17">
        <f>EJ152*VLOOKUP('Données projet'!$B$15,Paramètres!$A$1:$I$89,3,0)*VLOOKUP('Données projet'!$B$15,Paramètres!$A$1:$I$89,5,0)</f>
        <v>-2.7193891583010558E-13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216.94426559495264</v>
      </c>
      <c r="EP152" s="59">
        <f t="shared" si="154"/>
        <v>225.33715877618704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</v>
      </c>
      <c r="EW152" s="21">
        <f>EXP(-LN(2)/25)*EW151+(1-EXP(-LN(2)/25))/(LN(2)/25)*Calculateur!ER152*Calculateur!ET152*VLOOKUP('Données projet'!$B$15,Paramètres!$A$1:$I$89,3,0)*0.475*44/12</f>
        <v>0.47421518623465891</v>
      </c>
      <c r="EX152" s="21">
        <f>EXP(-LN(2)/2)*EX151+(1-EXP(-LN(2)/2))/(LN(2)/2)*ER152*EU152*VLOOKUP('Données projet'!$B$15,Paramètres!$A$1:$I$89,3,0)*0.475*44/12</f>
        <v>2.9107257021309799E-17</v>
      </c>
      <c r="EY152" s="22">
        <f t="shared" si="129"/>
        <v>0.47421518623465897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>
        <f>FE152*VLOOKUP('Données projet'!$B$16,Paramètres!$A$1:$I$89,3,0)*VLOOKUP('Données projet'!$B$16,Paramètres!$A$1:$I$89,5,0)</f>
        <v>0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168.08890945052406</v>
      </c>
      <c r="FK152" s="59">
        <f t="shared" si="156"/>
        <v>182.52462557642343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0.58850198590637071</v>
      </c>
      <c r="FR152" s="21">
        <f>EXP(-LN(2)/25)*FR151+(1-EXP(-LN(2)/25))/(LN(2)/25)*Calculateur!FM152*Calculateur!FO152*VLOOKUP('Données projet'!$B$16,Paramètres!$A$1:$I$89,3,0)*0.475*44/12</f>
        <v>0.45508379526598319</v>
      </c>
      <c r="FS152" s="21">
        <f>EXP(-LN(2)/2)*FS151+(1-EXP(-LN(2)/2))/(LN(2)/2)*FM152*FP152*VLOOKUP('Données projet'!$B$16,Paramètres!$A$1:$I$89,3,0)*0.475*44/12</f>
        <v>6.6798754131606244E-18</v>
      </c>
      <c r="FT152" s="22">
        <f t="shared" si="132"/>
        <v>1.0435857811723539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-5.6843418860808015E-14</v>
      </c>
      <c r="GA152" s="17">
        <f>FZ152*VLOOKUP('Données projet'!$B$17,Paramètres!$A$1:$I$89,3,0)*VLOOKUP('Données projet'!$B$17,Paramètres!$A$1:$I$89,5,0)</f>
        <v>-3.2514435588382188E-14</v>
      </c>
      <c r="GB152" s="13" t="e">
        <f t="shared" si="157"/>
        <v>#NUM!</v>
      </c>
      <c r="GC152" s="20" t="e">
        <f t="shared" si="133"/>
        <v>#NUM!</v>
      </c>
      <c r="GD152" s="59" t="e">
        <f t="shared" si="134"/>
        <v>#NUM!</v>
      </c>
      <c r="GE152" s="59">
        <f ca="1">AVERAGE(OFFSET($GD$3,0,0,'Données projet'!$E$17+1,1))-AVERAGE(OFFSET($H$3,0,0,'Données projet'!$E$17+1,1))</f>
        <v>196.95560009657527</v>
      </c>
      <c r="GF152" s="59">
        <f t="shared" si="158"/>
        <v>168.90186968005662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0</v>
      </c>
      <c r="GM152" s="21">
        <f>EXP(-LN(2)/25)*GM151+(1-EXP(-LN(2)/25))/(LN(2)/25)*Calculateur!GH152*Calculateur!GJ152*VLOOKUP('Données projet'!$B$17,Paramètres!$A$1:$I$89,3,0)*0.475*44/12</f>
        <v>0.34067722486044644</v>
      </c>
      <c r="GN152" s="21">
        <f>EXP(-LN(2)/2)*GN151+(1-EXP(-LN(2)/2))/(LN(2)/2)*GH152*GK152*VLOOKUP('Données projet'!$B$17,Paramètres!$A$1:$I$89,3,0)*0.475*44/12</f>
        <v>1.5774005463032221E-17</v>
      </c>
      <c r="GO152" s="21">
        <f t="shared" si="135"/>
        <v>0.34067722486044644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-5.3205440053716299E-14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215.23235148064941</v>
      </c>
      <c r="T153" s="59">
        <f t="shared" si="142"/>
        <v>184.07239726900434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0.29112314744620216</v>
      </c>
      <c r="AA153" s="21">
        <f>EXP(-LN(2)/25)*AA152+(1-EXP(-LN(2)/25))/(LN(2)/25)*Calculateur!V153*Calculateur!X153*VLOOKUP('Données projet'!$B$9,Paramètres!$A$1:$I$89,3,0)*0.475*44/12</f>
        <v>0.28198621816155833</v>
      </c>
      <c r="AB153" s="21">
        <f>EXP(-LN(2)/2)*AB152+(1-EXP(-LN(2)/2))/(LN(2)/2)*V153*Y153*VLOOKUP('Données projet'!$B$9,Paramètres!$A$1:$I$89,3,0)*0.475*44/12</f>
        <v>8.5280536801582359E-18</v>
      </c>
      <c r="AC153" s="22">
        <f t="shared" si="111"/>
        <v>0.57310936560776049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5.6843418860808015E-14</v>
      </c>
      <c r="AJ153" s="13">
        <f>AI153*VLOOKUP('Données projet'!$B$10,Paramètres!$A$1:$I$89,3,0)*VLOOKUP('Données projet'!$B$10,Paramètres!$A$1:$I$89,5,0)</f>
        <v>4.1677594708744434E-14</v>
      </c>
      <c r="AK153" s="13">
        <f t="shared" si="143"/>
        <v>6.9326303456159188E-13</v>
      </c>
      <c r="AL153" s="20">
        <f t="shared" si="112"/>
        <v>1.2800215959791691E-12</v>
      </c>
      <c r="AM153" s="59">
        <f t="shared" si="113"/>
        <v>293.33333333333462</v>
      </c>
      <c r="AN153" s="59">
        <f ca="1">AVERAGE(OFFSET($AM$3,0,0,'Données projet'!$E$10+1,1))-AVERAGE(OFFSET($H$3,0,0,'Données projet'!$E$10+1,1))</f>
        <v>178.12968684094687</v>
      </c>
      <c r="AO153" s="59">
        <f t="shared" si="144"/>
        <v>219.36004077210373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0.27599113382151513</v>
      </c>
      <c r="AW153" s="21">
        <f>EXP(-LN(2)/2)*AW152+(1-EXP(-LN(2)/2))/(LN(2)/2)*AQ153*AT153*VLOOKUP('Données projet'!$B$10,Paramètres!$A$1:$I$89,3,0)*0.475*44/12</f>
        <v>8.6020726979634734E-18</v>
      </c>
      <c r="AX153" s="21">
        <f t="shared" si="114"/>
        <v>0.27599113382151513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-5.6843418860808015E-14</v>
      </c>
      <c r="BE153" s="13">
        <f>BD153*VLOOKUP('Données projet'!$B$11,Paramètres!$A$1:$I$89,3,0)*VLOOKUP('Données projet'!$B$11,Paramètres!$A$1:$I$89,5,0)</f>
        <v>-4.9658410716801891E-14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114.02623091248347</v>
      </c>
      <c r="BJ153" s="59">
        <f t="shared" si="146"/>
        <v>185.51554083721635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0.181268861465259</v>
      </c>
      <c r="BQ153" s="21">
        <f>EXP(-LN(2)/25)*BQ152+(1-EXP(-LN(2)/25))/(LN(2)/25)*Calculateur!BL153*Calculateur!BN153*VLOOKUP('Données projet'!$B$11,Paramètres!$A$1:$I$89,3,0)*0.475*44/12</f>
        <v>0.40405933187796916</v>
      </c>
      <c r="BR153" s="21">
        <f>EXP(-LN(2)/2)*BR152+(1-EXP(-LN(2)/2))/(LN(2)/2)*BL153*BO153*VLOOKUP('Données projet'!$B$11,Paramètres!$A$1:$I$89,3,0)*0.475*44/12</f>
        <v>1.5299630841424386E-17</v>
      </c>
      <c r="BS153" s="22">
        <f t="shared" si="117"/>
        <v>0.58532819334322816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-1.1368683772161603E-13</v>
      </c>
      <c r="BZ153" s="13">
        <f>BY153*VLOOKUP('Données projet'!$B$12,Paramètres!$A$1:$I$89,3,0)*VLOOKUP('Données projet'!$B$12,Paramètres!$A$1:$I$89,5,0)</f>
        <v>-1.0286385077051818E-13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237.22177246688199</v>
      </c>
      <c r="CE153" s="59">
        <f t="shared" si="148"/>
        <v>149.27472147904302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0.111493314670677</v>
      </c>
      <c r="CM153" s="21">
        <f>EXP(-LN(2)/2)*CM152+(1-EXP(-LN(2)/2))/(LN(2)/2)*CG153*CJ153*VLOOKUP('Données projet'!$B$12,Paramètres!$A$1:$I$89,3,0)*0.475*44/12</f>
        <v>5.3684035120318372E-18</v>
      </c>
      <c r="CN153" s="22">
        <f t="shared" si="120"/>
        <v>0.111493314670677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-5.6843418860808015E-13</v>
      </c>
      <c r="CU153" s="17">
        <f>CT153*VLOOKUP('Données projet'!$B$13,Paramètres!$A$1:$I$89,3,0)*VLOOKUP('Données projet'!$B$13,Paramètres!$A$1:$I$89,5,0)</f>
        <v>-3.177547114319168E-13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326.31232746914907</v>
      </c>
      <c r="CZ153" s="59">
        <f t="shared" si="150"/>
        <v>330.17137761430297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0.4242462715144365</v>
      </c>
      <c r="DG153" s="21">
        <f>EXP(-LN(2)/25)*DG152+(1-EXP(-LN(2)/25))/(LN(2)/25)*Calculateur!DB153*Calculateur!DD153*VLOOKUP('Données projet'!$B$13,Paramètres!$A$1:$I$89,3,0)*0.475*44/12</f>
        <v>1.0831130012961754</v>
      </c>
      <c r="DH153" s="21">
        <f>EXP(-LN(2)/2)*DH152+(1-EXP(-LN(2)/2))/(LN(2)/2)*DB153*DE153*VLOOKUP('Données projet'!$B$13,Paramètres!$A$1:$I$89,3,0)*0.475*44/12</f>
        <v>2.8208415091993158E-17</v>
      </c>
      <c r="DI153" s="22">
        <f t="shared" si="123"/>
        <v>1.507359272810612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6.2527760746888816E-13</v>
      </c>
      <c r="DP153" s="17">
        <f>DO153*VLOOKUP('Données projet'!$B$14,Paramètres!$A$1:$I$89,3,0)*VLOOKUP('Données projet'!$B$14,Paramètres!$A$1:$I$89,5,0)</f>
        <v>3.9017322706058616E-13</v>
      </c>
      <c r="DQ153" s="13">
        <f t="shared" si="151"/>
        <v>5.0025007393608908E-12</v>
      </c>
      <c r="DR153" s="20">
        <f t="shared" si="124"/>
        <v>9.3922404915174053E-12</v>
      </c>
      <c r="DS153" s="59">
        <f t="shared" si="125"/>
        <v>293.33333333334269</v>
      </c>
      <c r="DT153" s="59">
        <f ca="1">AVERAGE(OFFSET($DS$3,0,0,'Données projet'!$E$14+1,1))-AVERAGE(OFFSET($H$3,0,0,'Données projet'!$E$14+1,1))</f>
        <v>209.93608079129638</v>
      </c>
      <c r="DU153" s="59">
        <f t="shared" si="152"/>
        <v>240.15652428700969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0.64578713634332785</v>
      </c>
      <c r="EB153" s="21">
        <f>EXP(-LN(2)/25)*EB152+(1-EXP(-LN(2)/25))/(LN(2)/25)*Calculateur!DW153*Calculateur!DY153*VLOOKUP('Données projet'!$B$14,Paramètres!$A$1:$I$89,3,0)*0.475*44/12</f>
        <v>0.74621988279221252</v>
      </c>
      <c r="EC153" s="21">
        <f>EXP(-LN(2)/2)*EC152+(1-EXP(-LN(2)/2))/(LN(2)/2)*DW153*DZ153*VLOOKUP('Données projet'!$B$14,Paramètres!$A$1:$I$89,3,0)*0.475*44/12</f>
        <v>1.7512740826705536E-17</v>
      </c>
      <c r="ED153" s="22">
        <f t="shared" si="126"/>
        <v>1.3920070191355403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-4.5474735088646412E-13</v>
      </c>
      <c r="EK153" s="17">
        <f>EJ153*VLOOKUP('Données projet'!$B$15,Paramètres!$A$1:$I$89,3,0)*VLOOKUP('Données projet'!$B$15,Paramètres!$A$1:$I$89,5,0)</f>
        <v>-2.7193891583010558E-13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216.94426559495264</v>
      </c>
      <c r="EP153" s="59">
        <f t="shared" si="154"/>
        <v>225.33715877618704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</v>
      </c>
      <c r="EW153" s="21">
        <f>EXP(-LN(2)/25)*EW152+(1-EXP(-LN(2)/25))/(LN(2)/25)*Calculateur!ER153*Calculateur!ET153*VLOOKUP('Données projet'!$B$15,Paramètres!$A$1:$I$89,3,0)*0.475*44/12</f>
        <v>0.46124774702917937</v>
      </c>
      <c r="EX153" s="21">
        <f>EXP(-LN(2)/2)*EX152+(1-EXP(-LN(2)/2))/(LN(2)/2)*ER153*EU153*VLOOKUP('Données projet'!$B$15,Paramètres!$A$1:$I$89,3,0)*0.475*44/12</f>
        <v>2.0581938821507907E-17</v>
      </c>
      <c r="EY153" s="22">
        <f t="shared" si="129"/>
        <v>0.46124774702917937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>
        <f>FE153*VLOOKUP('Données projet'!$B$16,Paramètres!$A$1:$I$89,3,0)*VLOOKUP('Données projet'!$B$16,Paramètres!$A$1:$I$89,5,0)</f>
        <v>0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168.08890945052406</v>
      </c>
      <c r="FK153" s="59">
        <f t="shared" si="156"/>
        <v>182.52462557642343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0.57696182091351478</v>
      </c>
      <c r="FR153" s="21">
        <f>EXP(-LN(2)/25)*FR152+(1-EXP(-LN(2)/25))/(LN(2)/25)*Calculateur!FM153*Calculateur!FO153*VLOOKUP('Données projet'!$B$16,Paramètres!$A$1:$I$89,3,0)*0.475*44/12</f>
        <v>0.44263950495261822</v>
      </c>
      <c r="FS153" s="21">
        <f>EXP(-LN(2)/2)*FS152+(1-EXP(-LN(2)/2))/(LN(2)/2)*FM153*FP153*VLOOKUP('Données projet'!$B$16,Paramètres!$A$1:$I$89,3,0)*0.475*44/12</f>
        <v>4.7233852021271683E-18</v>
      </c>
      <c r="FT153" s="22">
        <f t="shared" si="132"/>
        <v>1.0196013258661329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-5.6843418860808015E-14</v>
      </c>
      <c r="GA153" s="17">
        <f>FZ153*VLOOKUP('Données projet'!$B$17,Paramètres!$A$1:$I$89,3,0)*VLOOKUP('Données projet'!$B$17,Paramètres!$A$1:$I$89,5,0)</f>
        <v>-3.2514435588382188E-14</v>
      </c>
      <c r="GB153" s="13" t="e">
        <f t="shared" si="157"/>
        <v>#NUM!</v>
      </c>
      <c r="GC153" s="20" t="e">
        <f t="shared" si="133"/>
        <v>#NUM!</v>
      </c>
      <c r="GD153" s="59" t="e">
        <f t="shared" si="134"/>
        <v>#NUM!</v>
      </c>
      <c r="GE153" s="59">
        <f ca="1">AVERAGE(OFFSET($GD$3,0,0,'Données projet'!$E$17+1,1))-AVERAGE(OFFSET($H$3,0,0,'Données projet'!$E$17+1,1))</f>
        <v>196.95560009657527</v>
      </c>
      <c r="GF153" s="59">
        <f t="shared" si="158"/>
        <v>168.90186968005662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0</v>
      </c>
      <c r="GM153" s="21">
        <f>EXP(-LN(2)/25)*GM152+(1-EXP(-LN(2)/25))/(LN(2)/25)*Calculateur!GH153*Calculateur!GJ153*VLOOKUP('Données projet'!$B$17,Paramètres!$A$1:$I$89,3,0)*0.475*44/12</f>
        <v>0.33136138823120093</v>
      </c>
      <c r="GN153" s="21">
        <f>EXP(-LN(2)/2)*GN152+(1-EXP(-LN(2)/2))/(LN(2)/2)*GH153*GK153*VLOOKUP('Données projet'!$B$17,Paramètres!$A$1:$I$89,3,0)*0.475*44/12</f>
        <v>1.115390622938373E-17</v>
      </c>
      <c r="GO153" s="21">
        <f t="shared" si="135"/>
        <v>0.33136138823120093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-5.3205440053716299E-14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215.23235148064941</v>
      </c>
      <c r="T154" s="59">
        <f t="shared" si="142"/>
        <v>184.07239726900434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0.28541440009236874</v>
      </c>
      <c r="AA154" s="21">
        <f>EXP(-LN(2)/25)*AA153+(1-EXP(-LN(2)/25))/(LN(2)/25)*Calculateur!V154*Calculateur!X154*VLOOKUP('Données projet'!$B$9,Paramètres!$A$1:$I$89,3,0)*0.475*44/12</f>
        <v>0.27427529019691982</v>
      </c>
      <c r="AB154" s="21">
        <f>EXP(-LN(2)/2)*AB153+(1-EXP(-LN(2)/2))/(LN(2)/2)*V154*Y154*VLOOKUP('Données projet'!$B$9,Paramètres!$A$1:$I$89,3,0)*0.475*44/12</f>
        <v>6.0302445875627812E-18</v>
      </c>
      <c r="AC154" s="22">
        <f t="shared" ref="AC154:AC203" si="163">SUM(Z154:AB154)</f>
        <v>0.5596896902892885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5.6843418860808015E-14</v>
      </c>
      <c r="AJ154" s="13">
        <f>AI154*VLOOKUP('Données projet'!$B$10,Paramètres!$A$1:$I$89,3,0)*VLOOKUP('Données projet'!$B$10,Paramètres!$A$1:$I$89,5,0)</f>
        <v>4.1677594708744434E-14</v>
      </c>
      <c r="AK154" s="13">
        <f t="shared" ref="AK154:AK203" si="164">EXP(-1.0587+0.8836*LN(AJ154)+0.284)</f>
        <v>6.9326303456159188E-13</v>
      </c>
      <c r="AL154" s="20">
        <f t="shared" ref="AL154:AL203" si="165">(AJ154+AK154)*0.475*44/12</f>
        <v>1.2800215959791691E-12</v>
      </c>
      <c r="AM154" s="59">
        <f t="shared" si="113"/>
        <v>293.33333333333462</v>
      </c>
      <c r="AN154" s="59">
        <f ca="1">AVERAGE(OFFSET($AM$3,0,0,'Données projet'!$E$10+1,1))-AVERAGE(OFFSET($H$3,0,0,'Données projet'!$E$10+1,1))</f>
        <v>178.12968684094687</v>
      </c>
      <c r="AO154" s="59">
        <f t="shared" si="144"/>
        <v>219.36004077210373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0.26844414175342285</v>
      </c>
      <c r="AW154" s="21">
        <f>EXP(-LN(2)/2)*AW153+(1-EXP(-LN(2)/2))/(LN(2)/2)*AQ154*AT154*VLOOKUP('Données projet'!$B$10,Paramètres!$A$1:$I$89,3,0)*0.475*44/12</f>
        <v>6.0825839369896324E-18</v>
      </c>
      <c r="AX154" s="21">
        <f t="shared" ref="AX154:AX203" si="166">SUM(AU154:AW154)</f>
        <v>0.26844414175342285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-5.6843418860808015E-14</v>
      </c>
      <c r="BE154" s="13">
        <f>BD154*VLOOKUP('Données projet'!$B$11,Paramètres!$A$1:$I$89,3,0)*VLOOKUP('Données projet'!$B$11,Paramètres!$A$1:$I$89,5,0)</f>
        <v>-4.9658410716801891E-14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114.02623091248347</v>
      </c>
      <c r="BJ154" s="59">
        <f t="shared" si="146"/>
        <v>185.51554083721635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0.17771428965501357</v>
      </c>
      <c r="BQ154" s="21">
        <f>EXP(-LN(2)/25)*BQ153+(1-EXP(-LN(2)/25))/(LN(2)/25)*Calculateur!BL154*Calculateur!BN154*VLOOKUP('Données projet'!$B$11,Paramètres!$A$1:$I$89,3,0)*0.475*44/12</f>
        <v>0.39301030819920935</v>
      </c>
      <c r="BR154" s="21">
        <f>EXP(-LN(2)/2)*BR153+(1-EXP(-LN(2)/2))/(LN(2)/2)*BL154*BO154*VLOOKUP('Données projet'!$B$11,Paramètres!$A$1:$I$89,3,0)*0.475*44/12</f>
        <v>1.0818472717622027E-17</v>
      </c>
      <c r="BS154" s="22">
        <f t="shared" ref="BS154:BS203" si="169">SUM(BP154:BR154)</f>
        <v>0.57072459785422291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-1.1368683772161603E-13</v>
      </c>
      <c r="BZ154" s="13">
        <f>BY154*VLOOKUP('Données projet'!$B$12,Paramètres!$A$1:$I$89,3,0)*VLOOKUP('Données projet'!$B$12,Paramètres!$A$1:$I$89,5,0)</f>
        <v>-1.0286385077051818E-13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237.22177246688199</v>
      </c>
      <c r="CE154" s="59">
        <f t="shared" si="148"/>
        <v>149.27472147904302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0.10844452411782873</v>
      </c>
      <c r="CM154" s="21">
        <f>EXP(-LN(2)/2)*CM153+(1-EXP(-LN(2)/2))/(LN(2)/2)*CG154*CJ154*VLOOKUP('Données projet'!$B$12,Paramètres!$A$1:$I$89,3,0)*0.475*44/12</f>
        <v>3.7960345275033895E-18</v>
      </c>
      <c r="CN154" s="22">
        <f t="shared" ref="CN154:CN203" si="172">SUM(CK154:CM154)</f>
        <v>0.10844452411782873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-5.6843418860808015E-13</v>
      </c>
      <c r="CU154" s="17">
        <f>CT154*VLOOKUP('Données projet'!$B$13,Paramètres!$A$1:$I$89,3,0)*VLOOKUP('Données projet'!$B$13,Paramètres!$A$1:$I$89,5,0)</f>
        <v>-3.177547114319168E-13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326.31232746914907</v>
      </c>
      <c r="CZ154" s="59">
        <f t="shared" si="150"/>
        <v>330.17137761430297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0.41592706089471315</v>
      </c>
      <c r="DG154" s="21">
        <f>EXP(-LN(2)/25)*DG153+(1-EXP(-LN(2)/25))/(LN(2)/25)*Calculateur!DB154*Calculateur!DD154*VLOOKUP('Données projet'!$B$13,Paramètres!$A$1:$I$89,3,0)*0.475*44/12</f>
        <v>1.0534952193172942</v>
      </c>
      <c r="DH154" s="21">
        <f>EXP(-LN(2)/2)*DH153+(1-EXP(-LN(2)/2))/(LN(2)/2)*DB154*DE154*VLOOKUP('Données projet'!$B$13,Paramètres!$A$1:$I$89,3,0)*0.475*44/12</f>
        <v>1.9946361598073311E-17</v>
      </c>
      <c r="DI154" s="22">
        <f t="shared" ref="DI154:DI203" si="175">SUM(DF154:DH154)</f>
        <v>1.4694222802120074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6.2527760746888816E-13</v>
      </c>
      <c r="DP154" s="17">
        <f>DO154*VLOOKUP('Données projet'!$B$14,Paramètres!$A$1:$I$89,3,0)*VLOOKUP('Données projet'!$B$14,Paramètres!$A$1:$I$89,5,0)</f>
        <v>3.9017322706058616E-13</v>
      </c>
      <c r="DQ154" s="13">
        <f t="shared" ref="DQ154:DQ203" si="176">EXP(-1.0587+0.8836*LN(DP154)+0.284)</f>
        <v>5.0025007393608908E-12</v>
      </c>
      <c r="DR154" s="20">
        <f t="shared" ref="DR154:DR203" si="177">(DP154+DQ154)*0.475*44/12</f>
        <v>9.3922404915174053E-12</v>
      </c>
      <c r="DS154" s="59">
        <f t="shared" si="125"/>
        <v>293.33333333334269</v>
      </c>
      <c r="DT154" s="59">
        <f ca="1">AVERAGE(OFFSET($DS$3,0,0,'Données projet'!$E$14+1,1))-AVERAGE(OFFSET($H$3,0,0,'Données projet'!$E$14+1,1))</f>
        <v>209.93608079129638</v>
      </c>
      <c r="DU154" s="59">
        <f t="shared" si="152"/>
        <v>240.15652428700969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0.63312364449089487</v>
      </c>
      <c r="EB154" s="21">
        <f>EXP(-LN(2)/25)*EB153+(1-EXP(-LN(2)/25))/(LN(2)/25)*Calculateur!DW154*Calculateur!DY154*VLOOKUP('Données projet'!$B$14,Paramètres!$A$1:$I$89,3,0)*0.475*44/12</f>
        <v>0.72581446085526136</v>
      </c>
      <c r="EC154" s="21">
        <f>EXP(-LN(2)/2)*EC153+(1-EXP(-LN(2)/2))/(LN(2)/2)*DW154*DZ154*VLOOKUP('Données projet'!$B$14,Paramètres!$A$1:$I$89,3,0)*0.475*44/12</f>
        <v>1.2383377795725989E-17</v>
      </c>
      <c r="ED154" s="22">
        <f t="shared" ref="ED154:ED203" si="178">SUM(EA154:EC154)</f>
        <v>1.3589381053461562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-4.5474735088646412E-13</v>
      </c>
      <c r="EK154" s="17">
        <f>EJ154*VLOOKUP('Données projet'!$B$15,Paramètres!$A$1:$I$89,3,0)*VLOOKUP('Données projet'!$B$15,Paramètres!$A$1:$I$89,5,0)</f>
        <v>-2.7193891583010558E-13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216.94426559495264</v>
      </c>
      <c r="EP154" s="59">
        <f t="shared" si="154"/>
        <v>225.33715877618704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</v>
      </c>
      <c r="EW154" s="21">
        <f>EXP(-LN(2)/25)*EW153+(1-EXP(-LN(2)/25))/(LN(2)/25)*Calculateur!ER154*Calculateur!ET154*VLOOKUP('Données projet'!$B$15,Paramètres!$A$1:$I$89,3,0)*0.475*44/12</f>
        <v>0.44863490313070165</v>
      </c>
      <c r="EX154" s="21">
        <f>EXP(-LN(2)/2)*EX153+(1-EXP(-LN(2)/2))/(LN(2)/2)*ER154*EU154*VLOOKUP('Données projet'!$B$15,Paramètres!$A$1:$I$89,3,0)*0.475*44/12</f>
        <v>1.4553628510654899E-17</v>
      </c>
      <c r="EY154" s="22">
        <f t="shared" ref="EY154:EY203" si="181">SUM(EV154:EX154)</f>
        <v>0.44863490313070165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>
        <f>FE154*VLOOKUP('Données projet'!$B$16,Paramètres!$A$1:$I$89,3,0)*VLOOKUP('Données projet'!$B$16,Paramètres!$A$1:$I$89,5,0)</f>
        <v>0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168.08890945052406</v>
      </c>
      <c r="FK154" s="59">
        <f t="shared" si="156"/>
        <v>182.52462557642343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0.56564795151736313</v>
      </c>
      <c r="FR154" s="21">
        <f>EXP(-LN(2)/25)*FR153+(1-EXP(-LN(2)/25))/(LN(2)/25)*Calculateur!FM154*Calculateur!FO154*VLOOKUP('Données projet'!$B$16,Paramètres!$A$1:$I$89,3,0)*0.475*44/12</f>
        <v>0.43053550441228899</v>
      </c>
      <c r="FS154" s="21">
        <f>EXP(-LN(2)/2)*FS153+(1-EXP(-LN(2)/2))/(LN(2)/2)*FM154*FP154*VLOOKUP('Données projet'!$B$16,Paramètres!$A$1:$I$89,3,0)*0.475*44/12</f>
        <v>3.3399377065803122E-18</v>
      </c>
      <c r="FT154" s="22">
        <f t="shared" ref="FT154:FT203" si="184">SUM(FQ154:FS154)</f>
        <v>0.99618345592965207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-5.6843418860808015E-14</v>
      </c>
      <c r="GA154" s="17">
        <f>FZ154*VLOOKUP('Données projet'!$B$17,Paramètres!$A$1:$I$89,3,0)*VLOOKUP('Données projet'!$B$17,Paramètres!$A$1:$I$89,5,0)</f>
        <v>-3.2514435588382188E-14</v>
      </c>
      <c r="GB154" s="13" t="e">
        <f t="shared" ref="GB154:GB203" si="185">EXP(-1.0587+0.8836*LN(GA154)+0.284)</f>
        <v>#NUM!</v>
      </c>
      <c r="GC154" s="20" t="e">
        <f t="shared" ref="GC154:GC203" si="186">(GA154+GB154)*0.475*44/12</f>
        <v>#NUM!</v>
      </c>
      <c r="GD154" s="59" t="e">
        <f t="shared" si="134"/>
        <v>#NUM!</v>
      </c>
      <c r="GE154" s="59">
        <f ca="1">AVERAGE(OFFSET($GD$3,0,0,'Données projet'!$E$17+1,1))-AVERAGE(OFFSET($H$3,0,0,'Données projet'!$E$17+1,1))</f>
        <v>196.95560009657527</v>
      </c>
      <c r="GF154" s="59">
        <f t="shared" si="158"/>
        <v>168.90186968005662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0</v>
      </c>
      <c r="GM154" s="21">
        <f>EXP(-LN(2)/25)*GM153+(1-EXP(-LN(2)/25))/(LN(2)/25)*Calculateur!GH154*Calculateur!GJ154*VLOOKUP('Données projet'!$B$17,Paramètres!$A$1:$I$89,3,0)*0.475*44/12</f>
        <v>0.32230029364448065</v>
      </c>
      <c r="GN154" s="21">
        <f>EXP(-LN(2)/2)*GN153+(1-EXP(-LN(2)/2))/(LN(2)/2)*GH154*GK154*VLOOKUP('Données projet'!$B$17,Paramètres!$A$1:$I$89,3,0)*0.475*44/12</f>
        <v>7.8870027315161103E-18</v>
      </c>
      <c r="GO154" s="21">
        <f t="shared" ref="GO154:GO203" si="187">SUM(GL154:GN154)</f>
        <v>0.32230029364448065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-5.3205440053716299E-14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215.23235148064941</v>
      </c>
      <c r="T155" s="59">
        <f t="shared" si="142"/>
        <v>184.07239726900434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0.27981759779215193</v>
      </c>
      <c r="AA155" s="21">
        <f>EXP(-LN(2)/25)*AA154+(1-EXP(-LN(2)/25))/(LN(2)/25)*Calculateur!V155*Calculateur!X155*VLOOKUP('Données projet'!$B$9,Paramètres!$A$1:$I$89,3,0)*0.475*44/12</f>
        <v>0.26677521796297438</v>
      </c>
      <c r="AB155" s="21">
        <f>EXP(-LN(2)/2)*AB154+(1-EXP(-LN(2)/2))/(LN(2)/2)*V155*Y155*VLOOKUP('Données projet'!$B$9,Paramètres!$A$1:$I$89,3,0)*0.475*44/12</f>
        <v>4.264026840079118E-18</v>
      </c>
      <c r="AC155" s="22">
        <f t="shared" si="163"/>
        <v>0.5465928157551263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5.6843418860808015E-14</v>
      </c>
      <c r="AJ155" s="13">
        <f>AI155*VLOOKUP('Données projet'!$B$10,Paramètres!$A$1:$I$89,3,0)*VLOOKUP('Données projet'!$B$10,Paramètres!$A$1:$I$89,5,0)</f>
        <v>4.1677594708744434E-14</v>
      </c>
      <c r="AK155" s="13">
        <f t="shared" si="164"/>
        <v>6.9326303456159188E-13</v>
      </c>
      <c r="AL155" s="20">
        <f t="shared" si="165"/>
        <v>1.2800215959791691E-12</v>
      </c>
      <c r="AM155" s="59">
        <f t="shared" si="113"/>
        <v>293.33333333333462</v>
      </c>
      <c r="AN155" s="59">
        <f ca="1">AVERAGE(OFFSET($AM$3,0,0,'Données projet'!$E$10+1,1))-AVERAGE(OFFSET($H$3,0,0,'Données projet'!$E$10+1,1))</f>
        <v>178.12968684094687</v>
      </c>
      <c r="AO155" s="59">
        <f t="shared" si="144"/>
        <v>219.36004077210373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0.26110352258031161</v>
      </c>
      <c r="AW155" s="21">
        <f>EXP(-LN(2)/2)*AW154+(1-EXP(-LN(2)/2))/(LN(2)/2)*AQ155*AT155*VLOOKUP('Données projet'!$B$10,Paramètres!$A$1:$I$89,3,0)*0.475*44/12</f>
        <v>4.3010363489817367E-18</v>
      </c>
      <c r="AX155" s="21">
        <f t="shared" si="166"/>
        <v>0.26110352258031161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-5.6843418860808015E-14</v>
      </c>
      <c r="BE155" s="13">
        <f>BD155*VLOOKUP('Données projet'!$B$11,Paramètres!$A$1:$I$89,3,0)*VLOOKUP('Données projet'!$B$11,Paramètres!$A$1:$I$89,5,0)</f>
        <v>-4.9658410716801891E-14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114.02623091248347</v>
      </c>
      <c r="BJ155" s="59">
        <f t="shared" si="146"/>
        <v>185.51554083721635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0.17422942082989232</v>
      </c>
      <c r="BQ155" s="21">
        <f>EXP(-LN(2)/25)*BQ154+(1-EXP(-LN(2)/25))/(LN(2)/25)*Calculateur!BL155*Calculateur!BN155*VLOOKUP('Données projet'!$B$11,Paramètres!$A$1:$I$89,3,0)*0.475*44/12</f>
        <v>0.38226342065398811</v>
      </c>
      <c r="BR155" s="21">
        <f>EXP(-LN(2)/2)*BR154+(1-EXP(-LN(2)/2))/(LN(2)/2)*BL155*BO155*VLOOKUP('Données projet'!$B$11,Paramètres!$A$1:$I$89,3,0)*0.475*44/12</f>
        <v>7.6498154207121929E-18</v>
      </c>
      <c r="BS155" s="22">
        <f t="shared" si="169"/>
        <v>0.55649284148388045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-1.1368683772161603E-13</v>
      </c>
      <c r="BZ155" s="13">
        <f>BY155*VLOOKUP('Données projet'!$B$12,Paramètres!$A$1:$I$89,3,0)*VLOOKUP('Données projet'!$B$12,Paramètres!$A$1:$I$89,5,0)</f>
        <v>-1.0286385077051818E-13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237.22177246688199</v>
      </c>
      <c r="CE155" s="59">
        <f t="shared" si="148"/>
        <v>149.27472147904302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0.10547910290297703</v>
      </c>
      <c r="CM155" s="21">
        <f>EXP(-LN(2)/2)*CM154+(1-EXP(-LN(2)/2))/(LN(2)/2)*CG155*CJ155*VLOOKUP('Données projet'!$B$12,Paramètres!$A$1:$I$89,3,0)*0.475*44/12</f>
        <v>2.6842017560159186E-18</v>
      </c>
      <c r="CN155" s="22">
        <f t="shared" si="172"/>
        <v>0.10547910290297703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-5.6843418860808015E-13</v>
      </c>
      <c r="CU155" s="17">
        <f>CT155*VLOOKUP('Données projet'!$B$13,Paramètres!$A$1:$I$89,3,0)*VLOOKUP('Données projet'!$B$13,Paramètres!$A$1:$I$89,5,0)</f>
        <v>-3.177547114319168E-13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326.31232746914907</v>
      </c>
      <c r="CZ155" s="59">
        <f t="shared" si="150"/>
        <v>330.17137761430297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0.40777098492102515</v>
      </c>
      <c r="DG155" s="21">
        <f>EXP(-LN(2)/25)*DG154+(1-EXP(-LN(2)/25))/(LN(2)/25)*Calculateur!DB155*Calculateur!DD155*VLOOKUP('Données projet'!$B$13,Paramètres!$A$1:$I$89,3,0)*0.475*44/12</f>
        <v>1.0246873371441569</v>
      </c>
      <c r="DH155" s="21">
        <f>EXP(-LN(2)/2)*DH154+(1-EXP(-LN(2)/2))/(LN(2)/2)*DB155*DE155*VLOOKUP('Données projet'!$B$13,Paramètres!$A$1:$I$89,3,0)*0.475*44/12</f>
        <v>1.4104207545996579E-17</v>
      </c>
      <c r="DI155" s="22">
        <f t="shared" si="175"/>
        <v>1.4324583220651821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6.2527760746888816E-13</v>
      </c>
      <c r="DP155" s="17">
        <f>DO155*VLOOKUP('Données projet'!$B$14,Paramètres!$A$1:$I$89,3,0)*VLOOKUP('Données projet'!$B$14,Paramètres!$A$1:$I$89,5,0)</f>
        <v>3.9017322706058616E-13</v>
      </c>
      <c r="DQ155" s="13">
        <f t="shared" si="176"/>
        <v>5.0025007393608908E-12</v>
      </c>
      <c r="DR155" s="20">
        <f t="shared" si="177"/>
        <v>9.3922404915174053E-12</v>
      </c>
      <c r="DS155" s="59">
        <f t="shared" si="125"/>
        <v>293.33333333334269</v>
      </c>
      <c r="DT155" s="59">
        <f ca="1">AVERAGE(OFFSET($DS$3,0,0,'Données projet'!$E$14+1,1))-AVERAGE(OFFSET($H$3,0,0,'Données projet'!$E$14+1,1))</f>
        <v>209.93608079129638</v>
      </c>
      <c r="DU155" s="59">
        <f t="shared" si="152"/>
        <v>240.15652428700969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0.62070847598972068</v>
      </c>
      <c r="EB155" s="21">
        <f>EXP(-LN(2)/25)*EB154+(1-EXP(-LN(2)/25))/(LN(2)/25)*Calculateur!DW155*Calculateur!DY155*VLOOKUP('Données projet'!$B$14,Paramètres!$A$1:$I$89,3,0)*0.475*44/12</f>
        <v>0.70596702625425056</v>
      </c>
      <c r="EC155" s="21">
        <f>EXP(-LN(2)/2)*EC154+(1-EXP(-LN(2)/2))/(LN(2)/2)*DW155*DZ155*VLOOKUP('Données projet'!$B$14,Paramètres!$A$1:$I$89,3,0)*0.475*44/12</f>
        <v>8.7563704133527681E-18</v>
      </c>
      <c r="ED155" s="22">
        <f t="shared" si="178"/>
        <v>1.3266755022439711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-4.5474735088646412E-13</v>
      </c>
      <c r="EK155" s="17">
        <f>EJ155*VLOOKUP('Données projet'!$B$15,Paramètres!$A$1:$I$89,3,0)*VLOOKUP('Données projet'!$B$15,Paramètres!$A$1:$I$89,5,0)</f>
        <v>-2.7193891583010558E-13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216.94426559495264</v>
      </c>
      <c r="EP155" s="59">
        <f t="shared" si="154"/>
        <v>225.33715877618704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</v>
      </c>
      <c r="EW155" s="21">
        <f>EXP(-LN(2)/25)*EW154+(1-EXP(-LN(2)/25))/(LN(2)/25)*Calculateur!ER155*Calculateur!ET155*VLOOKUP('Données projet'!$B$15,Paramètres!$A$1:$I$89,3,0)*0.475*44/12</f>
        <v>0.4363669581119084</v>
      </c>
      <c r="EX155" s="21">
        <f>EXP(-LN(2)/2)*EX154+(1-EXP(-LN(2)/2))/(LN(2)/2)*ER155*EU155*VLOOKUP('Données projet'!$B$15,Paramètres!$A$1:$I$89,3,0)*0.475*44/12</f>
        <v>1.0290969410753954E-17</v>
      </c>
      <c r="EY155" s="22">
        <f t="shared" si="181"/>
        <v>0.4363669581119084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>
        <f>FE155*VLOOKUP('Données projet'!$B$16,Paramètres!$A$1:$I$89,3,0)*VLOOKUP('Données projet'!$B$16,Paramètres!$A$1:$I$89,5,0)</f>
        <v>0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168.08890945052406</v>
      </c>
      <c r="FK155" s="59">
        <f t="shared" si="156"/>
        <v>182.52462557642343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0.554555940199291</v>
      </c>
      <c r="FR155" s="21">
        <f>EXP(-LN(2)/25)*FR154+(1-EXP(-LN(2)/25))/(LN(2)/25)*Calculateur!FM155*Calculateur!FO155*VLOOKUP('Données projet'!$B$16,Paramètres!$A$1:$I$89,3,0)*0.475*44/12</f>
        <v>0.41876248840325675</v>
      </c>
      <c r="FS155" s="21">
        <f>EXP(-LN(2)/2)*FS154+(1-EXP(-LN(2)/2))/(LN(2)/2)*FM155*FP155*VLOOKUP('Données projet'!$B$16,Paramètres!$A$1:$I$89,3,0)*0.475*44/12</f>
        <v>2.3616926010635842E-18</v>
      </c>
      <c r="FT155" s="22">
        <f t="shared" si="184"/>
        <v>0.9733184286025478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-5.6843418860808015E-14</v>
      </c>
      <c r="GA155" s="17">
        <f>FZ155*VLOOKUP('Données projet'!$B$17,Paramètres!$A$1:$I$89,3,0)*VLOOKUP('Données projet'!$B$17,Paramètres!$A$1:$I$89,5,0)</f>
        <v>-3.2514435588382188E-14</v>
      </c>
      <c r="GB155" s="13" t="e">
        <f t="shared" si="185"/>
        <v>#NUM!</v>
      </c>
      <c r="GC155" s="20" t="e">
        <f t="shared" si="186"/>
        <v>#NUM!</v>
      </c>
      <c r="GD155" s="59" t="e">
        <f t="shared" si="134"/>
        <v>#NUM!</v>
      </c>
      <c r="GE155" s="59">
        <f ca="1">AVERAGE(OFFSET($GD$3,0,0,'Données projet'!$E$17+1,1))-AVERAGE(OFFSET($H$3,0,0,'Données projet'!$E$17+1,1))</f>
        <v>196.95560009657527</v>
      </c>
      <c r="GF155" s="59">
        <f t="shared" si="158"/>
        <v>168.90186968005662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0</v>
      </c>
      <c r="GM155" s="21">
        <f>EXP(-LN(2)/25)*GM154+(1-EXP(-LN(2)/25))/(LN(2)/25)*Calculateur!GH155*Calculateur!GJ155*VLOOKUP('Données projet'!$B$17,Paramètres!$A$1:$I$89,3,0)*0.475*44/12</f>
        <v>0.31348697516573654</v>
      </c>
      <c r="GN155" s="21">
        <f>EXP(-LN(2)/2)*GN154+(1-EXP(-LN(2)/2))/(LN(2)/2)*GH155*GK155*VLOOKUP('Données projet'!$B$17,Paramètres!$A$1:$I$89,3,0)*0.475*44/12</f>
        <v>5.5769531146918648E-18</v>
      </c>
      <c r="GO155" s="21">
        <f t="shared" si="187"/>
        <v>0.31348697516573654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-5.3205440053716299E-14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215.23235148064941</v>
      </c>
      <c r="T156" s="59">
        <f t="shared" si="142"/>
        <v>184.07239726900434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0.27433054537133006</v>
      </c>
      <c r="AA156" s="21">
        <f>EXP(-LN(2)/25)*AA155+(1-EXP(-LN(2)/25))/(LN(2)/25)*Calculateur!V156*Calculateur!X156*VLOOKUP('Données projet'!$B$9,Paramètres!$A$1:$I$89,3,0)*0.475*44/12</f>
        <v>0.25948023559867783</v>
      </c>
      <c r="AB156" s="21">
        <f>EXP(-LN(2)/2)*AB155+(1-EXP(-LN(2)/2))/(LN(2)/2)*V156*Y156*VLOOKUP('Données projet'!$B$9,Paramètres!$A$1:$I$89,3,0)*0.475*44/12</f>
        <v>3.0151222937813906E-18</v>
      </c>
      <c r="AC156" s="22">
        <f t="shared" si="163"/>
        <v>0.53381078097000789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5.6843418860808015E-14</v>
      </c>
      <c r="AJ156" s="13">
        <f>AI156*VLOOKUP('Données projet'!$B$10,Paramètres!$A$1:$I$89,3,0)*VLOOKUP('Données projet'!$B$10,Paramètres!$A$1:$I$89,5,0)</f>
        <v>4.1677594708744434E-14</v>
      </c>
      <c r="AK156" s="13">
        <f t="shared" si="164"/>
        <v>6.9326303456159188E-13</v>
      </c>
      <c r="AL156" s="20">
        <f t="shared" si="165"/>
        <v>1.2800215959791691E-12</v>
      </c>
      <c r="AM156" s="59">
        <f t="shared" si="113"/>
        <v>293.33333333333462</v>
      </c>
      <c r="AN156" s="59">
        <f ca="1">AVERAGE(OFFSET($AM$3,0,0,'Données projet'!$E$10+1,1))-AVERAGE(OFFSET($H$3,0,0,'Données projet'!$E$10+1,1))</f>
        <v>178.12968684094687</v>
      </c>
      <c r="AO156" s="59">
        <f t="shared" si="144"/>
        <v>219.36004077210373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0.25396363302451552</v>
      </c>
      <c r="AW156" s="21">
        <f>EXP(-LN(2)/2)*AW155+(1-EXP(-LN(2)/2))/(LN(2)/2)*AQ156*AT156*VLOOKUP('Données projet'!$B$10,Paramètres!$A$1:$I$89,3,0)*0.475*44/12</f>
        <v>3.0412919684948162E-18</v>
      </c>
      <c r="AX156" s="21">
        <f t="shared" si="166"/>
        <v>0.25396363302451552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-5.6843418860808015E-14</v>
      </c>
      <c r="BE156" s="13">
        <f>BD156*VLOOKUP('Données projet'!$B$11,Paramètres!$A$1:$I$89,3,0)*VLOOKUP('Données projet'!$B$11,Paramètres!$A$1:$I$89,5,0)</f>
        <v>-4.9658410716801891E-14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114.02623091248347</v>
      </c>
      <c r="BJ156" s="59">
        <f t="shared" si="146"/>
        <v>185.51554083721635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0.1708128881568716</v>
      </c>
      <c r="BQ156" s="21">
        <f>EXP(-LN(2)/25)*BQ155+(1-EXP(-LN(2)/25))/(LN(2)/25)*Calculateur!BL156*Calculateur!BN156*VLOOKUP('Données projet'!$B$11,Paramètres!$A$1:$I$89,3,0)*0.475*44/12</f>
        <v>0.37181040731384518</v>
      </c>
      <c r="BR156" s="21">
        <f>EXP(-LN(2)/2)*BR155+(1-EXP(-LN(2)/2))/(LN(2)/2)*BL156*BO156*VLOOKUP('Données projet'!$B$11,Paramètres!$A$1:$I$89,3,0)*0.475*44/12</f>
        <v>5.4092363588110137E-18</v>
      </c>
      <c r="BS156" s="22">
        <f t="shared" si="169"/>
        <v>0.54262329547071675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-1.1368683772161603E-13</v>
      </c>
      <c r="BZ156" s="13">
        <f>BY156*VLOOKUP('Données projet'!$B$12,Paramètres!$A$1:$I$89,3,0)*VLOOKUP('Données projet'!$B$12,Paramètres!$A$1:$I$89,5,0)</f>
        <v>-1.0286385077051818E-13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237.22177246688199</v>
      </c>
      <c r="CE156" s="59">
        <f t="shared" si="148"/>
        <v>149.27472147904302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0.10259477128719018</v>
      </c>
      <c r="CM156" s="21">
        <f>EXP(-LN(2)/2)*CM155+(1-EXP(-LN(2)/2))/(LN(2)/2)*CG156*CJ156*VLOOKUP('Données projet'!$B$12,Paramètres!$A$1:$I$89,3,0)*0.475*44/12</f>
        <v>1.8980172637516947E-18</v>
      </c>
      <c r="CN156" s="22">
        <f t="shared" si="172"/>
        <v>0.10259477128719018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-5.6843418860808015E-13</v>
      </c>
      <c r="CU156" s="17">
        <f>CT156*VLOOKUP('Données projet'!$B$13,Paramètres!$A$1:$I$89,3,0)*VLOOKUP('Données projet'!$B$13,Paramètres!$A$1:$I$89,5,0)</f>
        <v>-3.177547114319168E-13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326.31232746914907</v>
      </c>
      <c r="CZ156" s="59">
        <f t="shared" si="150"/>
        <v>330.17137761430297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0.39977484462246599</v>
      </c>
      <c r="DG156" s="21">
        <f>EXP(-LN(2)/25)*DG155+(1-EXP(-LN(2)/25))/(LN(2)/25)*Calculateur!DB156*Calculateur!DD156*VLOOKUP('Données projet'!$B$13,Paramètres!$A$1:$I$89,3,0)*0.475*44/12</f>
        <v>0.9966672080239849</v>
      </c>
      <c r="DH156" s="21">
        <f>EXP(-LN(2)/2)*DH155+(1-EXP(-LN(2)/2))/(LN(2)/2)*DB156*DE156*VLOOKUP('Données projet'!$B$13,Paramètres!$A$1:$I$89,3,0)*0.475*44/12</f>
        <v>9.9731807990366554E-18</v>
      </c>
      <c r="DI156" s="22">
        <f t="shared" si="175"/>
        <v>1.3964420526464509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6.2527760746888816E-13</v>
      </c>
      <c r="DP156" s="17">
        <f>DO156*VLOOKUP('Données projet'!$B$14,Paramètres!$A$1:$I$89,3,0)*VLOOKUP('Données projet'!$B$14,Paramètres!$A$1:$I$89,5,0)</f>
        <v>3.9017322706058616E-13</v>
      </c>
      <c r="DQ156" s="13">
        <f t="shared" si="176"/>
        <v>5.0025007393608908E-12</v>
      </c>
      <c r="DR156" s="20">
        <f t="shared" si="177"/>
        <v>9.3922404915174053E-12</v>
      </c>
      <c r="DS156" s="59">
        <f t="shared" si="125"/>
        <v>293.33333333334269</v>
      </c>
      <c r="DT156" s="59">
        <f ca="1">AVERAGE(OFFSET($DS$3,0,0,'Données projet'!$E$14+1,1))-AVERAGE(OFFSET($H$3,0,0,'Données projet'!$E$14+1,1))</f>
        <v>209.93608079129638</v>
      </c>
      <c r="DU156" s="59">
        <f t="shared" si="152"/>
        <v>240.15652428700969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0.60853676137034951</v>
      </c>
      <c r="EB156" s="21">
        <f>EXP(-LN(2)/25)*EB155+(1-EXP(-LN(2)/25))/(LN(2)/25)*Calculateur!DW156*Calculateur!DY156*VLOOKUP('Données projet'!$B$14,Paramètres!$A$1:$I$89,3,0)*0.475*44/12</f>
        <v>0.68666232079613565</v>
      </c>
      <c r="EC156" s="21">
        <f>EXP(-LN(2)/2)*EC155+(1-EXP(-LN(2)/2))/(LN(2)/2)*DW156*DZ156*VLOOKUP('Données projet'!$B$14,Paramètres!$A$1:$I$89,3,0)*0.475*44/12</f>
        <v>6.1916888978629946E-18</v>
      </c>
      <c r="ED156" s="22">
        <f t="shared" si="178"/>
        <v>1.2951990821664852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-4.5474735088646412E-13</v>
      </c>
      <c r="EK156" s="17">
        <f>EJ156*VLOOKUP('Données projet'!$B$15,Paramètres!$A$1:$I$89,3,0)*VLOOKUP('Données projet'!$B$15,Paramètres!$A$1:$I$89,5,0)</f>
        <v>-2.7193891583010558E-13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216.94426559495264</v>
      </c>
      <c r="EP156" s="59">
        <f t="shared" si="154"/>
        <v>225.33715877618704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</v>
      </c>
      <c r="EW156" s="21">
        <f>EXP(-LN(2)/25)*EW155+(1-EXP(-LN(2)/25))/(LN(2)/25)*Calculateur!ER156*Calculateur!ET156*VLOOKUP('Données projet'!$B$15,Paramètres!$A$1:$I$89,3,0)*0.475*44/12</f>
        <v>0.42443448069479728</v>
      </c>
      <c r="EX156" s="21">
        <f>EXP(-LN(2)/2)*EX155+(1-EXP(-LN(2)/2))/(LN(2)/2)*ER156*EU156*VLOOKUP('Données projet'!$B$15,Paramètres!$A$1:$I$89,3,0)*0.475*44/12</f>
        <v>7.2768142553274497E-18</v>
      </c>
      <c r="EY156" s="22">
        <f t="shared" si="181"/>
        <v>0.42443448069479728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>
        <f>FE156*VLOOKUP('Données projet'!$B$16,Paramètres!$A$1:$I$89,3,0)*VLOOKUP('Données projet'!$B$16,Paramètres!$A$1:$I$89,5,0)</f>
        <v>0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168.08890945052406</v>
      </c>
      <c r="FK156" s="59">
        <f t="shared" si="156"/>
        <v>182.52462557642343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0.54368143645770739</v>
      </c>
      <c r="FR156" s="21">
        <f>EXP(-LN(2)/25)*FR155+(1-EXP(-LN(2)/25))/(LN(2)/25)*Calculateur!FM156*Calculateur!FO156*VLOOKUP('Données projet'!$B$16,Paramètres!$A$1:$I$89,3,0)*0.475*44/12</f>
        <v>0.4073114061361075</v>
      </c>
      <c r="FS156" s="21">
        <f>EXP(-LN(2)/2)*FS155+(1-EXP(-LN(2)/2))/(LN(2)/2)*FM156*FP156*VLOOKUP('Données projet'!$B$16,Paramètres!$A$1:$I$89,3,0)*0.475*44/12</f>
        <v>1.6699688532901561E-18</v>
      </c>
      <c r="FT156" s="22">
        <f t="shared" si="184"/>
        <v>0.95099284259381489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-5.6843418860808015E-14</v>
      </c>
      <c r="GA156" s="17">
        <f>FZ156*VLOOKUP('Données projet'!$B$17,Paramètres!$A$1:$I$89,3,0)*VLOOKUP('Données projet'!$B$17,Paramètres!$A$1:$I$89,5,0)</f>
        <v>-3.2514435588382188E-14</v>
      </c>
      <c r="GB156" s="13" t="e">
        <f t="shared" si="185"/>
        <v>#NUM!</v>
      </c>
      <c r="GC156" s="20" t="e">
        <f t="shared" si="186"/>
        <v>#NUM!</v>
      </c>
      <c r="GD156" s="59" t="e">
        <f t="shared" si="134"/>
        <v>#NUM!</v>
      </c>
      <c r="GE156" s="59">
        <f ca="1">AVERAGE(OFFSET($GD$3,0,0,'Données projet'!$E$17+1,1))-AVERAGE(OFFSET($H$3,0,0,'Données projet'!$E$17+1,1))</f>
        <v>196.95560009657527</v>
      </c>
      <c r="GF156" s="59">
        <f t="shared" si="158"/>
        <v>168.90186968005662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0</v>
      </c>
      <c r="GM156" s="21">
        <f>EXP(-LN(2)/25)*GM155+(1-EXP(-LN(2)/25))/(LN(2)/25)*Calculateur!GH156*Calculateur!GJ156*VLOOKUP('Données projet'!$B$17,Paramètres!$A$1:$I$89,3,0)*0.475*44/12</f>
        <v>0.30491465734426593</v>
      </c>
      <c r="GN156" s="21">
        <f>EXP(-LN(2)/2)*GN155+(1-EXP(-LN(2)/2))/(LN(2)/2)*GH156*GK156*VLOOKUP('Données projet'!$B$17,Paramètres!$A$1:$I$89,3,0)*0.475*44/12</f>
        <v>3.9435013657580551E-18</v>
      </c>
      <c r="GO156" s="21">
        <f t="shared" si="187"/>
        <v>0.30491465734426593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-5.3205440053716299E-14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215.23235148064941</v>
      </c>
      <c r="T157" s="59">
        <f t="shared" si="142"/>
        <v>184.07239726900434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0.26895109070170897</v>
      </c>
      <c r="AA157" s="21">
        <f>EXP(-LN(2)/25)*AA156+(1-EXP(-LN(2)/25))/(LN(2)/25)*Calculateur!V157*Calculateur!X157*VLOOKUP('Données projet'!$B$9,Paramètres!$A$1:$I$89,3,0)*0.475*44/12</f>
        <v>0.25238473491075947</v>
      </c>
      <c r="AB157" s="21">
        <f>EXP(-LN(2)/2)*AB156+(1-EXP(-LN(2)/2))/(LN(2)/2)*V157*Y157*VLOOKUP('Données projet'!$B$9,Paramètres!$A$1:$I$89,3,0)*0.475*44/12</f>
        <v>2.132013420039559E-18</v>
      </c>
      <c r="AC157" s="22">
        <f t="shared" si="163"/>
        <v>0.5213358256124685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5.6843418860808015E-14</v>
      </c>
      <c r="AJ157" s="13">
        <f>AI157*VLOOKUP('Données projet'!$B$10,Paramètres!$A$1:$I$89,3,0)*VLOOKUP('Données projet'!$B$10,Paramètres!$A$1:$I$89,5,0)</f>
        <v>4.1677594708744434E-14</v>
      </c>
      <c r="AK157" s="13">
        <f t="shared" si="164"/>
        <v>6.9326303456159188E-13</v>
      </c>
      <c r="AL157" s="20">
        <f t="shared" si="165"/>
        <v>1.2800215959791691E-12</v>
      </c>
      <c r="AM157" s="59">
        <f t="shared" si="113"/>
        <v>293.33333333333462</v>
      </c>
      <c r="AN157" s="59">
        <f ca="1">AVERAGE(OFFSET($AM$3,0,0,'Données projet'!$E$10+1,1))-AVERAGE(OFFSET($H$3,0,0,'Données projet'!$E$10+1,1))</f>
        <v>178.12968684094687</v>
      </c>
      <c r="AO157" s="59">
        <f t="shared" si="144"/>
        <v>219.36004077210373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0.24701898412409312</v>
      </c>
      <c r="AW157" s="21">
        <f>EXP(-LN(2)/2)*AW156+(1-EXP(-LN(2)/2))/(LN(2)/2)*AQ157*AT157*VLOOKUP('Données projet'!$B$10,Paramètres!$A$1:$I$89,3,0)*0.475*44/12</f>
        <v>2.1505181744908683E-18</v>
      </c>
      <c r="AX157" s="21">
        <f t="shared" si="166"/>
        <v>0.24701898412409312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-5.6843418860808015E-14</v>
      </c>
      <c r="BE157" s="13">
        <f>BD157*VLOOKUP('Données projet'!$B$11,Paramètres!$A$1:$I$89,3,0)*VLOOKUP('Données projet'!$B$11,Paramètres!$A$1:$I$89,5,0)</f>
        <v>-4.9658410716801891E-14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114.02623091248347</v>
      </c>
      <c r="BJ157" s="59">
        <f t="shared" si="146"/>
        <v>185.51554083721635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0.16746335160568965</v>
      </c>
      <c r="BQ157" s="21">
        <f>EXP(-LN(2)/25)*BQ156+(1-EXP(-LN(2)/25))/(LN(2)/25)*Calculateur!BL157*Calculateur!BN157*VLOOKUP('Données projet'!$B$11,Paramètres!$A$1:$I$89,3,0)*0.475*44/12</f>
        <v>0.36164323217318856</v>
      </c>
      <c r="BR157" s="21">
        <f>EXP(-LN(2)/2)*BR156+(1-EXP(-LN(2)/2))/(LN(2)/2)*BL157*BO157*VLOOKUP('Données projet'!$B$11,Paramètres!$A$1:$I$89,3,0)*0.475*44/12</f>
        <v>3.8249077103560965E-18</v>
      </c>
      <c r="BS157" s="22">
        <f t="shared" si="169"/>
        <v>0.5291065837788782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-1.1368683772161603E-13</v>
      </c>
      <c r="BZ157" s="13">
        <f>BY157*VLOOKUP('Données projet'!$B$12,Paramètres!$A$1:$I$89,3,0)*VLOOKUP('Données projet'!$B$12,Paramètres!$A$1:$I$89,5,0)</f>
        <v>-1.0286385077051818E-13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237.22177246688199</v>
      </c>
      <c r="CE157" s="59">
        <f t="shared" si="148"/>
        <v>149.27472147904302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9.978931187111742E-2</v>
      </c>
      <c r="CM157" s="21">
        <f>EXP(-LN(2)/2)*CM156+(1-EXP(-LN(2)/2))/(LN(2)/2)*CG157*CJ157*VLOOKUP('Données projet'!$B$12,Paramètres!$A$1:$I$89,3,0)*0.475*44/12</f>
        <v>1.3421008780079593E-18</v>
      </c>
      <c r="CN157" s="22">
        <f t="shared" si="172"/>
        <v>9.978931187111742E-2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-5.6843418860808015E-13</v>
      </c>
      <c r="CU157" s="17">
        <f>CT157*VLOOKUP('Données projet'!$B$13,Paramètres!$A$1:$I$89,3,0)*VLOOKUP('Données projet'!$B$13,Paramètres!$A$1:$I$89,5,0)</f>
        <v>-3.177547114319168E-13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326.31232746914907</v>
      </c>
      <c r="CZ157" s="59">
        <f t="shared" si="150"/>
        <v>330.17137761430297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0.39193550375799757</v>
      </c>
      <c r="DG157" s="21">
        <f>EXP(-LN(2)/25)*DG156+(1-EXP(-LN(2)/25))/(LN(2)/25)*Calculateur!DB157*Calculateur!DD157*VLOOKUP('Données projet'!$B$13,Paramètres!$A$1:$I$89,3,0)*0.475*44/12</f>
        <v>0.96941329080811844</v>
      </c>
      <c r="DH157" s="21">
        <f>EXP(-LN(2)/2)*DH156+(1-EXP(-LN(2)/2))/(LN(2)/2)*DB157*DE157*VLOOKUP('Données projet'!$B$13,Paramètres!$A$1:$I$89,3,0)*0.475*44/12</f>
        <v>7.0521037729982895E-18</v>
      </c>
      <c r="DI157" s="22">
        <f t="shared" si="175"/>
        <v>1.361348794566116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6.2527760746888816E-13</v>
      </c>
      <c r="DP157" s="17">
        <f>DO157*VLOOKUP('Données projet'!$B$14,Paramètres!$A$1:$I$89,3,0)*VLOOKUP('Données projet'!$B$14,Paramètres!$A$1:$I$89,5,0)</f>
        <v>3.9017322706058616E-13</v>
      </c>
      <c r="DQ157" s="13">
        <f t="shared" si="176"/>
        <v>5.0025007393608908E-12</v>
      </c>
      <c r="DR157" s="20">
        <f t="shared" si="177"/>
        <v>9.3922404915174053E-12</v>
      </c>
      <c r="DS157" s="59">
        <f t="shared" si="125"/>
        <v>293.33333333334269</v>
      </c>
      <c r="DT157" s="59">
        <f ca="1">AVERAGE(OFFSET($DS$3,0,0,'Données projet'!$E$14+1,1))-AVERAGE(OFFSET($H$3,0,0,'Données projet'!$E$14+1,1))</f>
        <v>209.93608079129638</v>
      </c>
      <c r="DU157" s="59">
        <f t="shared" si="152"/>
        <v>240.15652428700969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0.59660372665065131</v>
      </c>
      <c r="EB157" s="21">
        <f>EXP(-LN(2)/25)*EB156+(1-EXP(-LN(2)/25))/(LN(2)/25)*Calculateur!DW157*Calculateur!DY157*VLOOKUP('Données projet'!$B$14,Paramètres!$A$1:$I$89,3,0)*0.475*44/12</f>
        <v>0.66788550352396325</v>
      </c>
      <c r="EC157" s="21">
        <f>EXP(-LN(2)/2)*EC156+(1-EXP(-LN(2)/2))/(LN(2)/2)*DW157*DZ157*VLOOKUP('Données projet'!$B$14,Paramètres!$A$1:$I$89,3,0)*0.475*44/12</f>
        <v>4.3781852066763841E-18</v>
      </c>
      <c r="ED157" s="22">
        <f t="shared" si="178"/>
        <v>1.2644892301746147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-4.5474735088646412E-13</v>
      </c>
      <c r="EK157" s="17">
        <f>EJ157*VLOOKUP('Données projet'!$B$15,Paramètres!$A$1:$I$89,3,0)*VLOOKUP('Données projet'!$B$15,Paramètres!$A$1:$I$89,5,0)</f>
        <v>-2.7193891583010558E-13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216.94426559495264</v>
      </c>
      <c r="EP157" s="59">
        <f t="shared" si="154"/>
        <v>225.33715877618704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</v>
      </c>
      <c r="EW157" s="21">
        <f>EXP(-LN(2)/25)*EW156+(1-EXP(-LN(2)/25))/(LN(2)/25)*Calculateur!ER157*Calculateur!ET157*VLOOKUP('Données projet'!$B$15,Paramètres!$A$1:$I$89,3,0)*0.475*44/12</f>
        <v>0.41282829750015876</v>
      </c>
      <c r="EX157" s="21">
        <f>EXP(-LN(2)/2)*EX156+(1-EXP(-LN(2)/2))/(LN(2)/2)*ER157*EU157*VLOOKUP('Données projet'!$B$15,Paramètres!$A$1:$I$89,3,0)*0.475*44/12</f>
        <v>5.1454847053769769E-18</v>
      </c>
      <c r="EY157" s="22">
        <f t="shared" si="181"/>
        <v>0.41282829750015876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>
        <f>FE157*VLOOKUP('Données projet'!$B$16,Paramètres!$A$1:$I$89,3,0)*VLOOKUP('Données projet'!$B$16,Paramètres!$A$1:$I$89,5,0)</f>
        <v>0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168.08890945052406</v>
      </c>
      <c r="FK157" s="59">
        <f t="shared" si="156"/>
        <v>182.52462557642343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0.53302017510170396</v>
      </c>
      <c r="FR157" s="21">
        <f>EXP(-LN(2)/25)*FR156+(1-EXP(-LN(2)/25))/(LN(2)/25)*Calculateur!FM157*Calculateur!FO157*VLOOKUP('Données projet'!$B$16,Paramètres!$A$1:$I$89,3,0)*0.475*44/12</f>
        <v>0.39617345431573969</v>
      </c>
      <c r="FS157" s="21">
        <f>EXP(-LN(2)/2)*FS156+(1-EXP(-LN(2)/2))/(LN(2)/2)*FM157*FP157*VLOOKUP('Données projet'!$B$16,Paramètres!$A$1:$I$89,3,0)*0.475*44/12</f>
        <v>1.1808463005317921E-18</v>
      </c>
      <c r="FT157" s="22">
        <f t="shared" si="184"/>
        <v>0.92919362941744366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-5.6843418860808015E-14</v>
      </c>
      <c r="GA157" s="17">
        <f>FZ157*VLOOKUP('Données projet'!$B$17,Paramètres!$A$1:$I$89,3,0)*VLOOKUP('Données projet'!$B$17,Paramètres!$A$1:$I$89,5,0)</f>
        <v>-3.2514435588382188E-14</v>
      </c>
      <c r="GB157" s="13" t="e">
        <f t="shared" si="185"/>
        <v>#NUM!</v>
      </c>
      <c r="GC157" s="20" t="e">
        <f t="shared" si="186"/>
        <v>#NUM!</v>
      </c>
      <c r="GD157" s="59" t="e">
        <f t="shared" si="134"/>
        <v>#NUM!</v>
      </c>
      <c r="GE157" s="59">
        <f ca="1">AVERAGE(OFFSET($GD$3,0,0,'Données projet'!$E$17+1,1))-AVERAGE(OFFSET($H$3,0,0,'Données projet'!$E$17+1,1))</f>
        <v>196.95560009657527</v>
      </c>
      <c r="GF157" s="59">
        <f t="shared" si="158"/>
        <v>168.90186968005662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0</v>
      </c>
      <c r="GM157" s="21">
        <f>EXP(-LN(2)/25)*GM156+(1-EXP(-LN(2)/25))/(LN(2)/25)*Calculateur!GH157*Calculateur!GJ157*VLOOKUP('Données projet'!$B$17,Paramètres!$A$1:$I$89,3,0)*0.475*44/12</f>
        <v>0.29657675000442202</v>
      </c>
      <c r="GN157" s="21">
        <f>EXP(-LN(2)/2)*GN156+(1-EXP(-LN(2)/2))/(LN(2)/2)*GH157*GK157*VLOOKUP('Données projet'!$B$17,Paramètres!$A$1:$I$89,3,0)*0.475*44/12</f>
        <v>2.7884765573459324E-18</v>
      </c>
      <c r="GO157" s="21">
        <f t="shared" si="187"/>
        <v>0.29657675000442202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-5.3205440053716299E-14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215.23235148064941</v>
      </c>
      <c r="T158" s="59">
        <f t="shared" si="142"/>
        <v>184.07239726900434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0.2636771238570158</v>
      </c>
      <c r="AA158" s="21">
        <f>EXP(-LN(2)/25)*AA157+(1-EXP(-LN(2)/25))/(LN(2)/25)*Calculateur!V158*Calculateur!X158*VLOOKUP('Données projet'!$B$9,Paramètres!$A$1:$I$89,3,0)*0.475*44/12</f>
        <v>0.24548326106228838</v>
      </c>
      <c r="AB158" s="21">
        <f>EXP(-LN(2)/2)*AB157+(1-EXP(-LN(2)/2))/(LN(2)/2)*V158*Y158*VLOOKUP('Données projet'!$B$9,Paramètres!$A$1:$I$89,3,0)*0.475*44/12</f>
        <v>1.5075611468906953E-18</v>
      </c>
      <c r="AC158" s="22">
        <f t="shared" si="163"/>
        <v>0.50916038491930415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5.6843418860808015E-14</v>
      </c>
      <c r="AJ158" s="13">
        <f>AI158*VLOOKUP('Données projet'!$B$10,Paramètres!$A$1:$I$89,3,0)*VLOOKUP('Données projet'!$B$10,Paramètres!$A$1:$I$89,5,0)</f>
        <v>4.1677594708744434E-14</v>
      </c>
      <c r="AK158" s="13">
        <f t="shared" si="164"/>
        <v>6.9326303456159188E-13</v>
      </c>
      <c r="AL158" s="20">
        <f t="shared" si="165"/>
        <v>1.2800215959791691E-12</v>
      </c>
      <c r="AM158" s="59">
        <f t="shared" si="113"/>
        <v>293.33333333333462</v>
      </c>
      <c r="AN158" s="59">
        <f ca="1">AVERAGE(OFFSET($AM$3,0,0,'Données projet'!$E$10+1,1))-AVERAGE(OFFSET($H$3,0,0,'Données projet'!$E$10+1,1))</f>
        <v>178.12968684094687</v>
      </c>
      <c r="AO158" s="59">
        <f t="shared" si="144"/>
        <v>219.36004077210373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0.24026423701305599</v>
      </c>
      <c r="AW158" s="21">
        <f>EXP(-LN(2)/2)*AW157+(1-EXP(-LN(2)/2))/(LN(2)/2)*AQ158*AT158*VLOOKUP('Données projet'!$B$10,Paramètres!$A$1:$I$89,3,0)*0.475*44/12</f>
        <v>1.5206459842474081E-18</v>
      </c>
      <c r="AX158" s="21">
        <f t="shared" si="166"/>
        <v>0.24026423701305599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-5.6843418860808015E-14</v>
      </c>
      <c r="BE158" s="13">
        <f>BD158*VLOOKUP('Données projet'!$B$11,Paramètres!$A$1:$I$89,3,0)*VLOOKUP('Données projet'!$B$11,Paramètres!$A$1:$I$89,5,0)</f>
        <v>-4.9658410716801891E-14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114.02623091248347</v>
      </c>
      <c r="BJ158" s="59">
        <f t="shared" si="146"/>
        <v>185.51554083721635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0.16417949742326082</v>
      </c>
      <c r="BQ158" s="21">
        <f>EXP(-LN(2)/25)*BQ157+(1-EXP(-LN(2)/25))/(LN(2)/25)*Calculateur!BL158*Calculateur!BN158*VLOOKUP('Données projet'!$B$11,Paramètres!$A$1:$I$89,3,0)*0.475*44/12</f>
        <v>0.35175407897142169</v>
      </c>
      <c r="BR158" s="21">
        <f>EXP(-LN(2)/2)*BR157+(1-EXP(-LN(2)/2))/(LN(2)/2)*BL158*BO158*VLOOKUP('Données projet'!$B$11,Paramètres!$A$1:$I$89,3,0)*0.475*44/12</f>
        <v>2.7046181794055068E-18</v>
      </c>
      <c r="BS158" s="22">
        <f t="shared" si="169"/>
        <v>0.51593357639468251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-1.1368683772161603E-13</v>
      </c>
      <c r="BZ158" s="13">
        <f>BY158*VLOOKUP('Données projet'!$B$12,Paramètres!$A$1:$I$89,3,0)*VLOOKUP('Données projet'!$B$12,Paramètres!$A$1:$I$89,5,0)</f>
        <v>-1.0286385077051818E-13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237.22177246688199</v>
      </c>
      <c r="CE158" s="59">
        <f t="shared" si="148"/>
        <v>149.27472147904302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9.7060567890309868E-2</v>
      </c>
      <c r="CM158" s="21">
        <f>EXP(-LN(2)/2)*CM157+(1-EXP(-LN(2)/2))/(LN(2)/2)*CG158*CJ158*VLOOKUP('Données projet'!$B$12,Paramètres!$A$1:$I$89,3,0)*0.475*44/12</f>
        <v>9.4900863187584737E-19</v>
      </c>
      <c r="CN158" s="22">
        <f t="shared" si="172"/>
        <v>9.7060567890309868E-2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-5.6843418860808015E-13</v>
      </c>
      <c r="CU158" s="17">
        <f>CT158*VLOOKUP('Données projet'!$B$13,Paramètres!$A$1:$I$89,3,0)*VLOOKUP('Données projet'!$B$13,Paramètres!$A$1:$I$89,5,0)</f>
        <v>-3.177547114319168E-13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326.31232746914907</v>
      </c>
      <c r="CZ158" s="59">
        <f t="shared" si="150"/>
        <v>330.17137761430297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0.38424988758635559</v>
      </c>
      <c r="DG158" s="21">
        <f>EXP(-LN(2)/25)*DG157+(1-EXP(-LN(2)/25))/(LN(2)/25)*Calculateur!DB158*Calculateur!DD158*VLOOKUP('Données projet'!$B$13,Paramètres!$A$1:$I$89,3,0)*0.475*44/12</f>
        <v>0.94290463339174113</v>
      </c>
      <c r="DH158" s="21">
        <f>EXP(-LN(2)/2)*DH157+(1-EXP(-LN(2)/2))/(LN(2)/2)*DB158*DE158*VLOOKUP('Données projet'!$B$13,Paramètres!$A$1:$I$89,3,0)*0.475*44/12</f>
        <v>4.9865903995183277E-18</v>
      </c>
      <c r="DI158" s="22">
        <f t="shared" si="175"/>
        <v>1.3271545209780968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6.2527760746888816E-13</v>
      </c>
      <c r="DP158" s="17">
        <f>DO158*VLOOKUP('Données projet'!$B$14,Paramètres!$A$1:$I$89,3,0)*VLOOKUP('Données projet'!$B$14,Paramètres!$A$1:$I$89,5,0)</f>
        <v>3.9017322706058616E-13</v>
      </c>
      <c r="DQ158" s="13">
        <f t="shared" si="176"/>
        <v>5.0025007393608908E-12</v>
      </c>
      <c r="DR158" s="20">
        <f t="shared" si="177"/>
        <v>9.3922404915174053E-12</v>
      </c>
      <c r="DS158" s="59">
        <f t="shared" si="125"/>
        <v>293.33333333334269</v>
      </c>
      <c r="DT158" s="59">
        <f ca="1">AVERAGE(OFFSET($DS$3,0,0,'Données projet'!$E$14+1,1))-AVERAGE(OFFSET($H$3,0,0,'Données projet'!$E$14+1,1))</f>
        <v>209.93608079129638</v>
      </c>
      <c r="DU158" s="59">
        <f t="shared" si="152"/>
        <v>240.15652428700969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0.58490469146337387</v>
      </c>
      <c r="EB158" s="21">
        <f>EXP(-LN(2)/25)*EB157+(1-EXP(-LN(2)/25))/(LN(2)/25)*Calculateur!DW158*Calculateur!DY158*VLOOKUP('Données projet'!$B$14,Paramètres!$A$1:$I$89,3,0)*0.475*44/12</f>
        <v>0.64962213930752832</v>
      </c>
      <c r="EC158" s="21">
        <f>EXP(-LN(2)/2)*EC157+(1-EXP(-LN(2)/2))/(LN(2)/2)*DW158*DZ158*VLOOKUP('Données projet'!$B$14,Paramètres!$A$1:$I$89,3,0)*0.475*44/12</f>
        <v>3.0958444489314973E-18</v>
      </c>
      <c r="ED158" s="22">
        <f t="shared" si="178"/>
        <v>1.2345268307709021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-4.5474735088646412E-13</v>
      </c>
      <c r="EK158" s="17">
        <f>EJ158*VLOOKUP('Données projet'!$B$15,Paramètres!$A$1:$I$89,3,0)*VLOOKUP('Données projet'!$B$15,Paramètres!$A$1:$I$89,5,0)</f>
        <v>-2.7193891583010558E-13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216.94426559495264</v>
      </c>
      <c r="EP158" s="59">
        <f t="shared" si="154"/>
        <v>225.33715877618704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</v>
      </c>
      <c r="EW158" s="21">
        <f>EXP(-LN(2)/25)*EW157+(1-EXP(-LN(2)/25))/(LN(2)/25)*Calculateur!ER158*Calculateur!ET158*VLOOKUP('Données projet'!$B$15,Paramètres!$A$1:$I$89,3,0)*0.475*44/12</f>
        <v>0.4015394859953203</v>
      </c>
      <c r="EX158" s="21">
        <f>EXP(-LN(2)/2)*EX157+(1-EXP(-LN(2)/2))/(LN(2)/2)*ER158*EU158*VLOOKUP('Données projet'!$B$15,Paramètres!$A$1:$I$89,3,0)*0.475*44/12</f>
        <v>3.6384071276637248E-18</v>
      </c>
      <c r="EY158" s="22">
        <f t="shared" si="181"/>
        <v>0.4015394859953203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>
        <f>FE158*VLOOKUP('Données projet'!$B$16,Paramètres!$A$1:$I$89,3,0)*VLOOKUP('Données projet'!$B$16,Paramètres!$A$1:$I$89,5,0)</f>
        <v>0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168.08890945052406</v>
      </c>
      <c r="FK158" s="59">
        <f t="shared" si="156"/>
        <v>182.52462557642343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0.5225679745781644</v>
      </c>
      <c r="FR158" s="21">
        <f>EXP(-LN(2)/25)*FR157+(1-EXP(-LN(2)/25))/(LN(2)/25)*Calculateur!FM158*Calculateur!FO158*VLOOKUP('Données projet'!$B$16,Paramètres!$A$1:$I$89,3,0)*0.475*44/12</f>
        <v>0.38534007037361928</v>
      </c>
      <c r="FS158" s="21">
        <f>EXP(-LN(2)/2)*FS157+(1-EXP(-LN(2)/2))/(LN(2)/2)*FM158*FP158*VLOOKUP('Données projet'!$B$16,Paramètres!$A$1:$I$89,3,0)*0.475*44/12</f>
        <v>8.3498442664507805E-19</v>
      </c>
      <c r="FT158" s="22">
        <f t="shared" si="184"/>
        <v>0.90790804495178368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-5.6843418860808015E-14</v>
      </c>
      <c r="GA158" s="17">
        <f>FZ158*VLOOKUP('Données projet'!$B$17,Paramètres!$A$1:$I$89,3,0)*VLOOKUP('Données projet'!$B$17,Paramètres!$A$1:$I$89,5,0)</f>
        <v>-3.2514435588382188E-14</v>
      </c>
      <c r="GB158" s="13" t="e">
        <f t="shared" si="185"/>
        <v>#NUM!</v>
      </c>
      <c r="GC158" s="20" t="e">
        <f t="shared" si="186"/>
        <v>#NUM!</v>
      </c>
      <c r="GD158" s="59" t="e">
        <f t="shared" si="134"/>
        <v>#NUM!</v>
      </c>
      <c r="GE158" s="59">
        <f ca="1">AVERAGE(OFFSET($GD$3,0,0,'Données projet'!$E$17+1,1))-AVERAGE(OFFSET($H$3,0,0,'Données projet'!$E$17+1,1))</f>
        <v>196.95560009657527</v>
      </c>
      <c r="GF158" s="59">
        <f t="shared" si="158"/>
        <v>168.90186968005662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0</v>
      </c>
      <c r="GM158" s="21">
        <f>EXP(-LN(2)/25)*GM157+(1-EXP(-LN(2)/25))/(LN(2)/25)*Calculateur!GH158*Calculateur!GJ158*VLOOKUP('Données projet'!$B$17,Paramètres!$A$1:$I$89,3,0)*0.475*44/12</f>
        <v>0.28846684317925764</v>
      </c>
      <c r="GN158" s="21">
        <f>EXP(-LN(2)/2)*GN157+(1-EXP(-LN(2)/2))/(LN(2)/2)*GH158*GK158*VLOOKUP('Données projet'!$B$17,Paramètres!$A$1:$I$89,3,0)*0.475*44/12</f>
        <v>1.9717506828790276E-18</v>
      </c>
      <c r="GO158" s="21">
        <f t="shared" si="187"/>
        <v>0.28846684317925764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-5.3205440053716299E-14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215.23235148064941</v>
      </c>
      <c r="T159" s="59">
        <f t="shared" si="142"/>
        <v>184.07239726900434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0.2585065762853449</v>
      </c>
      <c r="AA159" s="21">
        <f>EXP(-LN(2)/25)*AA158+(1-EXP(-LN(2)/25))/(LN(2)/25)*Calculateur!V159*Calculateur!X159*VLOOKUP('Données projet'!$B$9,Paramètres!$A$1:$I$89,3,0)*0.475*44/12</f>
        <v>0.23877050837913646</v>
      </c>
      <c r="AB159" s="21">
        <f>EXP(-LN(2)/2)*AB158+(1-EXP(-LN(2)/2))/(LN(2)/2)*V159*Y159*VLOOKUP('Données projet'!$B$9,Paramètres!$A$1:$I$89,3,0)*0.475*44/12</f>
        <v>1.0660067100197795E-18</v>
      </c>
      <c r="AC159" s="22">
        <f t="shared" si="163"/>
        <v>0.49727708466448139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5.6843418860808015E-14</v>
      </c>
      <c r="AJ159" s="13">
        <f>AI159*VLOOKUP('Données projet'!$B$10,Paramètres!$A$1:$I$89,3,0)*VLOOKUP('Données projet'!$B$10,Paramètres!$A$1:$I$89,5,0)</f>
        <v>4.1677594708744434E-14</v>
      </c>
      <c r="AK159" s="13">
        <f t="shared" si="164"/>
        <v>6.9326303456159188E-13</v>
      </c>
      <c r="AL159" s="20">
        <f t="shared" si="165"/>
        <v>1.2800215959791691E-12</v>
      </c>
      <c r="AM159" s="59">
        <f t="shared" si="113"/>
        <v>293.33333333333462</v>
      </c>
      <c r="AN159" s="59">
        <f ca="1">AVERAGE(OFFSET($AM$3,0,0,'Données projet'!$E$10+1,1))-AVERAGE(OFFSET($H$3,0,0,'Données projet'!$E$10+1,1))</f>
        <v>178.12968684094687</v>
      </c>
      <c r="AO159" s="59">
        <f t="shared" si="144"/>
        <v>219.36004077210373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0.23369419881698689</v>
      </c>
      <c r="AW159" s="21">
        <f>EXP(-LN(2)/2)*AW158+(1-EXP(-LN(2)/2))/(LN(2)/2)*AQ159*AT159*VLOOKUP('Données projet'!$B$10,Paramètres!$A$1:$I$89,3,0)*0.475*44/12</f>
        <v>1.0752590872454342E-18</v>
      </c>
      <c r="AX159" s="21">
        <f t="shared" si="166"/>
        <v>0.23369419881698689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-5.6843418860808015E-14</v>
      </c>
      <c r="BE159" s="13">
        <f>BD159*VLOOKUP('Données projet'!$B$11,Paramètres!$A$1:$I$89,3,0)*VLOOKUP('Données projet'!$B$11,Paramètres!$A$1:$I$89,5,0)</f>
        <v>-4.9658410716801891E-14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114.02623091248347</v>
      </c>
      <c r="BJ159" s="59">
        <f t="shared" si="146"/>
        <v>185.51554083721635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0.16096003761839614</v>
      </c>
      <c r="BQ159" s="21">
        <f>EXP(-LN(2)/25)*BQ158+(1-EXP(-LN(2)/25))/(LN(2)/25)*Calculateur!BL159*Calculateur!BN159*VLOOKUP('Données projet'!$B$11,Paramètres!$A$1:$I$89,3,0)*0.475*44/12</f>
        <v>0.34213534518400512</v>
      </c>
      <c r="BR159" s="21">
        <f>EXP(-LN(2)/2)*BR158+(1-EXP(-LN(2)/2))/(LN(2)/2)*BL159*BO159*VLOOKUP('Données projet'!$B$11,Paramètres!$A$1:$I$89,3,0)*0.475*44/12</f>
        <v>1.9124538551780482E-18</v>
      </c>
      <c r="BS159" s="22">
        <f t="shared" si="169"/>
        <v>0.50309538280240129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-1.1368683772161603E-13</v>
      </c>
      <c r="BZ159" s="13">
        <f>BY159*VLOOKUP('Données projet'!$B$12,Paramètres!$A$1:$I$89,3,0)*VLOOKUP('Données projet'!$B$12,Paramètres!$A$1:$I$89,5,0)</f>
        <v>-1.0286385077051818E-13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237.22177246688199</v>
      </c>
      <c r="CE159" s="59">
        <f t="shared" si="148"/>
        <v>149.27472147904302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9.4406441557155912E-2</v>
      </c>
      <c r="CM159" s="21">
        <f>EXP(-LN(2)/2)*CM158+(1-EXP(-LN(2)/2))/(LN(2)/2)*CG159*CJ159*VLOOKUP('Données projet'!$B$12,Paramètres!$A$1:$I$89,3,0)*0.475*44/12</f>
        <v>6.7105043900397965E-19</v>
      </c>
      <c r="CN159" s="22">
        <f t="shared" si="172"/>
        <v>9.4406441557155912E-2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-5.6843418860808015E-13</v>
      </c>
      <c r="CU159" s="17">
        <f>CT159*VLOOKUP('Données projet'!$B$13,Paramètres!$A$1:$I$89,3,0)*VLOOKUP('Données projet'!$B$13,Paramètres!$A$1:$I$89,5,0)</f>
        <v>-3.177547114319168E-13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326.31232746914907</v>
      </c>
      <c r="CZ159" s="59">
        <f t="shared" si="150"/>
        <v>330.17137761430297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0.37671498166007655</v>
      </c>
      <c r="DG159" s="21">
        <f>EXP(-LN(2)/25)*DG158+(1-EXP(-LN(2)/25))/(LN(2)/25)*Calculateur!DB159*Calculateur!DD159*VLOOKUP('Données projet'!$B$13,Paramètres!$A$1:$I$89,3,0)*0.475*44/12</f>
        <v>0.91712085660644438</v>
      </c>
      <c r="DH159" s="21">
        <f>EXP(-LN(2)/2)*DH158+(1-EXP(-LN(2)/2))/(LN(2)/2)*DB159*DE159*VLOOKUP('Données projet'!$B$13,Paramètres!$A$1:$I$89,3,0)*0.475*44/12</f>
        <v>3.5260518864991448E-18</v>
      </c>
      <c r="DI159" s="22">
        <f t="shared" si="175"/>
        <v>1.2938358382665209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6.2527760746888816E-13</v>
      </c>
      <c r="DP159" s="17">
        <f>DO159*VLOOKUP('Données projet'!$B$14,Paramètres!$A$1:$I$89,3,0)*VLOOKUP('Données projet'!$B$14,Paramètres!$A$1:$I$89,5,0)</f>
        <v>3.9017322706058616E-13</v>
      </c>
      <c r="DQ159" s="13">
        <f t="shared" si="176"/>
        <v>5.0025007393608908E-12</v>
      </c>
      <c r="DR159" s="20">
        <f t="shared" si="177"/>
        <v>9.3922404915174053E-12</v>
      </c>
      <c r="DS159" s="59">
        <f t="shared" si="125"/>
        <v>293.33333333334269</v>
      </c>
      <c r="DT159" s="59">
        <f ca="1">AVERAGE(OFFSET($DS$3,0,0,'Données projet'!$E$14+1,1))-AVERAGE(OFFSET($H$3,0,0,'Données projet'!$E$14+1,1))</f>
        <v>209.93608079129638</v>
      </c>
      <c r="DU159" s="59">
        <f t="shared" si="152"/>
        <v>240.15652428700969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0.57343506722041215</v>
      </c>
      <c r="EB159" s="21">
        <f>EXP(-LN(2)/25)*EB158+(1-EXP(-LN(2)/25))/(LN(2)/25)*Calculateur!DW159*Calculateur!DY159*VLOOKUP('Données projet'!$B$14,Paramètres!$A$1:$I$89,3,0)*0.475*44/12</f>
        <v>0.63185818774602043</v>
      </c>
      <c r="EC159" s="21">
        <f>EXP(-LN(2)/2)*EC158+(1-EXP(-LN(2)/2))/(LN(2)/2)*DW159*DZ159*VLOOKUP('Données projet'!$B$14,Paramètres!$A$1:$I$89,3,0)*0.475*44/12</f>
        <v>2.189092603338192E-18</v>
      </c>
      <c r="ED159" s="22">
        <f t="shared" si="178"/>
        <v>1.2052932549664326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-4.5474735088646412E-13</v>
      </c>
      <c r="EK159" s="17">
        <f>EJ159*VLOOKUP('Données projet'!$B$15,Paramètres!$A$1:$I$89,3,0)*VLOOKUP('Données projet'!$B$15,Paramètres!$A$1:$I$89,5,0)</f>
        <v>-2.7193891583010558E-13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216.94426559495264</v>
      </c>
      <c r="EP159" s="59">
        <f t="shared" si="154"/>
        <v>225.33715877618704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</v>
      </c>
      <c r="EW159" s="21">
        <f>EXP(-LN(2)/25)*EW158+(1-EXP(-LN(2)/25))/(LN(2)/25)*Calculateur!ER159*Calculateur!ET159*VLOOKUP('Données projet'!$B$15,Paramètres!$A$1:$I$89,3,0)*0.475*44/12</f>
        <v>0.39055936763473442</v>
      </c>
      <c r="EX159" s="21">
        <f>EXP(-LN(2)/2)*EX158+(1-EXP(-LN(2)/2))/(LN(2)/2)*ER159*EU159*VLOOKUP('Données projet'!$B$15,Paramètres!$A$1:$I$89,3,0)*0.475*44/12</f>
        <v>2.5727423526884884E-18</v>
      </c>
      <c r="EY159" s="22">
        <f t="shared" si="181"/>
        <v>0.39055936763473442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>
        <f>FE159*VLOOKUP('Données projet'!$B$16,Paramètres!$A$1:$I$89,3,0)*VLOOKUP('Données projet'!$B$16,Paramètres!$A$1:$I$89,5,0)</f>
        <v>0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168.08890945052406</v>
      </c>
      <c r="FK159" s="59">
        <f t="shared" si="156"/>
        <v>182.52462557642343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0.51232073533167866</v>
      </c>
      <c r="FR159" s="21">
        <f>EXP(-LN(2)/25)*FR158+(1-EXP(-LN(2)/25))/(LN(2)/25)*Calculateur!FM159*Calculateur!FO159*VLOOKUP('Données projet'!$B$16,Paramètres!$A$1:$I$89,3,0)*0.475*44/12</f>
        <v>0.37480292588509906</v>
      </c>
      <c r="FS159" s="21">
        <f>EXP(-LN(2)/2)*FS158+(1-EXP(-LN(2)/2))/(LN(2)/2)*FM159*FP159*VLOOKUP('Données projet'!$B$16,Paramètres!$A$1:$I$89,3,0)*0.475*44/12</f>
        <v>5.9042315026589604E-19</v>
      </c>
      <c r="FT159" s="22">
        <f t="shared" si="184"/>
        <v>0.88712366121677766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-5.6843418860808015E-14</v>
      </c>
      <c r="GA159" s="17">
        <f>FZ159*VLOOKUP('Données projet'!$B$17,Paramètres!$A$1:$I$89,3,0)*VLOOKUP('Données projet'!$B$17,Paramètres!$A$1:$I$89,5,0)</f>
        <v>-3.2514435588382188E-14</v>
      </c>
      <c r="GB159" s="13" t="e">
        <f t="shared" si="185"/>
        <v>#NUM!</v>
      </c>
      <c r="GC159" s="20" t="e">
        <f t="shared" si="186"/>
        <v>#NUM!</v>
      </c>
      <c r="GD159" s="59" t="e">
        <f t="shared" si="134"/>
        <v>#NUM!</v>
      </c>
      <c r="GE159" s="59">
        <f ca="1">AVERAGE(OFFSET($GD$3,0,0,'Données projet'!$E$17+1,1))-AVERAGE(OFFSET($H$3,0,0,'Données projet'!$E$17+1,1))</f>
        <v>196.95560009657527</v>
      </c>
      <c r="GF159" s="59">
        <f t="shared" si="158"/>
        <v>168.90186968005662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0</v>
      </c>
      <c r="GM159" s="21">
        <f>EXP(-LN(2)/25)*GM158+(1-EXP(-LN(2)/25))/(LN(2)/25)*Calculateur!GH159*Calculateur!GJ159*VLOOKUP('Données projet'!$B$17,Paramètres!$A$1:$I$89,3,0)*0.475*44/12</f>
        <v>0.28057870218270886</v>
      </c>
      <c r="GN159" s="21">
        <f>EXP(-LN(2)/2)*GN158+(1-EXP(-LN(2)/2))/(LN(2)/2)*GH159*GK159*VLOOKUP('Données projet'!$B$17,Paramètres!$A$1:$I$89,3,0)*0.475*44/12</f>
        <v>1.3942382786729662E-18</v>
      </c>
      <c r="GO159" s="21">
        <f t="shared" si="187"/>
        <v>0.28057870218270886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-5.3205440053716299E-14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215.23235148064941</v>
      </c>
      <c r="T160" s="59">
        <f t="shared" si="142"/>
        <v>184.07239726900434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0.25343741999783187</v>
      </c>
      <c r="AA160" s="21">
        <f>EXP(-LN(2)/25)*AA159+(1-EXP(-LN(2)/25))/(LN(2)/25)*Calculateur!V160*Calculateur!X160*VLOOKUP('Données projet'!$B$9,Paramètres!$A$1:$I$89,3,0)*0.475*44/12</f>
        <v>0.23224131627111366</v>
      </c>
      <c r="AB160" s="21">
        <f>EXP(-LN(2)/2)*AB159+(1-EXP(-LN(2)/2))/(LN(2)/2)*V160*Y160*VLOOKUP('Données projet'!$B$9,Paramètres!$A$1:$I$89,3,0)*0.475*44/12</f>
        <v>7.5378057344534765E-19</v>
      </c>
      <c r="AC160" s="22">
        <f t="shared" si="163"/>
        <v>0.48567873626894553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5.6843418860808015E-14</v>
      </c>
      <c r="AJ160" s="13">
        <f>AI160*VLOOKUP('Données projet'!$B$10,Paramètres!$A$1:$I$89,3,0)*VLOOKUP('Données projet'!$B$10,Paramètres!$A$1:$I$89,5,0)</f>
        <v>4.1677594708744434E-14</v>
      </c>
      <c r="AK160" s="13">
        <f t="shared" si="164"/>
        <v>6.9326303456159188E-13</v>
      </c>
      <c r="AL160" s="20">
        <f t="shared" si="165"/>
        <v>1.2800215959791691E-12</v>
      </c>
      <c r="AM160" s="59">
        <f t="shared" si="113"/>
        <v>293.33333333333462</v>
      </c>
      <c r="AN160" s="59">
        <f ca="1">AVERAGE(OFFSET($AM$3,0,0,'Données projet'!$E$10+1,1))-AVERAGE(OFFSET($H$3,0,0,'Données projet'!$E$10+1,1))</f>
        <v>178.12968684094687</v>
      </c>
      <c r="AO160" s="59">
        <f t="shared" si="144"/>
        <v>219.36004077210373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0.22730381866089258</v>
      </c>
      <c r="AW160" s="21">
        <f>EXP(-LN(2)/2)*AW159+(1-EXP(-LN(2)/2))/(LN(2)/2)*AQ160*AT160*VLOOKUP('Données projet'!$B$10,Paramètres!$A$1:$I$89,3,0)*0.475*44/12</f>
        <v>7.6032299212370404E-19</v>
      </c>
      <c r="AX160" s="21">
        <f t="shared" si="166"/>
        <v>0.22730381866089258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-5.6843418860808015E-14</v>
      </c>
      <c r="BE160" s="13">
        <f>BD160*VLOOKUP('Données projet'!$B$11,Paramètres!$A$1:$I$89,3,0)*VLOOKUP('Données projet'!$B$11,Paramètres!$A$1:$I$89,5,0)</f>
        <v>-4.9658410716801891E-14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114.02623091248347</v>
      </c>
      <c r="BJ160" s="59">
        <f t="shared" si="146"/>
        <v>185.51554083721635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0.15780370945662828</v>
      </c>
      <c r="BQ160" s="21">
        <f>EXP(-LN(2)/25)*BQ159+(1-EXP(-LN(2)/25))/(LN(2)/25)*Calculateur!BL160*Calculateur!BN160*VLOOKUP('Données projet'!$B$11,Paramètres!$A$1:$I$89,3,0)*0.475*44/12</f>
        <v>0.33277963617783268</v>
      </c>
      <c r="BR160" s="21">
        <f>EXP(-LN(2)/2)*BR159+(1-EXP(-LN(2)/2))/(LN(2)/2)*BL160*BO160*VLOOKUP('Données projet'!$B$11,Paramètres!$A$1:$I$89,3,0)*0.475*44/12</f>
        <v>1.3523090897027534E-18</v>
      </c>
      <c r="BS160" s="22">
        <f t="shared" si="169"/>
        <v>0.49058334563446093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-1.1368683772161603E-13</v>
      </c>
      <c r="BZ160" s="13">
        <f>BY160*VLOOKUP('Données projet'!$B$12,Paramètres!$A$1:$I$89,3,0)*VLOOKUP('Données projet'!$B$12,Paramètres!$A$1:$I$89,5,0)</f>
        <v>-1.0286385077051818E-13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237.22177246688199</v>
      </c>
      <c r="CE160" s="59">
        <f t="shared" si="148"/>
        <v>149.27472147904302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9.1824892448156489E-2</v>
      </c>
      <c r="CM160" s="21">
        <f>EXP(-LN(2)/2)*CM159+(1-EXP(-LN(2)/2))/(LN(2)/2)*CG160*CJ160*VLOOKUP('Données projet'!$B$12,Paramètres!$A$1:$I$89,3,0)*0.475*44/12</f>
        <v>4.7450431593792369E-19</v>
      </c>
      <c r="CN160" s="22">
        <f t="shared" si="172"/>
        <v>9.1824892448156489E-2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-5.6843418860808015E-13</v>
      </c>
      <c r="CU160" s="17">
        <f>CT160*VLOOKUP('Données projet'!$B$13,Paramètres!$A$1:$I$89,3,0)*VLOOKUP('Données projet'!$B$13,Paramètres!$A$1:$I$89,5,0)</f>
        <v>-3.177547114319168E-13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326.31232746914907</v>
      </c>
      <c r="CZ160" s="59">
        <f t="shared" si="150"/>
        <v>330.17137761430297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0.36932783064317304</v>
      </c>
      <c r="DG160" s="21">
        <f>EXP(-LN(2)/25)*DG159+(1-EXP(-LN(2)/25))/(LN(2)/25)*Calculateur!DB160*Calculateur!DD160*VLOOKUP('Données projet'!$B$13,Paramètres!$A$1:$I$89,3,0)*0.475*44/12</f>
        <v>0.89204213855325143</v>
      </c>
      <c r="DH160" s="21">
        <f>EXP(-LN(2)/2)*DH159+(1-EXP(-LN(2)/2))/(LN(2)/2)*DB160*DE160*VLOOKUP('Données projet'!$B$13,Paramètres!$A$1:$I$89,3,0)*0.475*44/12</f>
        <v>2.4932951997591639E-18</v>
      </c>
      <c r="DI160" s="22">
        <f t="shared" si="175"/>
        <v>1.2613699691964244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6.2527760746888816E-13</v>
      </c>
      <c r="DP160" s="17">
        <f>DO160*VLOOKUP('Données projet'!$B$14,Paramètres!$A$1:$I$89,3,0)*VLOOKUP('Données projet'!$B$14,Paramètres!$A$1:$I$89,5,0)</f>
        <v>3.9017322706058616E-13</v>
      </c>
      <c r="DQ160" s="13">
        <f t="shared" si="176"/>
        <v>5.0025007393608908E-12</v>
      </c>
      <c r="DR160" s="20">
        <f t="shared" si="177"/>
        <v>9.3922404915174053E-12</v>
      </c>
      <c r="DS160" s="59">
        <f t="shared" si="125"/>
        <v>293.33333333334269</v>
      </c>
      <c r="DT160" s="59">
        <f ca="1">AVERAGE(OFFSET($DS$3,0,0,'Données projet'!$E$14+1,1))-AVERAGE(OFFSET($H$3,0,0,'Données projet'!$E$14+1,1))</f>
        <v>209.93608079129638</v>
      </c>
      <c r="DU160" s="59">
        <f t="shared" si="152"/>
        <v>240.15652428700969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0.56219035531307482</v>
      </c>
      <c r="EB160" s="21">
        <f>EXP(-LN(2)/25)*EB159+(1-EXP(-LN(2)/25))/(LN(2)/25)*Calculateur!DW160*Calculateur!DY160*VLOOKUP('Données projet'!$B$14,Paramètres!$A$1:$I$89,3,0)*0.475*44/12</f>
        <v>0.61457999237412753</v>
      </c>
      <c r="EC160" s="21">
        <f>EXP(-LN(2)/2)*EC159+(1-EXP(-LN(2)/2))/(LN(2)/2)*DW160*DZ160*VLOOKUP('Données projet'!$B$14,Paramètres!$A$1:$I$89,3,0)*0.475*44/12</f>
        <v>1.5479222244657486E-18</v>
      </c>
      <c r="ED160" s="22">
        <f t="shared" si="178"/>
        <v>1.1767703476872025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-4.5474735088646412E-13</v>
      </c>
      <c r="EK160" s="17">
        <f>EJ160*VLOOKUP('Données projet'!$B$15,Paramètres!$A$1:$I$89,3,0)*VLOOKUP('Données projet'!$B$15,Paramètres!$A$1:$I$89,5,0)</f>
        <v>-2.7193891583010558E-13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216.94426559495264</v>
      </c>
      <c r="EP160" s="59">
        <f t="shared" si="154"/>
        <v>225.33715877618704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</v>
      </c>
      <c r="EW160" s="21">
        <f>EXP(-LN(2)/25)*EW159+(1-EXP(-LN(2)/25))/(LN(2)/25)*Calculateur!ER160*Calculateur!ET160*VLOOKUP('Données projet'!$B$15,Paramètres!$A$1:$I$89,3,0)*0.475*44/12</f>
        <v>0.37987950118813812</v>
      </c>
      <c r="EX160" s="21">
        <f>EXP(-LN(2)/2)*EX159+(1-EXP(-LN(2)/2))/(LN(2)/2)*ER160*EU160*VLOOKUP('Données projet'!$B$15,Paramètres!$A$1:$I$89,3,0)*0.475*44/12</f>
        <v>1.8192035638318624E-18</v>
      </c>
      <c r="EY160" s="22">
        <f t="shared" si="181"/>
        <v>0.37987950118813812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>
        <f>FE160*VLOOKUP('Données projet'!$B$16,Paramètres!$A$1:$I$89,3,0)*VLOOKUP('Données projet'!$B$16,Paramètres!$A$1:$I$89,5,0)</f>
        <v>0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168.08890945052406</v>
      </c>
      <c r="FK160" s="59">
        <f t="shared" si="156"/>
        <v>182.52462557642343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0.50227443819661766</v>
      </c>
      <c r="FR160" s="21">
        <f>EXP(-LN(2)/25)*FR159+(1-EXP(-LN(2)/25))/(LN(2)/25)*Calculateur!FM160*Calculateur!FO160*VLOOKUP('Données projet'!$B$16,Paramètres!$A$1:$I$89,3,0)*0.475*44/12</f>
        <v>0.36455392016674176</v>
      </c>
      <c r="FS160" s="21">
        <f>EXP(-LN(2)/2)*FS159+(1-EXP(-LN(2)/2))/(LN(2)/2)*FM160*FP160*VLOOKUP('Données projet'!$B$16,Paramètres!$A$1:$I$89,3,0)*0.475*44/12</f>
        <v>4.1749221332253903E-19</v>
      </c>
      <c r="FT160" s="22">
        <f t="shared" si="184"/>
        <v>0.86682835836335936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-5.6843418860808015E-14</v>
      </c>
      <c r="GA160" s="17">
        <f>FZ160*VLOOKUP('Données projet'!$B$17,Paramètres!$A$1:$I$89,3,0)*VLOOKUP('Données projet'!$B$17,Paramètres!$A$1:$I$89,5,0)</f>
        <v>-3.2514435588382188E-14</v>
      </c>
      <c r="GB160" s="13" t="e">
        <f t="shared" si="185"/>
        <v>#NUM!</v>
      </c>
      <c r="GC160" s="20" t="e">
        <f t="shared" si="186"/>
        <v>#NUM!</v>
      </c>
      <c r="GD160" s="59" t="e">
        <f t="shared" si="134"/>
        <v>#NUM!</v>
      </c>
      <c r="GE160" s="59">
        <f ca="1">AVERAGE(OFFSET($GD$3,0,0,'Données projet'!$E$17+1,1))-AVERAGE(OFFSET($H$3,0,0,'Données projet'!$E$17+1,1))</f>
        <v>196.95560009657527</v>
      </c>
      <c r="GF160" s="59">
        <f t="shared" si="158"/>
        <v>168.90186968005662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0</v>
      </c>
      <c r="GM160" s="21">
        <f>EXP(-LN(2)/25)*GM159+(1-EXP(-LN(2)/25))/(LN(2)/25)*Calculateur!GH160*Calculateur!GJ160*VLOOKUP('Données projet'!$B$17,Paramètres!$A$1:$I$89,3,0)*0.475*44/12</f>
        <v>0.27290626281653002</v>
      </c>
      <c r="GN160" s="21">
        <f>EXP(-LN(2)/2)*GN159+(1-EXP(-LN(2)/2))/(LN(2)/2)*GH160*GK160*VLOOKUP('Données projet'!$B$17,Paramètres!$A$1:$I$89,3,0)*0.475*44/12</f>
        <v>9.8587534143951379E-19</v>
      </c>
      <c r="GO160" s="21">
        <f t="shared" si="187"/>
        <v>0.27290626281653002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-5.3205440053716299E-14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215.23235148064941</v>
      </c>
      <c r="T161" s="59">
        <f t="shared" si="142"/>
        <v>184.07239726900434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0.24846766677323692</v>
      </c>
      <c r="AA161" s="21">
        <f>EXP(-LN(2)/25)*AA160+(1-EXP(-LN(2)/25))/(LN(2)/25)*Calculateur!V161*Calculateur!X161*VLOOKUP('Données projet'!$B$9,Paramètres!$A$1:$I$89,3,0)*0.475*44/12</f>
        <v>0.22589066526464002</v>
      </c>
      <c r="AB161" s="21">
        <f>EXP(-LN(2)/2)*AB160+(1-EXP(-LN(2)/2))/(LN(2)/2)*V161*Y161*VLOOKUP('Données projet'!$B$9,Paramètres!$A$1:$I$89,3,0)*0.475*44/12</f>
        <v>5.3300335500988974E-19</v>
      </c>
      <c r="AC161" s="22">
        <f t="shared" si="163"/>
        <v>0.47435833203787692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5.6843418860808015E-14</v>
      </c>
      <c r="AJ161" s="13">
        <f>AI161*VLOOKUP('Données projet'!$B$10,Paramètres!$A$1:$I$89,3,0)*VLOOKUP('Données projet'!$B$10,Paramètres!$A$1:$I$89,5,0)</f>
        <v>4.1677594708744434E-14</v>
      </c>
      <c r="AK161" s="13">
        <f t="shared" si="164"/>
        <v>6.9326303456159188E-13</v>
      </c>
      <c r="AL161" s="20">
        <f t="shared" si="165"/>
        <v>1.2800215959791691E-12</v>
      </c>
      <c r="AM161" s="59">
        <f t="shared" si="113"/>
        <v>293.33333333333462</v>
      </c>
      <c r="AN161" s="59">
        <f ca="1">AVERAGE(OFFSET($AM$3,0,0,'Données projet'!$E$10+1,1))-AVERAGE(OFFSET($H$3,0,0,'Données projet'!$E$10+1,1))</f>
        <v>178.12968684094687</v>
      </c>
      <c r="AO161" s="59">
        <f t="shared" si="144"/>
        <v>219.36004077210373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0.22108818378622216</v>
      </c>
      <c r="AW161" s="21">
        <f>EXP(-LN(2)/2)*AW160+(1-EXP(-LN(2)/2))/(LN(2)/2)*AQ161*AT161*VLOOKUP('Données projet'!$B$10,Paramètres!$A$1:$I$89,3,0)*0.475*44/12</f>
        <v>5.3762954362271709E-19</v>
      </c>
      <c r="AX161" s="21">
        <f t="shared" si="166"/>
        <v>0.22108818378622216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-5.6843418860808015E-14</v>
      </c>
      <c r="BE161" s="13">
        <f>BD161*VLOOKUP('Données projet'!$B$11,Paramètres!$A$1:$I$89,3,0)*VLOOKUP('Données projet'!$B$11,Paramètres!$A$1:$I$89,5,0)</f>
        <v>-4.9658410716801891E-14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114.02623091248347</v>
      </c>
      <c r="BJ161" s="59">
        <f t="shared" si="146"/>
        <v>185.51554083721635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0.15470927496494261</v>
      </c>
      <c r="BQ161" s="21">
        <f>EXP(-LN(2)/25)*BQ160+(1-EXP(-LN(2)/25))/(LN(2)/25)*Calculateur!BL161*Calculateur!BN161*VLOOKUP('Données projet'!$B$11,Paramètres!$A$1:$I$89,3,0)*0.475*44/12</f>
        <v>0.32367975952642936</v>
      </c>
      <c r="BR161" s="21">
        <f>EXP(-LN(2)/2)*BR160+(1-EXP(-LN(2)/2))/(LN(2)/2)*BL161*BO161*VLOOKUP('Données projet'!$B$11,Paramètres!$A$1:$I$89,3,0)*0.475*44/12</f>
        <v>9.5622692758902411E-19</v>
      </c>
      <c r="BS161" s="22">
        <f t="shared" si="169"/>
        <v>0.47838903449137193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-1.1368683772161603E-13</v>
      </c>
      <c r="BZ161" s="13">
        <f>BY161*VLOOKUP('Données projet'!$B$12,Paramètres!$A$1:$I$89,3,0)*VLOOKUP('Données projet'!$B$12,Paramètres!$A$1:$I$89,5,0)</f>
        <v>-1.0286385077051818E-13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237.22177246688199</v>
      </c>
      <c r="CE161" s="59">
        <f t="shared" si="148"/>
        <v>149.27472147904302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8.9313935935300431E-2</v>
      </c>
      <c r="CM161" s="21">
        <f>EXP(-LN(2)/2)*CM160+(1-EXP(-LN(2)/2))/(LN(2)/2)*CG161*CJ161*VLOOKUP('Données projet'!$B$12,Paramètres!$A$1:$I$89,3,0)*0.475*44/12</f>
        <v>3.3552521950198982E-19</v>
      </c>
      <c r="CN161" s="22">
        <f t="shared" si="172"/>
        <v>8.9313935935300431E-2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-5.6843418860808015E-13</v>
      </c>
      <c r="CU161" s="17">
        <f>CT161*VLOOKUP('Données projet'!$B$13,Paramètres!$A$1:$I$89,3,0)*VLOOKUP('Données projet'!$B$13,Paramètres!$A$1:$I$89,5,0)</f>
        <v>-3.177547114319168E-13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326.31232746914907</v>
      </c>
      <c r="CZ161" s="59">
        <f t="shared" si="150"/>
        <v>330.17137761430297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0.36208553715199376</v>
      </c>
      <c r="DG161" s="21">
        <f>EXP(-LN(2)/25)*DG160+(1-EXP(-LN(2)/25))/(LN(2)/25)*Calculateur!DB161*Calculateur!DD161*VLOOKUP('Données projet'!$B$13,Paramètres!$A$1:$I$89,3,0)*0.475*44/12</f>
        <v>0.86764919936405549</v>
      </c>
      <c r="DH161" s="21">
        <f>EXP(-LN(2)/2)*DH160+(1-EXP(-LN(2)/2))/(LN(2)/2)*DB161*DE161*VLOOKUP('Données projet'!$B$13,Paramètres!$A$1:$I$89,3,0)*0.475*44/12</f>
        <v>1.7630259432495724E-18</v>
      </c>
      <c r="DI161" s="22">
        <f t="shared" si="175"/>
        <v>1.2297347365160491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6.2527760746888816E-13</v>
      </c>
      <c r="DP161" s="17">
        <f>DO161*VLOOKUP('Données projet'!$B$14,Paramètres!$A$1:$I$89,3,0)*VLOOKUP('Données projet'!$B$14,Paramètres!$A$1:$I$89,5,0)</f>
        <v>3.9017322706058616E-13</v>
      </c>
      <c r="DQ161" s="13">
        <f t="shared" si="176"/>
        <v>5.0025007393608908E-12</v>
      </c>
      <c r="DR161" s="20">
        <f t="shared" si="177"/>
        <v>9.3922404915174053E-12</v>
      </c>
      <c r="DS161" s="59">
        <f t="shared" si="125"/>
        <v>293.33333333334269</v>
      </c>
      <c r="DT161" s="59">
        <f ca="1">AVERAGE(OFFSET($DS$3,0,0,'Données projet'!$E$14+1,1))-AVERAGE(OFFSET($H$3,0,0,'Données projet'!$E$14+1,1))</f>
        <v>209.93608079129638</v>
      </c>
      <c r="DU161" s="59">
        <f t="shared" si="152"/>
        <v>240.15652428700969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0.55116614534764341</v>
      </c>
      <c r="EB161" s="21">
        <f>EXP(-LN(2)/25)*EB160+(1-EXP(-LN(2)/25))/(LN(2)/25)*Calculateur!DW161*Calculateur!DY161*VLOOKUP('Données projet'!$B$14,Paramètres!$A$1:$I$89,3,0)*0.475*44/12</f>
        <v>0.59777427016329987</v>
      </c>
      <c r="EC161" s="21">
        <f>EXP(-LN(2)/2)*EC160+(1-EXP(-LN(2)/2))/(LN(2)/2)*DW161*DZ161*VLOOKUP('Données projet'!$B$14,Paramètres!$A$1:$I$89,3,0)*0.475*44/12</f>
        <v>1.094546301669096E-18</v>
      </c>
      <c r="ED161" s="22">
        <f t="shared" si="178"/>
        <v>1.1489404155109433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-4.5474735088646412E-13</v>
      </c>
      <c r="EK161" s="17">
        <f>EJ161*VLOOKUP('Données projet'!$B$15,Paramètres!$A$1:$I$89,3,0)*VLOOKUP('Données projet'!$B$15,Paramètres!$A$1:$I$89,5,0)</f>
        <v>-2.7193891583010558E-13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216.94426559495264</v>
      </c>
      <c r="EP161" s="59">
        <f t="shared" si="154"/>
        <v>225.33715877618704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</v>
      </c>
      <c r="EW161" s="21">
        <f>EXP(-LN(2)/25)*EW160+(1-EXP(-LN(2)/25))/(LN(2)/25)*Calculateur!ER161*Calculateur!ET161*VLOOKUP('Données projet'!$B$15,Paramètres!$A$1:$I$89,3,0)*0.475*44/12</f>
        <v>0.36949167625115376</v>
      </c>
      <c r="EX161" s="21">
        <f>EXP(-LN(2)/2)*EX160+(1-EXP(-LN(2)/2))/(LN(2)/2)*ER161*EU161*VLOOKUP('Données projet'!$B$15,Paramètres!$A$1:$I$89,3,0)*0.475*44/12</f>
        <v>1.2863711763442442E-18</v>
      </c>
      <c r="EY161" s="22">
        <f t="shared" si="181"/>
        <v>0.36949167625115376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>
        <f>FE161*VLOOKUP('Données projet'!$B$16,Paramètres!$A$1:$I$89,3,0)*VLOOKUP('Données projet'!$B$16,Paramètres!$A$1:$I$89,5,0)</f>
        <v>0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168.08890945052406</v>
      </c>
      <c r="FK161" s="59">
        <f t="shared" si="156"/>
        <v>182.52462557642343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0.49242514282073901</v>
      </c>
      <c r="FR161" s="21">
        <f>EXP(-LN(2)/25)*FR160+(1-EXP(-LN(2)/25))/(LN(2)/25)*Calculateur!FM161*Calculateur!FO161*VLOOKUP('Données projet'!$B$16,Paramètres!$A$1:$I$89,3,0)*0.475*44/12</f>
        <v>0.35458517404872475</v>
      </c>
      <c r="FS161" s="21">
        <f>EXP(-LN(2)/2)*FS160+(1-EXP(-LN(2)/2))/(LN(2)/2)*FM161*FP161*VLOOKUP('Données projet'!$B$16,Paramètres!$A$1:$I$89,3,0)*0.475*44/12</f>
        <v>2.9521157513294802E-19</v>
      </c>
      <c r="FT161" s="22">
        <f t="shared" si="184"/>
        <v>0.84701031686946382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-5.6843418860808015E-14</v>
      </c>
      <c r="GA161" s="17">
        <f>FZ161*VLOOKUP('Données projet'!$B$17,Paramètres!$A$1:$I$89,3,0)*VLOOKUP('Données projet'!$B$17,Paramètres!$A$1:$I$89,5,0)</f>
        <v>-3.2514435588382188E-14</v>
      </c>
      <c r="GB161" s="13" t="e">
        <f t="shared" si="185"/>
        <v>#NUM!</v>
      </c>
      <c r="GC161" s="20" t="e">
        <f t="shared" si="186"/>
        <v>#NUM!</v>
      </c>
      <c r="GD161" s="59" t="e">
        <f t="shared" si="134"/>
        <v>#NUM!</v>
      </c>
      <c r="GE161" s="59">
        <f ca="1">AVERAGE(OFFSET($GD$3,0,0,'Données projet'!$E$17+1,1))-AVERAGE(OFFSET($H$3,0,0,'Données projet'!$E$17+1,1))</f>
        <v>196.95560009657527</v>
      </c>
      <c r="GF161" s="59">
        <f t="shared" si="158"/>
        <v>168.90186968005662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0</v>
      </c>
      <c r="GM161" s="21">
        <f>EXP(-LN(2)/25)*GM160+(1-EXP(-LN(2)/25))/(LN(2)/25)*Calculateur!GH161*Calculateur!GJ161*VLOOKUP('Données projet'!$B$17,Paramètres!$A$1:$I$89,3,0)*0.475*44/12</f>
        <v>0.26544362670829535</v>
      </c>
      <c r="GN161" s="21">
        <f>EXP(-LN(2)/2)*GN160+(1-EXP(-LN(2)/2))/(LN(2)/2)*GH161*GK161*VLOOKUP('Données projet'!$B$17,Paramètres!$A$1:$I$89,3,0)*0.475*44/12</f>
        <v>6.971191393364831E-19</v>
      </c>
      <c r="GO161" s="21">
        <f t="shared" si="187"/>
        <v>0.26544362670829535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-5.3205440053716299E-14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215.23235148064941</v>
      </c>
      <c r="T162" s="59">
        <f t="shared" si="142"/>
        <v>184.07239726900434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0.24359536737812612</v>
      </c>
      <c r="AA162" s="21">
        <f>EXP(-LN(2)/25)*AA161+(1-EXP(-LN(2)/25))/(LN(2)/25)*Calculateur!V162*Calculateur!X162*VLOOKUP('Données projet'!$B$9,Paramètres!$A$1:$I$89,3,0)*0.475*44/12</f>
        <v>0.21971367314390464</v>
      </c>
      <c r="AB162" s="21">
        <f>EXP(-LN(2)/2)*AB161+(1-EXP(-LN(2)/2))/(LN(2)/2)*V162*Y162*VLOOKUP('Données projet'!$B$9,Paramètres!$A$1:$I$89,3,0)*0.475*44/12</f>
        <v>3.7689028672267382E-19</v>
      </c>
      <c r="AC162" s="22">
        <f t="shared" si="163"/>
        <v>0.46330904052203076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5.6843418860808015E-14</v>
      </c>
      <c r="AJ162" s="13">
        <f>AI162*VLOOKUP('Données projet'!$B$10,Paramètres!$A$1:$I$89,3,0)*VLOOKUP('Données projet'!$B$10,Paramètres!$A$1:$I$89,5,0)</f>
        <v>4.1677594708744434E-14</v>
      </c>
      <c r="AK162" s="13">
        <f t="shared" si="164"/>
        <v>6.9326303456159188E-13</v>
      </c>
      <c r="AL162" s="20">
        <f t="shared" si="165"/>
        <v>1.2800215959791691E-12</v>
      </c>
      <c r="AM162" s="59">
        <f t="shared" si="113"/>
        <v>293.33333333333462</v>
      </c>
      <c r="AN162" s="59">
        <f ca="1">AVERAGE(OFFSET($AM$3,0,0,'Données projet'!$E$10+1,1))-AVERAGE(OFFSET($H$3,0,0,'Données projet'!$E$10+1,1))</f>
        <v>178.12968684094687</v>
      </c>
      <c r="AO162" s="59">
        <f t="shared" si="144"/>
        <v>219.36004077210373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0.21504251577406563</v>
      </c>
      <c r="AW162" s="21">
        <f>EXP(-LN(2)/2)*AW161+(1-EXP(-LN(2)/2))/(LN(2)/2)*AQ162*AT162*VLOOKUP('Données projet'!$B$10,Paramètres!$A$1:$I$89,3,0)*0.475*44/12</f>
        <v>3.8016149606185202E-19</v>
      </c>
      <c r="AX162" s="21">
        <f t="shared" si="166"/>
        <v>0.21504251577406563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-5.6843418860808015E-14</v>
      </c>
      <c r="BE162" s="13">
        <f>BD162*VLOOKUP('Données projet'!$B$11,Paramètres!$A$1:$I$89,3,0)*VLOOKUP('Données projet'!$B$11,Paramètres!$A$1:$I$89,5,0)</f>
        <v>-4.9658410716801891E-14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114.02623091248347</v>
      </c>
      <c r="BJ162" s="59">
        <f t="shared" si="146"/>
        <v>185.51554083721635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0.15167552044622021</v>
      </c>
      <c r="BQ162" s="21">
        <f>EXP(-LN(2)/25)*BQ161+(1-EXP(-LN(2)/25))/(LN(2)/25)*Calculateur!BL162*Calculateur!BN162*VLOOKUP('Données projet'!$B$11,Paramètres!$A$1:$I$89,3,0)*0.475*44/12</f>
        <v>0.31482871948060037</v>
      </c>
      <c r="BR162" s="21">
        <f>EXP(-LN(2)/2)*BR161+(1-EXP(-LN(2)/2))/(LN(2)/2)*BL162*BO162*VLOOKUP('Données projet'!$B$11,Paramètres!$A$1:$I$89,3,0)*0.475*44/12</f>
        <v>6.7615454485137671E-19</v>
      </c>
      <c r="BS162" s="22">
        <f t="shared" si="169"/>
        <v>0.46650423992682055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-1.1368683772161603E-13</v>
      </c>
      <c r="BZ162" s="13">
        <f>BY162*VLOOKUP('Données projet'!$B$12,Paramètres!$A$1:$I$89,3,0)*VLOOKUP('Données projet'!$B$12,Paramètres!$A$1:$I$89,5,0)</f>
        <v>-1.0286385077051818E-13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237.22177246688199</v>
      </c>
      <c r="CE162" s="59">
        <f t="shared" si="148"/>
        <v>149.27472147904302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8.6871641660333884E-2</v>
      </c>
      <c r="CM162" s="21">
        <f>EXP(-LN(2)/2)*CM161+(1-EXP(-LN(2)/2))/(LN(2)/2)*CG162*CJ162*VLOOKUP('Données projet'!$B$12,Paramètres!$A$1:$I$89,3,0)*0.475*44/12</f>
        <v>2.3725215796896184E-19</v>
      </c>
      <c r="CN162" s="22">
        <f t="shared" si="172"/>
        <v>8.6871641660333884E-2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-5.6843418860808015E-13</v>
      </c>
      <c r="CU162" s="17">
        <f>CT162*VLOOKUP('Données projet'!$B$13,Paramètres!$A$1:$I$89,3,0)*VLOOKUP('Données projet'!$B$13,Paramètres!$A$1:$I$89,5,0)</f>
        <v>-3.177547114319168E-13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326.31232746914907</v>
      </c>
      <c r="CZ162" s="59">
        <f t="shared" si="150"/>
        <v>330.17137761430297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0.35498526061881369</v>
      </c>
      <c r="DG162" s="21">
        <f>EXP(-LN(2)/25)*DG161+(1-EXP(-LN(2)/25))/(LN(2)/25)*Calculateur!DB162*Calculateur!DD162*VLOOKUP('Données projet'!$B$13,Paramètres!$A$1:$I$89,3,0)*0.475*44/12</f>
        <v>0.843923286379757</v>
      </c>
      <c r="DH162" s="21">
        <f>EXP(-LN(2)/2)*DH161+(1-EXP(-LN(2)/2))/(LN(2)/2)*DB162*DE162*VLOOKUP('Données projet'!$B$13,Paramètres!$A$1:$I$89,3,0)*0.475*44/12</f>
        <v>1.2466475998795819E-18</v>
      </c>
      <c r="DI162" s="22">
        <f t="shared" si="175"/>
        <v>1.1989085469985707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6.2527760746888816E-13</v>
      </c>
      <c r="DP162" s="17">
        <f>DO162*VLOOKUP('Données projet'!$B$14,Paramètres!$A$1:$I$89,3,0)*VLOOKUP('Données projet'!$B$14,Paramètres!$A$1:$I$89,5,0)</f>
        <v>3.9017322706058616E-13</v>
      </c>
      <c r="DQ162" s="13">
        <f t="shared" si="176"/>
        <v>5.0025007393608908E-12</v>
      </c>
      <c r="DR162" s="20">
        <f t="shared" si="177"/>
        <v>9.3922404915174053E-12</v>
      </c>
      <c r="DS162" s="59">
        <f t="shared" si="125"/>
        <v>293.33333333334269</v>
      </c>
      <c r="DT162" s="59">
        <f ca="1">AVERAGE(OFFSET($DS$3,0,0,'Données projet'!$E$14+1,1))-AVERAGE(OFFSET($H$3,0,0,'Données projet'!$E$14+1,1))</f>
        <v>209.93608079129638</v>
      </c>
      <c r="DU162" s="59">
        <f t="shared" si="152"/>
        <v>240.15652428700969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0.54035811341552997</v>
      </c>
      <c r="EB162" s="21">
        <f>EXP(-LN(2)/25)*EB161+(1-EXP(-LN(2)/25))/(LN(2)/25)*Calculateur!DW162*Calculateur!DY162*VLOOKUP('Données projet'!$B$14,Paramètres!$A$1:$I$89,3,0)*0.475*44/12</f>
        <v>0.58142810131010181</v>
      </c>
      <c r="EC162" s="21">
        <f>EXP(-LN(2)/2)*EC161+(1-EXP(-LN(2)/2))/(LN(2)/2)*DW162*DZ162*VLOOKUP('Données projet'!$B$14,Paramètres!$A$1:$I$89,3,0)*0.475*44/12</f>
        <v>7.7396111223287432E-19</v>
      </c>
      <c r="ED162" s="22">
        <f t="shared" si="178"/>
        <v>1.1217862147256317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-4.5474735088646412E-13</v>
      </c>
      <c r="EK162" s="17">
        <f>EJ162*VLOOKUP('Données projet'!$B$15,Paramètres!$A$1:$I$89,3,0)*VLOOKUP('Données projet'!$B$15,Paramètres!$A$1:$I$89,5,0)</f>
        <v>-2.7193891583010558E-13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216.94426559495264</v>
      </c>
      <c r="EP162" s="59">
        <f t="shared" si="154"/>
        <v>225.33715877618704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</v>
      </c>
      <c r="EW162" s="21">
        <f>EXP(-LN(2)/25)*EW161+(1-EXP(-LN(2)/25))/(LN(2)/25)*Calculateur!ER162*Calculateur!ET162*VLOOKUP('Données projet'!$B$15,Paramètres!$A$1:$I$89,3,0)*0.475*44/12</f>
        <v>0.35938790693334316</v>
      </c>
      <c r="EX162" s="21">
        <f>EXP(-LN(2)/2)*EX161+(1-EXP(-LN(2)/2))/(LN(2)/2)*ER162*EU162*VLOOKUP('Données projet'!$B$15,Paramètres!$A$1:$I$89,3,0)*0.475*44/12</f>
        <v>9.0960178191593121E-19</v>
      </c>
      <c r="EY162" s="22">
        <f t="shared" si="181"/>
        <v>0.35938790693334316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>
        <f>FE162*VLOOKUP('Données projet'!$B$16,Paramètres!$A$1:$I$89,3,0)*VLOOKUP('Données projet'!$B$16,Paramètres!$A$1:$I$89,5,0)</f>
        <v>0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168.08890945052406</v>
      </c>
      <c r="FK162" s="59">
        <f t="shared" si="156"/>
        <v>182.52462557642343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0.48276898611970437</v>
      </c>
      <c r="FR162" s="21">
        <f>EXP(-LN(2)/25)*FR161+(1-EXP(-LN(2)/25))/(LN(2)/25)*Calculateur!FM162*Calculateur!FO162*VLOOKUP('Données projet'!$B$16,Paramètres!$A$1:$I$89,3,0)*0.475*44/12</f>
        <v>0.3448890238175385</v>
      </c>
      <c r="FS162" s="21">
        <f>EXP(-LN(2)/2)*FS161+(1-EXP(-LN(2)/2))/(LN(2)/2)*FM162*FP162*VLOOKUP('Données projet'!$B$16,Paramètres!$A$1:$I$89,3,0)*0.475*44/12</f>
        <v>2.0874610666126951E-19</v>
      </c>
      <c r="FT162" s="22">
        <f t="shared" si="184"/>
        <v>0.82765800993724281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-5.6843418860808015E-14</v>
      </c>
      <c r="GA162" s="17">
        <f>FZ162*VLOOKUP('Données projet'!$B$17,Paramètres!$A$1:$I$89,3,0)*VLOOKUP('Données projet'!$B$17,Paramètres!$A$1:$I$89,5,0)</f>
        <v>-3.2514435588382188E-14</v>
      </c>
      <c r="GB162" s="13" t="e">
        <f t="shared" si="185"/>
        <v>#NUM!</v>
      </c>
      <c r="GC162" s="20" t="e">
        <f t="shared" si="186"/>
        <v>#NUM!</v>
      </c>
      <c r="GD162" s="59" t="e">
        <f t="shared" si="134"/>
        <v>#NUM!</v>
      </c>
      <c r="GE162" s="59">
        <f ca="1">AVERAGE(OFFSET($GD$3,0,0,'Données projet'!$E$17+1,1))-AVERAGE(OFFSET($H$3,0,0,'Données projet'!$E$17+1,1))</f>
        <v>196.95560009657527</v>
      </c>
      <c r="GF162" s="59">
        <f t="shared" si="158"/>
        <v>168.90186968005662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0</v>
      </c>
      <c r="GM162" s="21">
        <f>EXP(-LN(2)/25)*GM161+(1-EXP(-LN(2)/25))/(LN(2)/25)*Calculateur!GH162*Calculateur!GJ162*VLOOKUP('Données projet'!$B$17,Paramètres!$A$1:$I$89,3,0)*0.475*44/12</f>
        <v>0.25818505677688336</v>
      </c>
      <c r="GN162" s="21">
        <f>EXP(-LN(2)/2)*GN161+(1-EXP(-LN(2)/2))/(LN(2)/2)*GH162*GK162*VLOOKUP('Données projet'!$B$17,Paramètres!$A$1:$I$89,3,0)*0.475*44/12</f>
        <v>4.9293767071975689E-19</v>
      </c>
      <c r="GO162" s="21">
        <f t="shared" si="187"/>
        <v>0.25818505677688336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-5.3205440053716299E-14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215.23235148064941</v>
      </c>
      <c r="T163" s="59">
        <f t="shared" si="142"/>
        <v>184.07239726900434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0.23881861080234426</v>
      </c>
      <c r="AA163" s="21">
        <f>EXP(-LN(2)/25)*AA162+(1-EXP(-LN(2)/25))/(LN(2)/25)*Calculateur!V163*Calculateur!X163*VLOOKUP('Données projet'!$B$9,Paramètres!$A$1:$I$89,3,0)*0.475*44/12</f>
        <v>0.21370559119754465</v>
      </c>
      <c r="AB163" s="21">
        <f>EXP(-LN(2)/2)*AB162+(1-EXP(-LN(2)/2))/(LN(2)/2)*V163*Y163*VLOOKUP('Données projet'!$B$9,Paramètres!$A$1:$I$89,3,0)*0.475*44/12</f>
        <v>2.6650167750494487E-19</v>
      </c>
      <c r="AC163" s="22">
        <f t="shared" si="163"/>
        <v>0.45252420199988891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5.6843418860808015E-14</v>
      </c>
      <c r="AJ163" s="13">
        <f>AI163*VLOOKUP('Données projet'!$B$10,Paramètres!$A$1:$I$89,3,0)*VLOOKUP('Données projet'!$B$10,Paramètres!$A$1:$I$89,5,0)</f>
        <v>4.1677594708744434E-14</v>
      </c>
      <c r="AK163" s="13">
        <f t="shared" si="164"/>
        <v>6.9326303456159188E-13</v>
      </c>
      <c r="AL163" s="20">
        <f t="shared" si="165"/>
        <v>1.2800215959791691E-12</v>
      </c>
      <c r="AM163" s="59">
        <f t="shared" si="113"/>
        <v>293.33333333333462</v>
      </c>
      <c r="AN163" s="59">
        <f ca="1">AVERAGE(OFFSET($AM$3,0,0,'Données projet'!$E$10+1,1))-AVERAGE(OFFSET($H$3,0,0,'Données projet'!$E$10+1,1))</f>
        <v>178.12968684094687</v>
      </c>
      <c r="AO163" s="59">
        <f t="shared" si="144"/>
        <v>219.36004077210373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0.20916216687162939</v>
      </c>
      <c r="AW163" s="21">
        <f>EXP(-LN(2)/2)*AW162+(1-EXP(-LN(2)/2))/(LN(2)/2)*AQ163*AT163*VLOOKUP('Données projet'!$B$10,Paramètres!$A$1:$I$89,3,0)*0.475*44/12</f>
        <v>2.6881477181135854E-19</v>
      </c>
      <c r="AX163" s="21">
        <f t="shared" si="166"/>
        <v>0.20916216687162939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-5.6843418860808015E-14</v>
      </c>
      <c r="BE163" s="13">
        <f>BD163*VLOOKUP('Données projet'!$B$11,Paramètres!$A$1:$I$89,3,0)*VLOOKUP('Données projet'!$B$11,Paramètres!$A$1:$I$89,5,0)</f>
        <v>-4.9658410716801891E-14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114.02623091248347</v>
      </c>
      <c r="BJ163" s="59">
        <f t="shared" si="146"/>
        <v>185.51554083721635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0.14870125600320241</v>
      </c>
      <c r="BQ163" s="21">
        <f>EXP(-LN(2)/25)*BQ162+(1-EXP(-LN(2)/25))/(LN(2)/25)*Calculateur!BL163*Calculateur!BN163*VLOOKUP('Données projet'!$B$11,Paramètres!$A$1:$I$89,3,0)*0.475*44/12</f>
        <v>0.30621971159028055</v>
      </c>
      <c r="BR163" s="21">
        <f>EXP(-LN(2)/2)*BR162+(1-EXP(-LN(2)/2))/(LN(2)/2)*BL163*BO163*VLOOKUP('Données projet'!$B$11,Paramètres!$A$1:$I$89,3,0)*0.475*44/12</f>
        <v>4.7811346379451206E-19</v>
      </c>
      <c r="BS163" s="22">
        <f t="shared" si="169"/>
        <v>0.45492096759348299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-1.1368683772161603E-13</v>
      </c>
      <c r="BZ163" s="13">
        <f>BY163*VLOOKUP('Données projet'!$B$12,Paramètres!$A$1:$I$89,3,0)*VLOOKUP('Données projet'!$B$12,Paramètres!$A$1:$I$89,5,0)</f>
        <v>-1.0286385077051818E-13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237.22177246688199</v>
      </c>
      <c r="CE163" s="59">
        <f t="shared" si="148"/>
        <v>149.27472147904302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8.4496132050750961E-2</v>
      </c>
      <c r="CM163" s="21">
        <f>EXP(-LN(2)/2)*CM162+(1-EXP(-LN(2)/2))/(LN(2)/2)*CG163*CJ163*VLOOKUP('Données projet'!$B$12,Paramètres!$A$1:$I$89,3,0)*0.475*44/12</f>
        <v>1.6776260975099491E-19</v>
      </c>
      <c r="CN163" s="22">
        <f t="shared" si="172"/>
        <v>8.4496132050750961E-2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-5.6843418860808015E-13</v>
      </c>
      <c r="CU163" s="17">
        <f>CT163*VLOOKUP('Données projet'!$B$13,Paramètres!$A$1:$I$89,3,0)*VLOOKUP('Données projet'!$B$13,Paramètres!$A$1:$I$89,5,0)</f>
        <v>-3.177547114319168E-13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326.31232746914907</v>
      </c>
      <c r="CZ163" s="59">
        <f t="shared" si="150"/>
        <v>330.17137761430297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0.34802421617770818</v>
      </c>
      <c r="DG163" s="21">
        <f>EXP(-LN(2)/25)*DG162+(1-EXP(-LN(2)/25))/(LN(2)/25)*Calculateur!DB163*Calculateur!DD163*VLOOKUP('Données projet'!$B$13,Paramètres!$A$1:$I$89,3,0)*0.475*44/12</f>
        <v>0.82084615973370567</v>
      </c>
      <c r="DH163" s="21">
        <f>EXP(-LN(2)/2)*DH162+(1-EXP(-LN(2)/2))/(LN(2)/2)*DB163*DE163*VLOOKUP('Données projet'!$B$13,Paramètres!$A$1:$I$89,3,0)*0.475*44/12</f>
        <v>8.8151297162478619E-19</v>
      </c>
      <c r="DI163" s="22">
        <f t="shared" si="175"/>
        <v>1.1688703759114139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6.2527760746888816E-13</v>
      </c>
      <c r="DP163" s="17">
        <f>DO163*VLOOKUP('Données projet'!$B$14,Paramètres!$A$1:$I$89,3,0)*VLOOKUP('Données projet'!$B$14,Paramètres!$A$1:$I$89,5,0)</f>
        <v>3.9017322706058616E-13</v>
      </c>
      <c r="DQ163" s="13">
        <f t="shared" si="176"/>
        <v>5.0025007393608908E-12</v>
      </c>
      <c r="DR163" s="20">
        <f t="shared" si="177"/>
        <v>9.3922404915174053E-12</v>
      </c>
      <c r="DS163" s="59">
        <f t="shared" si="125"/>
        <v>293.33333333334269</v>
      </c>
      <c r="DT163" s="59">
        <f ca="1">AVERAGE(OFFSET($DS$3,0,0,'Données projet'!$E$14+1,1))-AVERAGE(OFFSET($H$3,0,0,'Données projet'!$E$14+1,1))</f>
        <v>209.93608079129638</v>
      </c>
      <c r="DU163" s="59">
        <f t="shared" si="152"/>
        <v>240.15652428700969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0.52976202039735676</v>
      </c>
      <c r="EB163" s="21">
        <f>EXP(-LN(2)/25)*EB162+(1-EXP(-LN(2)/25))/(LN(2)/25)*Calculateur!DW163*Calculateur!DY163*VLOOKUP('Données projet'!$B$14,Paramètres!$A$1:$I$89,3,0)*0.475*44/12</f>
        <v>0.56552891930380211</v>
      </c>
      <c r="EC163" s="21">
        <f>EXP(-LN(2)/2)*EC162+(1-EXP(-LN(2)/2))/(LN(2)/2)*DW163*DZ163*VLOOKUP('Données projet'!$B$14,Paramètres!$A$1:$I$89,3,0)*0.475*44/12</f>
        <v>5.4727315083454801E-19</v>
      </c>
      <c r="ED163" s="22">
        <f t="shared" si="178"/>
        <v>1.095290939701159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-4.5474735088646412E-13</v>
      </c>
      <c r="EK163" s="17">
        <f>EJ163*VLOOKUP('Données projet'!$B$15,Paramètres!$A$1:$I$89,3,0)*VLOOKUP('Données projet'!$B$15,Paramètres!$A$1:$I$89,5,0)</f>
        <v>-2.7193891583010558E-13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216.94426559495264</v>
      </c>
      <c r="EP163" s="59">
        <f t="shared" si="154"/>
        <v>225.33715877618704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</v>
      </c>
      <c r="EW163" s="21">
        <f>EXP(-LN(2)/25)*EW162+(1-EXP(-LN(2)/25))/(LN(2)/25)*Calculateur!ER163*Calculateur!ET163*VLOOKUP('Données projet'!$B$15,Paramètres!$A$1:$I$89,3,0)*0.475*44/12</f>
        <v>0.34956042571886226</v>
      </c>
      <c r="EX163" s="21">
        <f>EXP(-LN(2)/2)*EX162+(1-EXP(-LN(2)/2))/(LN(2)/2)*ER163*EU163*VLOOKUP('Données projet'!$B$15,Paramètres!$A$1:$I$89,3,0)*0.475*44/12</f>
        <v>6.4318558817212211E-19</v>
      </c>
      <c r="EY163" s="22">
        <f t="shared" si="181"/>
        <v>0.34956042571886226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>
        <f>FE163*VLOOKUP('Données projet'!$B$16,Paramètres!$A$1:$I$89,3,0)*VLOOKUP('Données projet'!$B$16,Paramètres!$A$1:$I$89,5,0)</f>
        <v>0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168.08890945052406</v>
      </c>
      <c r="FK163" s="59">
        <f t="shared" si="156"/>
        <v>182.52462557642343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0.473302180761903</v>
      </c>
      <c r="FR163" s="21">
        <f>EXP(-LN(2)/25)*FR162+(1-EXP(-LN(2)/25))/(LN(2)/25)*Calculateur!FM163*Calculateur!FO163*VLOOKUP('Données projet'!$B$16,Paramètres!$A$1:$I$89,3,0)*0.475*44/12</f>
        <v>0.3354580153243224</v>
      </c>
      <c r="FS163" s="21">
        <f>EXP(-LN(2)/2)*FS162+(1-EXP(-LN(2)/2))/(LN(2)/2)*FM163*FP163*VLOOKUP('Données projet'!$B$16,Paramètres!$A$1:$I$89,3,0)*0.475*44/12</f>
        <v>1.4760578756647401E-19</v>
      </c>
      <c r="FT163" s="22">
        <f t="shared" si="184"/>
        <v>0.8087601960862254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-5.6843418860808015E-14</v>
      </c>
      <c r="GA163" s="17">
        <f>FZ163*VLOOKUP('Données projet'!$B$17,Paramètres!$A$1:$I$89,3,0)*VLOOKUP('Données projet'!$B$17,Paramètres!$A$1:$I$89,5,0)</f>
        <v>-3.2514435588382188E-14</v>
      </c>
      <c r="GB163" s="13" t="e">
        <f t="shared" si="185"/>
        <v>#NUM!</v>
      </c>
      <c r="GC163" s="20" t="e">
        <f t="shared" si="186"/>
        <v>#NUM!</v>
      </c>
      <c r="GD163" s="59" t="e">
        <f t="shared" si="134"/>
        <v>#NUM!</v>
      </c>
      <c r="GE163" s="59">
        <f ca="1">AVERAGE(OFFSET($GD$3,0,0,'Données projet'!$E$17+1,1))-AVERAGE(OFFSET($H$3,0,0,'Données projet'!$E$17+1,1))</f>
        <v>196.95560009657527</v>
      </c>
      <c r="GF163" s="59">
        <f t="shared" si="158"/>
        <v>168.90186968005662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0</v>
      </c>
      <c r="GM163" s="21">
        <f>EXP(-LN(2)/25)*GM162+(1-EXP(-LN(2)/25))/(LN(2)/25)*Calculateur!GH163*Calculateur!GJ163*VLOOKUP('Données projet'!$B$17,Paramètres!$A$1:$I$89,3,0)*0.475*44/12</f>
        <v>0.25112497282195745</v>
      </c>
      <c r="GN163" s="21">
        <f>EXP(-LN(2)/2)*GN162+(1-EXP(-LN(2)/2))/(LN(2)/2)*GH163*GK163*VLOOKUP('Données projet'!$B$17,Paramètres!$A$1:$I$89,3,0)*0.475*44/12</f>
        <v>3.4855956966824155E-19</v>
      </c>
      <c r="GO163" s="21">
        <f t="shared" si="187"/>
        <v>0.25112497282195745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-5.3205440053716299E-14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215.23235148064941</v>
      </c>
      <c r="T164" s="59">
        <f t="shared" si="142"/>
        <v>184.07239726900434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0.23413552350947966</v>
      </c>
      <c r="AA164" s="21">
        <f>EXP(-LN(2)/25)*AA163+(1-EXP(-LN(2)/25))/(LN(2)/25)*Calculateur!V164*Calculateur!X164*VLOOKUP('Données projet'!$B$9,Paramètres!$A$1:$I$89,3,0)*0.475*44/12</f>
        <v>0.20786180056795917</v>
      </c>
      <c r="AB164" s="21">
        <f>EXP(-LN(2)/2)*AB163+(1-EXP(-LN(2)/2))/(LN(2)/2)*V164*Y164*VLOOKUP('Données projet'!$B$9,Paramètres!$A$1:$I$89,3,0)*0.475*44/12</f>
        <v>1.8844514336133691E-19</v>
      </c>
      <c r="AC164" s="22">
        <f t="shared" si="163"/>
        <v>0.44199732407743886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5.6843418860808015E-14</v>
      </c>
      <c r="AJ164" s="13">
        <f>AI164*VLOOKUP('Données projet'!$B$10,Paramètres!$A$1:$I$89,3,0)*VLOOKUP('Données projet'!$B$10,Paramètres!$A$1:$I$89,5,0)</f>
        <v>4.1677594708744434E-14</v>
      </c>
      <c r="AK164" s="13">
        <f t="shared" si="164"/>
        <v>6.9326303456159188E-13</v>
      </c>
      <c r="AL164" s="20">
        <f t="shared" si="165"/>
        <v>1.2800215959791691E-12</v>
      </c>
      <c r="AM164" s="59">
        <f t="shared" si="113"/>
        <v>293.33333333333462</v>
      </c>
      <c r="AN164" s="59">
        <f ca="1">AVERAGE(OFFSET($AM$3,0,0,'Données projet'!$E$10+1,1))-AVERAGE(OFFSET($H$3,0,0,'Données projet'!$E$10+1,1))</f>
        <v>178.12968684094687</v>
      </c>
      <c r="AO164" s="59">
        <f t="shared" si="144"/>
        <v>219.36004077210373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0.20344261641916436</v>
      </c>
      <c r="AW164" s="21">
        <f>EXP(-LN(2)/2)*AW163+(1-EXP(-LN(2)/2))/(LN(2)/2)*AQ164*AT164*VLOOKUP('Données projet'!$B$10,Paramètres!$A$1:$I$89,3,0)*0.475*44/12</f>
        <v>1.9008074803092601E-19</v>
      </c>
      <c r="AX164" s="21">
        <f t="shared" si="166"/>
        <v>0.20344261641916436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-5.6843418860808015E-14</v>
      </c>
      <c r="BE164" s="13">
        <f>BD164*VLOOKUP('Données projet'!$B$11,Paramètres!$A$1:$I$89,3,0)*VLOOKUP('Données projet'!$B$11,Paramètres!$A$1:$I$89,5,0)</f>
        <v>-4.9658410716801891E-14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114.02623091248347</v>
      </c>
      <c r="BJ164" s="59">
        <f t="shared" si="146"/>
        <v>185.51554083721635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0.14578531507179002</v>
      </c>
      <c r="BQ164" s="21">
        <f>EXP(-LN(2)/25)*BQ163+(1-EXP(-LN(2)/25))/(LN(2)/25)*Calculateur!BL164*Calculateur!BN164*VLOOKUP('Données projet'!$B$11,Paramètres!$A$1:$I$89,3,0)*0.475*44/12</f>
        <v>0.29784611747344958</v>
      </c>
      <c r="BR164" s="21">
        <f>EXP(-LN(2)/2)*BR163+(1-EXP(-LN(2)/2))/(LN(2)/2)*BL164*BO164*VLOOKUP('Données projet'!$B$11,Paramètres!$A$1:$I$89,3,0)*0.475*44/12</f>
        <v>3.3807727242568835E-19</v>
      </c>
      <c r="BS164" s="22">
        <f t="shared" si="169"/>
        <v>0.44363143254523962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-1.1368683772161603E-13</v>
      </c>
      <c r="BZ164" s="13">
        <f>BY164*VLOOKUP('Données projet'!$B$12,Paramètres!$A$1:$I$89,3,0)*VLOOKUP('Données projet'!$B$12,Paramètres!$A$1:$I$89,5,0)</f>
        <v>-1.0286385077051818E-13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237.22177246688199</v>
      </c>
      <c r="CE164" s="59">
        <f t="shared" si="148"/>
        <v>149.27472147904302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8.2185580876364711E-2</v>
      </c>
      <c r="CM164" s="21">
        <f>EXP(-LN(2)/2)*CM163+(1-EXP(-LN(2)/2))/(LN(2)/2)*CG164*CJ164*VLOOKUP('Données projet'!$B$12,Paramètres!$A$1:$I$89,3,0)*0.475*44/12</f>
        <v>1.1862607898448092E-19</v>
      </c>
      <c r="CN164" s="22">
        <f t="shared" si="172"/>
        <v>8.2185580876364711E-2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-5.6843418860808015E-13</v>
      </c>
      <c r="CU164" s="17">
        <f>CT164*VLOOKUP('Données projet'!$B$13,Paramètres!$A$1:$I$89,3,0)*VLOOKUP('Données projet'!$B$13,Paramètres!$A$1:$I$89,5,0)</f>
        <v>-3.177547114319168E-13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326.31232746914907</v>
      </c>
      <c r="CZ164" s="59">
        <f t="shared" si="150"/>
        <v>330.17137761430297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0.34119967357227488</v>
      </c>
      <c r="DG164" s="21">
        <f>EXP(-LN(2)/25)*DG163+(1-EXP(-LN(2)/25))/(LN(2)/25)*Calculateur!DB164*Calculateur!DD164*VLOOKUP('Données projet'!$B$13,Paramètres!$A$1:$I$89,3,0)*0.475*44/12</f>
        <v>0.79840007832936399</v>
      </c>
      <c r="DH164" s="21">
        <f>EXP(-LN(2)/2)*DH163+(1-EXP(-LN(2)/2))/(LN(2)/2)*DB164*DE164*VLOOKUP('Données projet'!$B$13,Paramètres!$A$1:$I$89,3,0)*0.475*44/12</f>
        <v>6.2332379993979096E-19</v>
      </c>
      <c r="DI164" s="22">
        <f t="shared" si="175"/>
        <v>1.1395997519016388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6.2527760746888816E-13</v>
      </c>
      <c r="DP164" s="17">
        <f>DO164*VLOOKUP('Données projet'!$B$14,Paramètres!$A$1:$I$89,3,0)*VLOOKUP('Données projet'!$B$14,Paramètres!$A$1:$I$89,5,0)</f>
        <v>3.9017322706058616E-13</v>
      </c>
      <c r="DQ164" s="13">
        <f t="shared" si="176"/>
        <v>5.0025007393608908E-12</v>
      </c>
      <c r="DR164" s="20">
        <f t="shared" si="177"/>
        <v>9.3922404915174053E-12</v>
      </c>
      <c r="DS164" s="59">
        <f t="shared" si="125"/>
        <v>293.33333333334269</v>
      </c>
      <c r="DT164" s="59">
        <f ca="1">AVERAGE(OFFSET($DS$3,0,0,'Données projet'!$E$14+1,1))-AVERAGE(OFFSET($H$3,0,0,'Données projet'!$E$14+1,1))</f>
        <v>209.93608079129638</v>
      </c>
      <c r="DU164" s="59">
        <f t="shared" si="152"/>
        <v>240.15652428700969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0.51937371030029134</v>
      </c>
      <c r="EB164" s="21">
        <f>EXP(-LN(2)/25)*EB163+(1-EXP(-LN(2)/25))/(LN(2)/25)*Calculateur!DW164*Calculateur!DY164*VLOOKUP('Données projet'!$B$14,Paramètres!$A$1:$I$89,3,0)*0.475*44/12</f>
        <v>0.55006450126556627</v>
      </c>
      <c r="EC164" s="21">
        <f>EXP(-LN(2)/2)*EC163+(1-EXP(-LN(2)/2))/(LN(2)/2)*DW164*DZ164*VLOOKUP('Données projet'!$B$14,Paramètres!$A$1:$I$89,3,0)*0.475*44/12</f>
        <v>3.8698055611643716E-19</v>
      </c>
      <c r="ED164" s="22">
        <f t="shared" si="178"/>
        <v>1.0694382115658576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-4.5474735088646412E-13</v>
      </c>
      <c r="EK164" s="17">
        <f>EJ164*VLOOKUP('Données projet'!$B$15,Paramètres!$A$1:$I$89,3,0)*VLOOKUP('Données projet'!$B$15,Paramètres!$A$1:$I$89,5,0)</f>
        <v>-2.7193891583010558E-13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216.94426559495264</v>
      </c>
      <c r="EP164" s="59">
        <f t="shared" si="154"/>
        <v>225.33715877618704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</v>
      </c>
      <c r="EW164" s="21">
        <f>EXP(-LN(2)/25)*EW163+(1-EXP(-LN(2)/25))/(LN(2)/25)*Calculateur!ER164*Calculateur!ET164*VLOOKUP('Données projet'!$B$15,Paramètres!$A$1:$I$89,3,0)*0.475*44/12</f>
        <v>0.3400016774949961</v>
      </c>
      <c r="EX164" s="21">
        <f>EXP(-LN(2)/2)*EX163+(1-EXP(-LN(2)/2))/(LN(2)/2)*ER164*EU164*VLOOKUP('Données projet'!$B$15,Paramètres!$A$1:$I$89,3,0)*0.475*44/12</f>
        <v>4.548008909579656E-19</v>
      </c>
      <c r="EY164" s="22">
        <f t="shared" si="181"/>
        <v>0.3400016774949961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>
        <f>FE164*VLOOKUP('Données projet'!$B$16,Paramètres!$A$1:$I$89,3,0)*VLOOKUP('Données projet'!$B$16,Paramètres!$A$1:$I$89,5,0)</f>
        <v>0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168.08890945052406</v>
      </c>
      <c r="FK164" s="59">
        <f t="shared" si="156"/>
        <v>182.52462557642343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0.46402101368298698</v>
      </c>
      <c r="FR164" s="21">
        <f>EXP(-LN(2)/25)*FR163+(1-EXP(-LN(2)/25))/(LN(2)/25)*Calculateur!FM164*Calculateur!FO164*VLOOKUP('Données projet'!$B$16,Paramètres!$A$1:$I$89,3,0)*0.475*44/12</f>
        <v>0.32628489825430845</v>
      </c>
      <c r="FS164" s="21">
        <f>EXP(-LN(2)/2)*FS163+(1-EXP(-LN(2)/2))/(LN(2)/2)*FM164*FP164*VLOOKUP('Données projet'!$B$16,Paramètres!$A$1:$I$89,3,0)*0.475*44/12</f>
        <v>1.0437305333063476E-19</v>
      </c>
      <c r="FT164" s="22">
        <f t="shared" si="184"/>
        <v>0.79030591193729549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-5.6843418860808015E-14</v>
      </c>
      <c r="GA164" s="17">
        <f>FZ164*VLOOKUP('Données projet'!$B$17,Paramètres!$A$1:$I$89,3,0)*VLOOKUP('Données projet'!$B$17,Paramètres!$A$1:$I$89,5,0)</f>
        <v>-3.2514435588382188E-14</v>
      </c>
      <c r="GB164" s="13" t="e">
        <f t="shared" si="185"/>
        <v>#NUM!</v>
      </c>
      <c r="GC164" s="20" t="e">
        <f t="shared" si="186"/>
        <v>#NUM!</v>
      </c>
      <c r="GD164" s="59" t="e">
        <f t="shared" si="134"/>
        <v>#NUM!</v>
      </c>
      <c r="GE164" s="59">
        <f ca="1">AVERAGE(OFFSET($GD$3,0,0,'Données projet'!$E$17+1,1))-AVERAGE(OFFSET($H$3,0,0,'Données projet'!$E$17+1,1))</f>
        <v>196.95560009657527</v>
      </c>
      <c r="GF164" s="59">
        <f t="shared" si="158"/>
        <v>168.90186968005662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0</v>
      </c>
      <c r="GM164" s="21">
        <f>EXP(-LN(2)/25)*GM163+(1-EXP(-LN(2)/25))/(LN(2)/25)*Calculateur!GH164*Calculateur!GJ164*VLOOKUP('Données projet'!$B$17,Paramètres!$A$1:$I$89,3,0)*0.475*44/12</f>
        <v>0.24425794723405264</v>
      </c>
      <c r="GN164" s="21">
        <f>EXP(-LN(2)/2)*GN163+(1-EXP(-LN(2)/2))/(LN(2)/2)*GH164*GK164*VLOOKUP('Données projet'!$B$17,Paramètres!$A$1:$I$89,3,0)*0.475*44/12</f>
        <v>2.4646883535987845E-19</v>
      </c>
      <c r="GO164" s="21">
        <f t="shared" si="187"/>
        <v>0.24425794723405264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-5.3205440053716299E-14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215.23235148064941</v>
      </c>
      <c r="T165" s="59">
        <f t="shared" si="142"/>
        <v>184.07239726900434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0.22954426870202693</v>
      </c>
      <c r="AA165" s="21">
        <f>EXP(-LN(2)/25)*AA164+(1-EXP(-LN(2)/25))/(LN(2)/25)*Calculateur!V165*Calculateur!X165*VLOOKUP('Données projet'!$B$9,Paramètres!$A$1:$I$89,3,0)*0.475*44/12</f>
        <v>0.20217780870045129</v>
      </c>
      <c r="AB165" s="21">
        <f>EXP(-LN(2)/2)*AB164+(1-EXP(-LN(2)/2))/(LN(2)/2)*V165*Y165*VLOOKUP('Données projet'!$B$9,Paramètres!$A$1:$I$89,3,0)*0.475*44/12</f>
        <v>1.3325083875247244E-19</v>
      </c>
      <c r="AC165" s="22">
        <f t="shared" si="163"/>
        <v>0.43172207740247825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5.6843418860808015E-14</v>
      </c>
      <c r="AJ165" s="13">
        <f>AI165*VLOOKUP('Données projet'!$B$10,Paramètres!$A$1:$I$89,3,0)*VLOOKUP('Données projet'!$B$10,Paramètres!$A$1:$I$89,5,0)</f>
        <v>4.1677594708744434E-14</v>
      </c>
      <c r="AK165" s="13">
        <f t="shared" si="164"/>
        <v>6.9326303456159188E-13</v>
      </c>
      <c r="AL165" s="20">
        <f t="shared" si="165"/>
        <v>1.2800215959791691E-12</v>
      </c>
      <c r="AM165" s="59">
        <f t="shared" si="113"/>
        <v>293.33333333333462</v>
      </c>
      <c r="AN165" s="59">
        <f ca="1">AVERAGE(OFFSET($AM$3,0,0,'Données projet'!$E$10+1,1))-AVERAGE(OFFSET($H$3,0,0,'Données projet'!$E$10+1,1))</f>
        <v>178.12968684094687</v>
      </c>
      <c r="AO165" s="59">
        <f t="shared" si="144"/>
        <v>219.36004077210373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0.19787946737460008</v>
      </c>
      <c r="AW165" s="21">
        <f>EXP(-LN(2)/2)*AW164+(1-EXP(-LN(2)/2))/(LN(2)/2)*AQ165*AT165*VLOOKUP('Données projet'!$B$10,Paramètres!$A$1:$I$89,3,0)*0.475*44/12</f>
        <v>1.3440738590567927E-19</v>
      </c>
      <c r="AX165" s="21">
        <f t="shared" si="166"/>
        <v>0.19787946737460008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-5.6843418860808015E-14</v>
      </c>
      <c r="BE165" s="13">
        <f>BD165*VLOOKUP('Données projet'!$B$11,Paramètres!$A$1:$I$89,3,0)*VLOOKUP('Données projet'!$B$11,Paramètres!$A$1:$I$89,5,0)</f>
        <v>-4.9658410716801891E-14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114.02623091248347</v>
      </c>
      <c r="BJ165" s="59">
        <f t="shared" si="146"/>
        <v>185.51554083721635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0.14292655396349427</v>
      </c>
      <c r="BQ165" s="21">
        <f>EXP(-LN(2)/25)*BQ164+(1-EXP(-LN(2)/25))/(LN(2)/25)*Calculateur!BL165*Calculateur!BN165*VLOOKUP('Données projet'!$B$11,Paramètres!$A$1:$I$89,3,0)*0.475*44/12</f>
        <v>0.2897014997280915</v>
      </c>
      <c r="BR165" s="21">
        <f>EXP(-LN(2)/2)*BR164+(1-EXP(-LN(2)/2))/(LN(2)/2)*BL165*BO165*VLOOKUP('Données projet'!$B$11,Paramètres!$A$1:$I$89,3,0)*0.475*44/12</f>
        <v>2.3905673189725603E-19</v>
      </c>
      <c r="BS165" s="22">
        <f t="shared" si="169"/>
        <v>0.43262805369158575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-1.1368683772161603E-13</v>
      </c>
      <c r="BZ165" s="13">
        <f>BY165*VLOOKUP('Données projet'!$B$12,Paramètres!$A$1:$I$89,3,0)*VLOOKUP('Données projet'!$B$12,Paramètres!$A$1:$I$89,5,0)</f>
        <v>-1.0286385077051818E-13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237.22177246688199</v>
      </c>
      <c r="CE165" s="59">
        <f t="shared" si="148"/>
        <v>149.27472147904302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7.9938211845348661E-2</v>
      </c>
      <c r="CM165" s="21">
        <f>EXP(-LN(2)/2)*CM164+(1-EXP(-LN(2)/2))/(LN(2)/2)*CG165*CJ165*VLOOKUP('Données projet'!$B$12,Paramètres!$A$1:$I$89,3,0)*0.475*44/12</f>
        <v>8.3881304875497456E-20</v>
      </c>
      <c r="CN165" s="22">
        <f t="shared" si="172"/>
        <v>7.9938211845348661E-2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-5.6843418860808015E-13</v>
      </c>
      <c r="CU165" s="17">
        <f>CT165*VLOOKUP('Données projet'!$B$13,Paramètres!$A$1:$I$89,3,0)*VLOOKUP('Données projet'!$B$13,Paramètres!$A$1:$I$89,5,0)</f>
        <v>-3.177547114319168E-13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326.31232746914907</v>
      </c>
      <c r="CZ165" s="59">
        <f t="shared" si="150"/>
        <v>330.17137761430297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0.33450895608477416</v>
      </c>
      <c r="DG165" s="21">
        <f>EXP(-LN(2)/25)*DG164+(1-EXP(-LN(2)/25))/(LN(2)/25)*Calculateur!DB165*Calculateur!DD165*VLOOKUP('Données projet'!$B$13,Paramètres!$A$1:$I$89,3,0)*0.475*44/12</f>
        <v>0.7765677862014122</v>
      </c>
      <c r="DH165" s="21">
        <f>EXP(-LN(2)/2)*DH164+(1-EXP(-LN(2)/2))/(LN(2)/2)*DB165*DE165*VLOOKUP('Données projet'!$B$13,Paramètres!$A$1:$I$89,3,0)*0.475*44/12</f>
        <v>4.407564858123931E-19</v>
      </c>
      <c r="DI165" s="22">
        <f t="shared" si="175"/>
        <v>1.1110767422861865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6.2527760746888816E-13</v>
      </c>
      <c r="DP165" s="17">
        <f>DO165*VLOOKUP('Données projet'!$B$14,Paramètres!$A$1:$I$89,3,0)*VLOOKUP('Données projet'!$B$14,Paramètres!$A$1:$I$89,5,0)</f>
        <v>3.9017322706058616E-13</v>
      </c>
      <c r="DQ165" s="13">
        <f t="shared" si="176"/>
        <v>5.0025007393608908E-12</v>
      </c>
      <c r="DR165" s="20">
        <f t="shared" si="177"/>
        <v>9.3922404915174053E-12</v>
      </c>
      <c r="DS165" s="59">
        <f t="shared" si="125"/>
        <v>293.33333333334269</v>
      </c>
      <c r="DT165" s="59">
        <f ca="1">AVERAGE(OFFSET($DS$3,0,0,'Données projet'!$E$14+1,1))-AVERAGE(OFFSET($H$3,0,0,'Données projet'!$E$14+1,1))</f>
        <v>209.93608079129638</v>
      </c>
      <c r="DU165" s="59">
        <f t="shared" si="152"/>
        <v>240.15652428700969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0.50918910862798583</v>
      </c>
      <c r="EB165" s="21">
        <f>EXP(-LN(2)/25)*EB164+(1-EXP(-LN(2)/25))/(LN(2)/25)*Calculateur!DW165*Calculateur!DY165*VLOOKUP('Données projet'!$B$14,Paramètres!$A$1:$I$89,3,0)*0.475*44/12</f>
        <v>0.53502295855182447</v>
      </c>
      <c r="EC165" s="21">
        <f>EXP(-LN(2)/2)*EC164+(1-EXP(-LN(2)/2))/(LN(2)/2)*DW165*DZ165*VLOOKUP('Données projet'!$B$14,Paramètres!$A$1:$I$89,3,0)*0.475*44/12</f>
        <v>2.73636575417274E-19</v>
      </c>
      <c r="ED165" s="22">
        <f t="shared" si="178"/>
        <v>1.0442120671798103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-4.5474735088646412E-13</v>
      </c>
      <c r="EK165" s="17">
        <f>EJ165*VLOOKUP('Données projet'!$B$15,Paramètres!$A$1:$I$89,3,0)*VLOOKUP('Données projet'!$B$15,Paramètres!$A$1:$I$89,5,0)</f>
        <v>-2.7193891583010558E-13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216.94426559495264</v>
      </c>
      <c r="EP165" s="59">
        <f t="shared" si="154"/>
        <v>225.33715877618704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</v>
      </c>
      <c r="EW165" s="21">
        <f>EXP(-LN(2)/25)*EW164+(1-EXP(-LN(2)/25))/(LN(2)/25)*Calculateur!ER165*Calculateur!ET165*VLOOKUP('Données projet'!$B$15,Paramètres!$A$1:$I$89,3,0)*0.475*44/12</f>
        <v>0.33070431374398429</v>
      </c>
      <c r="EX165" s="21">
        <f>EXP(-LN(2)/2)*EX164+(1-EXP(-LN(2)/2))/(LN(2)/2)*ER165*EU165*VLOOKUP('Données projet'!$B$15,Paramètres!$A$1:$I$89,3,0)*0.475*44/12</f>
        <v>3.2159279408606105E-19</v>
      </c>
      <c r="EY165" s="22">
        <f t="shared" si="181"/>
        <v>0.33070431374398429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>
        <f>FE165*VLOOKUP('Données projet'!$B$16,Paramètres!$A$1:$I$89,3,0)*VLOOKUP('Données projet'!$B$16,Paramètres!$A$1:$I$89,5,0)</f>
        <v>0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168.08890945052406</v>
      </c>
      <c r="FK165" s="59">
        <f t="shared" si="156"/>
        <v>182.52462557642343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0.45492184462953555</v>
      </c>
      <c r="FR165" s="21">
        <f>EXP(-LN(2)/25)*FR164+(1-EXP(-LN(2)/25))/(LN(2)/25)*Calculateur!FM165*Calculateur!FO165*VLOOKUP('Données projet'!$B$16,Paramètres!$A$1:$I$89,3,0)*0.475*44/12</f>
        <v>0.31736262055296732</v>
      </c>
      <c r="FS165" s="21">
        <f>EXP(-LN(2)/2)*FS164+(1-EXP(-LN(2)/2))/(LN(2)/2)*FM165*FP165*VLOOKUP('Données projet'!$B$16,Paramètres!$A$1:$I$89,3,0)*0.475*44/12</f>
        <v>7.3802893783237005E-20</v>
      </c>
      <c r="FT165" s="22">
        <f t="shared" si="184"/>
        <v>0.77228446518250293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-5.6843418860808015E-14</v>
      </c>
      <c r="GA165" s="17">
        <f>FZ165*VLOOKUP('Données projet'!$B$17,Paramètres!$A$1:$I$89,3,0)*VLOOKUP('Données projet'!$B$17,Paramètres!$A$1:$I$89,5,0)</f>
        <v>-3.2514435588382188E-14</v>
      </c>
      <c r="GB165" s="13" t="e">
        <f t="shared" si="185"/>
        <v>#NUM!</v>
      </c>
      <c r="GC165" s="20" t="e">
        <f t="shared" si="186"/>
        <v>#NUM!</v>
      </c>
      <c r="GD165" s="59" t="e">
        <f t="shared" si="134"/>
        <v>#NUM!</v>
      </c>
      <c r="GE165" s="59">
        <f ca="1">AVERAGE(OFFSET($GD$3,0,0,'Données projet'!$E$17+1,1))-AVERAGE(OFFSET($H$3,0,0,'Données projet'!$E$17+1,1))</f>
        <v>196.95560009657527</v>
      </c>
      <c r="GF165" s="59">
        <f t="shared" si="158"/>
        <v>168.90186968005662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0</v>
      </c>
      <c r="GM165" s="21">
        <f>EXP(-LN(2)/25)*GM164+(1-EXP(-LN(2)/25))/(LN(2)/25)*Calculateur!GH165*Calculateur!GJ165*VLOOKUP('Données projet'!$B$17,Paramètres!$A$1:$I$89,3,0)*0.475*44/12</f>
        <v>0.23757870082197027</v>
      </c>
      <c r="GN165" s="21">
        <f>EXP(-LN(2)/2)*GN164+(1-EXP(-LN(2)/2))/(LN(2)/2)*GH165*GK165*VLOOKUP('Données projet'!$B$17,Paramètres!$A$1:$I$89,3,0)*0.475*44/12</f>
        <v>1.7427978483412078E-19</v>
      </c>
      <c r="GO165" s="21">
        <f t="shared" si="187"/>
        <v>0.23757870082197027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-5.3205440053716299E-14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215.23235148064941</v>
      </c>
      <c r="T166" s="59">
        <f t="shared" si="142"/>
        <v>184.07239726900434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0.22504304560095945</v>
      </c>
      <c r="AA166" s="21">
        <f>EXP(-LN(2)/25)*AA165+(1-EXP(-LN(2)/25))/(LN(2)/25)*Calculateur!V166*Calculateur!X166*VLOOKUP('Données projet'!$B$9,Paramètres!$A$1:$I$89,3,0)*0.475*44/12</f>
        <v>0.19664924588946858</v>
      </c>
      <c r="AB166" s="21">
        <f>EXP(-LN(2)/2)*AB165+(1-EXP(-LN(2)/2))/(LN(2)/2)*V166*Y166*VLOOKUP('Données projet'!$B$9,Paramètres!$A$1:$I$89,3,0)*0.475*44/12</f>
        <v>9.4222571680668456E-20</v>
      </c>
      <c r="AC166" s="22">
        <f t="shared" si="163"/>
        <v>0.42169229149042803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5.6843418860808015E-14</v>
      </c>
      <c r="AJ166" s="13">
        <f>AI166*VLOOKUP('Données projet'!$B$10,Paramètres!$A$1:$I$89,3,0)*VLOOKUP('Données projet'!$B$10,Paramètres!$A$1:$I$89,5,0)</f>
        <v>4.1677594708744434E-14</v>
      </c>
      <c r="AK166" s="13">
        <f t="shared" si="164"/>
        <v>6.9326303456159188E-13</v>
      </c>
      <c r="AL166" s="20">
        <f t="shared" si="165"/>
        <v>1.2800215959791691E-12</v>
      </c>
      <c r="AM166" s="59">
        <f t="shared" si="113"/>
        <v>293.33333333333462</v>
      </c>
      <c r="AN166" s="59">
        <f ca="1">AVERAGE(OFFSET($AM$3,0,0,'Données projet'!$E$10+1,1))-AVERAGE(OFFSET($H$3,0,0,'Données projet'!$E$10+1,1))</f>
        <v>178.12968684094687</v>
      </c>
      <c r="AO166" s="59">
        <f t="shared" si="144"/>
        <v>219.36004077210373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0.19246844293321272</v>
      </c>
      <c r="AW166" s="21">
        <f>EXP(-LN(2)/2)*AW165+(1-EXP(-LN(2)/2))/(LN(2)/2)*AQ166*AT166*VLOOKUP('Données projet'!$B$10,Paramètres!$A$1:$I$89,3,0)*0.475*44/12</f>
        <v>9.5040374015463006E-20</v>
      </c>
      <c r="AX166" s="21">
        <f t="shared" si="166"/>
        <v>0.19246844293321272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-5.6843418860808015E-14</v>
      </c>
      <c r="BE166" s="13">
        <f>BD166*VLOOKUP('Données projet'!$B$11,Paramètres!$A$1:$I$89,3,0)*VLOOKUP('Données projet'!$B$11,Paramètres!$A$1:$I$89,5,0)</f>
        <v>-4.9658410716801891E-14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114.02623091248347</v>
      </c>
      <c r="BJ166" s="59">
        <f t="shared" si="146"/>
        <v>185.51554083721635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0.1401238514168601</v>
      </c>
      <c r="BQ166" s="21">
        <f>EXP(-LN(2)/25)*BQ165+(1-EXP(-LN(2)/25))/(LN(2)/25)*Calculateur!BL166*Calculateur!BN166*VLOOKUP('Données projet'!$B$11,Paramètres!$A$1:$I$89,3,0)*0.475*44/12</f>
        <v>0.28177959698328708</v>
      </c>
      <c r="BR166" s="21">
        <f>EXP(-LN(2)/2)*BR165+(1-EXP(-LN(2)/2))/(LN(2)/2)*BL166*BO166*VLOOKUP('Données projet'!$B$11,Paramètres!$A$1:$I$89,3,0)*0.475*44/12</f>
        <v>1.6903863621284418E-19</v>
      </c>
      <c r="BS166" s="22">
        <f t="shared" si="169"/>
        <v>0.42190344840014715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-1.1368683772161603E-13</v>
      </c>
      <c r="BZ166" s="13">
        <f>BY166*VLOOKUP('Données projet'!$B$12,Paramètres!$A$1:$I$89,3,0)*VLOOKUP('Données projet'!$B$12,Paramètres!$A$1:$I$89,5,0)</f>
        <v>-1.0286385077051818E-13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237.22177246688199</v>
      </c>
      <c r="CE166" s="59">
        <f t="shared" si="148"/>
        <v>149.27472147904302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7.7752297238669749E-2</v>
      </c>
      <c r="CM166" s="21">
        <f>EXP(-LN(2)/2)*CM165+(1-EXP(-LN(2)/2))/(LN(2)/2)*CG166*CJ166*VLOOKUP('Données projet'!$B$12,Paramètres!$A$1:$I$89,3,0)*0.475*44/12</f>
        <v>5.9313039492240461E-20</v>
      </c>
      <c r="CN166" s="22">
        <f t="shared" si="172"/>
        <v>7.7752297238669749E-2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-5.6843418860808015E-13</v>
      </c>
      <c r="CU166" s="17">
        <f>CT166*VLOOKUP('Données projet'!$B$13,Paramètres!$A$1:$I$89,3,0)*VLOOKUP('Données projet'!$B$13,Paramètres!$A$1:$I$89,5,0)</f>
        <v>-3.177547114319168E-13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326.31232746914907</v>
      </c>
      <c r="CZ166" s="59">
        <f t="shared" si="150"/>
        <v>330.17137761430297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0.32794943948626865</v>
      </c>
      <c r="DG166" s="21">
        <f>EXP(-LN(2)/25)*DG165+(1-EXP(-LN(2)/25))/(LN(2)/25)*Calculateur!DB166*Calculateur!DD166*VLOOKUP('Données projet'!$B$13,Paramètres!$A$1:$I$89,3,0)*0.475*44/12</f>
        <v>0.75533249924980961</v>
      </c>
      <c r="DH166" s="21">
        <f>EXP(-LN(2)/2)*DH165+(1-EXP(-LN(2)/2))/(LN(2)/2)*DB166*DE166*VLOOKUP('Données projet'!$B$13,Paramètres!$A$1:$I$89,3,0)*0.475*44/12</f>
        <v>3.1166189996989548E-19</v>
      </c>
      <c r="DI166" s="22">
        <f t="shared" si="175"/>
        <v>1.0832819387360781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6.2527760746888816E-13</v>
      </c>
      <c r="DP166" s="17">
        <f>DO166*VLOOKUP('Données projet'!$B$14,Paramètres!$A$1:$I$89,3,0)*VLOOKUP('Données projet'!$B$14,Paramètres!$A$1:$I$89,5,0)</f>
        <v>3.9017322706058616E-13</v>
      </c>
      <c r="DQ166" s="13">
        <f t="shared" si="176"/>
        <v>5.0025007393608908E-12</v>
      </c>
      <c r="DR166" s="20">
        <f t="shared" si="177"/>
        <v>9.3922404915174053E-12</v>
      </c>
      <c r="DS166" s="59">
        <f t="shared" si="125"/>
        <v>293.33333333334269</v>
      </c>
      <c r="DT166" s="59">
        <f ca="1">AVERAGE(OFFSET($DS$3,0,0,'Données projet'!$E$14+1,1))-AVERAGE(OFFSET($H$3,0,0,'Données projet'!$E$14+1,1))</f>
        <v>209.93608079129638</v>
      </c>
      <c r="DU166" s="59">
        <f t="shared" si="152"/>
        <v>240.15652428700969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0.49920422078248061</v>
      </c>
      <c r="EB166" s="21">
        <f>EXP(-LN(2)/25)*EB165+(1-EXP(-LN(2)/25))/(LN(2)/25)*Calculateur!DW166*Calculateur!DY166*VLOOKUP('Données projet'!$B$14,Paramètres!$A$1:$I$89,3,0)*0.475*44/12</f>
        <v>0.52039272761459021</v>
      </c>
      <c r="EC166" s="21">
        <f>EXP(-LN(2)/2)*EC165+(1-EXP(-LN(2)/2))/(LN(2)/2)*DW166*DZ166*VLOOKUP('Données projet'!$B$14,Paramètres!$A$1:$I$89,3,0)*0.475*44/12</f>
        <v>1.9349027805821858E-19</v>
      </c>
      <c r="ED166" s="22">
        <f t="shared" si="178"/>
        <v>1.0195969483970708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-4.5474735088646412E-13</v>
      </c>
      <c r="EK166" s="17">
        <f>EJ166*VLOOKUP('Données projet'!$B$15,Paramètres!$A$1:$I$89,3,0)*VLOOKUP('Données projet'!$B$15,Paramètres!$A$1:$I$89,5,0)</f>
        <v>-2.7193891583010558E-13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216.94426559495264</v>
      </c>
      <c r="EP166" s="59">
        <f t="shared" si="154"/>
        <v>225.33715877618704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</v>
      </c>
      <c r="EW166" s="21">
        <f>EXP(-LN(2)/25)*EW165+(1-EXP(-LN(2)/25))/(LN(2)/25)*Calculateur!ER166*Calculateur!ET166*VLOOKUP('Données projet'!$B$15,Paramètres!$A$1:$I$89,3,0)*0.475*44/12</f>
        <v>0.32166118689367101</v>
      </c>
      <c r="EX166" s="21">
        <f>EXP(-LN(2)/2)*EX165+(1-EXP(-LN(2)/2))/(LN(2)/2)*ER166*EU166*VLOOKUP('Données projet'!$B$15,Paramètres!$A$1:$I$89,3,0)*0.475*44/12</f>
        <v>2.274004454789828E-19</v>
      </c>
      <c r="EY166" s="22">
        <f t="shared" si="181"/>
        <v>0.32166118689367101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>
        <f>FE166*VLOOKUP('Données projet'!$B$16,Paramètres!$A$1:$I$89,3,0)*VLOOKUP('Données projet'!$B$16,Paramètres!$A$1:$I$89,5,0)</f>
        <v>0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168.08890945052406</v>
      </c>
      <c r="FK166" s="59">
        <f t="shared" si="156"/>
        <v>182.52462557642343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0.44600110473127719</v>
      </c>
      <c r="FR166" s="21">
        <f>EXP(-LN(2)/25)*FR165+(1-EXP(-LN(2)/25))/(LN(2)/25)*Calculateur!FM166*Calculateur!FO166*VLOOKUP('Données projet'!$B$16,Paramètres!$A$1:$I$89,3,0)*0.475*44/12</f>
        <v>0.30868432300457155</v>
      </c>
      <c r="FS166" s="21">
        <f>EXP(-LN(2)/2)*FS165+(1-EXP(-LN(2)/2))/(LN(2)/2)*FM166*FP166*VLOOKUP('Données projet'!$B$16,Paramètres!$A$1:$I$89,3,0)*0.475*44/12</f>
        <v>5.2186526665317378E-20</v>
      </c>
      <c r="FT166" s="22">
        <f t="shared" si="184"/>
        <v>0.75468542773584879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-5.6843418860808015E-14</v>
      </c>
      <c r="GA166" s="17">
        <f>FZ166*VLOOKUP('Données projet'!$B$17,Paramètres!$A$1:$I$89,3,0)*VLOOKUP('Données projet'!$B$17,Paramètres!$A$1:$I$89,5,0)</f>
        <v>-3.2514435588382188E-14</v>
      </c>
      <c r="GB166" s="13" t="e">
        <f t="shared" si="185"/>
        <v>#NUM!</v>
      </c>
      <c r="GC166" s="20" t="e">
        <f t="shared" si="186"/>
        <v>#NUM!</v>
      </c>
      <c r="GD166" s="59" t="e">
        <f t="shared" si="134"/>
        <v>#NUM!</v>
      </c>
      <c r="GE166" s="59">
        <f ca="1">AVERAGE(OFFSET($GD$3,0,0,'Données projet'!$E$17+1,1))-AVERAGE(OFFSET($H$3,0,0,'Données projet'!$E$17+1,1))</f>
        <v>196.95560009657527</v>
      </c>
      <c r="GF166" s="59">
        <f t="shared" si="158"/>
        <v>168.90186968005662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0</v>
      </c>
      <c r="GM166" s="21">
        <f>EXP(-LN(2)/25)*GM165+(1-EXP(-LN(2)/25))/(LN(2)/25)*Calculateur!GH166*Calculateur!GJ166*VLOOKUP('Données projet'!$B$17,Paramètres!$A$1:$I$89,3,0)*0.475*44/12</f>
        <v>0.2310820987542726</v>
      </c>
      <c r="GN166" s="21">
        <f>EXP(-LN(2)/2)*GN165+(1-EXP(-LN(2)/2))/(LN(2)/2)*GH166*GK166*VLOOKUP('Données projet'!$B$17,Paramètres!$A$1:$I$89,3,0)*0.475*44/12</f>
        <v>1.2323441767993922E-19</v>
      </c>
      <c r="GO166" s="21">
        <f t="shared" si="187"/>
        <v>0.2310820987542726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-5.3205440053716299E-14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215.23235148064941</v>
      </c>
      <c r="T167" s="59">
        <f t="shared" si="142"/>
        <v>184.07239726900434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0.22063008873942888</v>
      </c>
      <c r="AA167" s="21">
        <f>EXP(-LN(2)/25)*AA166+(1-EXP(-LN(2)/25))/(LN(2)/25)*Calculateur!V167*Calculateur!X167*VLOOKUP('Données projet'!$B$9,Paramètres!$A$1:$I$89,3,0)*0.475*44/12</f>
        <v>0.19127186191928666</v>
      </c>
      <c r="AB167" s="21">
        <f>EXP(-LN(2)/2)*AB166+(1-EXP(-LN(2)/2))/(LN(2)/2)*V167*Y167*VLOOKUP('Données projet'!$B$9,Paramètres!$A$1:$I$89,3,0)*0.475*44/12</f>
        <v>6.6625419376236218E-20</v>
      </c>
      <c r="AC167" s="22">
        <f t="shared" si="163"/>
        <v>0.41190195065871554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5.6843418860808015E-14</v>
      </c>
      <c r="AJ167" s="13">
        <f>AI167*VLOOKUP('Données projet'!$B$10,Paramètres!$A$1:$I$89,3,0)*VLOOKUP('Données projet'!$B$10,Paramètres!$A$1:$I$89,5,0)</f>
        <v>4.1677594708744434E-14</v>
      </c>
      <c r="AK167" s="13">
        <f t="shared" si="164"/>
        <v>6.9326303456159188E-13</v>
      </c>
      <c r="AL167" s="20">
        <f t="shared" si="165"/>
        <v>1.2800215959791691E-12</v>
      </c>
      <c r="AM167" s="59">
        <f t="shared" si="113"/>
        <v>293.33333333333462</v>
      </c>
      <c r="AN167" s="59">
        <f ca="1">AVERAGE(OFFSET($AM$3,0,0,'Données projet'!$E$10+1,1))-AVERAGE(OFFSET($H$3,0,0,'Données projet'!$E$10+1,1))</f>
        <v>178.12968684094687</v>
      </c>
      <c r="AO167" s="59">
        <f t="shared" si="144"/>
        <v>219.36004077210373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0.18720538323972849</v>
      </c>
      <c r="AW167" s="21">
        <f>EXP(-LN(2)/2)*AW166+(1-EXP(-LN(2)/2))/(LN(2)/2)*AQ167*AT167*VLOOKUP('Données projet'!$B$10,Paramètres!$A$1:$I$89,3,0)*0.475*44/12</f>
        <v>6.7203692952839636E-20</v>
      </c>
      <c r="AX167" s="21">
        <f t="shared" si="166"/>
        <v>0.18720538323972849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-5.6843418860808015E-14</v>
      </c>
      <c r="BE167" s="13">
        <f>BD167*VLOOKUP('Données projet'!$B$11,Paramètres!$A$1:$I$89,3,0)*VLOOKUP('Données projet'!$B$11,Paramètres!$A$1:$I$89,5,0)</f>
        <v>-4.9658410716801891E-14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114.02623091248347</v>
      </c>
      <c r="BJ167" s="59">
        <f t="shared" si="146"/>
        <v>185.51554083721635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0.13737610815768567</v>
      </c>
      <c r="BQ167" s="21">
        <f>EXP(-LN(2)/25)*BQ166+(1-EXP(-LN(2)/25))/(LN(2)/25)*Calculateur!BL167*Calculateur!BN167*VLOOKUP('Données projet'!$B$11,Paramètres!$A$1:$I$89,3,0)*0.475*44/12</f>
        <v>0.27407431908563412</v>
      </c>
      <c r="BR167" s="21">
        <f>EXP(-LN(2)/2)*BR166+(1-EXP(-LN(2)/2))/(LN(2)/2)*BL167*BO167*VLOOKUP('Données projet'!$B$11,Paramètres!$A$1:$I$89,3,0)*0.475*44/12</f>
        <v>1.1952836594862801E-19</v>
      </c>
      <c r="BS167" s="22">
        <f t="shared" si="169"/>
        <v>0.41145042724331982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-1.1368683772161603E-13</v>
      </c>
      <c r="BZ167" s="13">
        <f>BY167*VLOOKUP('Données projet'!$B$12,Paramètres!$A$1:$I$89,3,0)*VLOOKUP('Données projet'!$B$12,Paramètres!$A$1:$I$89,5,0)</f>
        <v>-1.0286385077051818E-13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237.22177246688199</v>
      </c>
      <c r="CE167" s="59">
        <f t="shared" si="148"/>
        <v>149.27472147904302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7.5626156581862725E-2</v>
      </c>
      <c r="CM167" s="21">
        <f>EXP(-LN(2)/2)*CM166+(1-EXP(-LN(2)/2))/(LN(2)/2)*CG167*CJ167*VLOOKUP('Données projet'!$B$12,Paramètres!$A$1:$I$89,3,0)*0.475*44/12</f>
        <v>4.1940652437748728E-20</v>
      </c>
      <c r="CN167" s="22">
        <f t="shared" si="172"/>
        <v>7.5626156581862725E-2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-5.6843418860808015E-13</v>
      </c>
      <c r="CU167" s="17">
        <f>CT167*VLOOKUP('Données projet'!$B$13,Paramètres!$A$1:$I$89,3,0)*VLOOKUP('Données projet'!$B$13,Paramètres!$A$1:$I$89,5,0)</f>
        <v>-3.177547114319168E-13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326.31232746914907</v>
      </c>
      <c r="CZ167" s="59">
        <f t="shared" si="150"/>
        <v>330.17137761430297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0.32151855100734972</v>
      </c>
      <c r="DG167" s="21">
        <f>EXP(-LN(2)/25)*DG166+(1-EXP(-LN(2)/25))/(LN(2)/25)*Calculateur!DB167*Calculateur!DD167*VLOOKUP('Données projet'!$B$13,Paramètres!$A$1:$I$89,3,0)*0.475*44/12</f>
        <v>0.73467789233661374</v>
      </c>
      <c r="DH167" s="21">
        <f>EXP(-LN(2)/2)*DH166+(1-EXP(-LN(2)/2))/(LN(2)/2)*DB167*DE167*VLOOKUP('Données projet'!$B$13,Paramètres!$A$1:$I$89,3,0)*0.475*44/12</f>
        <v>2.2037824290619655E-19</v>
      </c>
      <c r="DI167" s="22">
        <f t="shared" si="175"/>
        <v>1.0561964433439635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6.2527760746888816E-13</v>
      </c>
      <c r="DP167" s="17">
        <f>DO167*VLOOKUP('Données projet'!$B$14,Paramètres!$A$1:$I$89,3,0)*VLOOKUP('Données projet'!$B$14,Paramètres!$A$1:$I$89,5,0)</f>
        <v>3.9017322706058616E-13</v>
      </c>
      <c r="DQ167" s="13">
        <f t="shared" si="176"/>
        <v>5.0025007393608908E-12</v>
      </c>
      <c r="DR167" s="20">
        <f t="shared" si="177"/>
        <v>9.3922404915174053E-12</v>
      </c>
      <c r="DS167" s="59">
        <f t="shared" si="125"/>
        <v>293.33333333334269</v>
      </c>
      <c r="DT167" s="59">
        <f ca="1">AVERAGE(OFFSET($DS$3,0,0,'Données projet'!$E$14+1,1))-AVERAGE(OFFSET($H$3,0,0,'Données projet'!$E$14+1,1))</f>
        <v>209.93608079129638</v>
      </c>
      <c r="DU167" s="59">
        <f t="shared" si="152"/>
        <v>240.15652428700969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0.48941513049744551</v>
      </c>
      <c r="EB167" s="21">
        <f>EXP(-LN(2)/25)*EB166+(1-EXP(-LN(2)/25))/(LN(2)/25)*Calculateur!DW167*Calculateur!DY167*VLOOKUP('Données projet'!$B$14,Paramètres!$A$1:$I$89,3,0)*0.475*44/12</f>
        <v>0.5061625611117051</v>
      </c>
      <c r="EC167" s="21">
        <f>EXP(-LN(2)/2)*EC166+(1-EXP(-LN(2)/2))/(LN(2)/2)*DW167*DZ167*VLOOKUP('Données projet'!$B$14,Paramètres!$A$1:$I$89,3,0)*0.475*44/12</f>
        <v>1.36818287708637E-19</v>
      </c>
      <c r="ED167" s="22">
        <f t="shared" si="178"/>
        <v>0.99557769160915055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-4.5474735088646412E-13</v>
      </c>
      <c r="EK167" s="17">
        <f>EJ167*VLOOKUP('Données projet'!$B$15,Paramètres!$A$1:$I$89,3,0)*VLOOKUP('Données projet'!$B$15,Paramètres!$A$1:$I$89,5,0)</f>
        <v>-2.7193891583010558E-13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216.94426559495264</v>
      </c>
      <c r="EP167" s="59">
        <f t="shared" si="154"/>
        <v>225.33715877618704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</v>
      </c>
      <c r="EW167" s="21">
        <f>EXP(-LN(2)/25)*EW166+(1-EXP(-LN(2)/25))/(LN(2)/25)*Calculateur!ER167*Calculateur!ET167*VLOOKUP('Données projet'!$B$15,Paramètres!$A$1:$I$89,3,0)*0.475*44/12</f>
        <v>0.31286534482263695</v>
      </c>
      <c r="EX167" s="21">
        <f>EXP(-LN(2)/2)*EX166+(1-EXP(-LN(2)/2))/(LN(2)/2)*ER167*EU167*VLOOKUP('Données projet'!$B$15,Paramètres!$A$1:$I$89,3,0)*0.475*44/12</f>
        <v>1.6079639704303053E-19</v>
      </c>
      <c r="EY167" s="22">
        <f t="shared" si="181"/>
        <v>0.31286534482263695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>
        <f>FE167*VLOOKUP('Données projet'!$B$16,Paramètres!$A$1:$I$89,3,0)*VLOOKUP('Données projet'!$B$16,Paramètres!$A$1:$I$89,5,0)</f>
        <v>0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168.08890945052406</v>
      </c>
      <c r="FK167" s="59">
        <f t="shared" si="156"/>
        <v>182.52462557642343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0.43725529510130962</v>
      </c>
      <c r="FR167" s="21">
        <f>EXP(-LN(2)/25)*FR166+(1-EXP(-LN(2)/25))/(LN(2)/25)*Calculateur!FM167*Calculateur!FO167*VLOOKUP('Données projet'!$B$16,Paramètres!$A$1:$I$89,3,0)*0.475*44/12</f>
        <v>0.30024333395900848</v>
      </c>
      <c r="FS167" s="21">
        <f>EXP(-LN(2)/2)*FS166+(1-EXP(-LN(2)/2))/(LN(2)/2)*FM167*FP167*VLOOKUP('Données projet'!$B$16,Paramètres!$A$1:$I$89,3,0)*0.475*44/12</f>
        <v>3.6901446891618503E-20</v>
      </c>
      <c r="FT167" s="22">
        <f t="shared" si="184"/>
        <v>0.73749862906031804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-5.6843418860808015E-14</v>
      </c>
      <c r="GA167" s="17">
        <f>FZ167*VLOOKUP('Données projet'!$B$17,Paramètres!$A$1:$I$89,3,0)*VLOOKUP('Données projet'!$B$17,Paramètres!$A$1:$I$89,5,0)</f>
        <v>-3.2514435588382188E-14</v>
      </c>
      <c r="GB167" s="13" t="e">
        <f t="shared" si="185"/>
        <v>#NUM!</v>
      </c>
      <c r="GC167" s="20" t="e">
        <f t="shared" si="186"/>
        <v>#NUM!</v>
      </c>
      <c r="GD167" s="59" t="e">
        <f t="shared" si="134"/>
        <v>#NUM!</v>
      </c>
      <c r="GE167" s="59">
        <f ca="1">AVERAGE(OFFSET($GD$3,0,0,'Données projet'!$E$17+1,1))-AVERAGE(OFFSET($H$3,0,0,'Données projet'!$E$17+1,1))</f>
        <v>196.95560009657527</v>
      </c>
      <c r="GF167" s="59">
        <f t="shared" si="158"/>
        <v>168.90186968005662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0</v>
      </c>
      <c r="GM167" s="21">
        <f>EXP(-LN(2)/25)*GM166+(1-EXP(-LN(2)/25))/(LN(2)/25)*Calculateur!GH167*Calculateur!GJ167*VLOOKUP('Données projet'!$B$17,Paramètres!$A$1:$I$89,3,0)*0.475*44/12</f>
        <v>0.22476314661175759</v>
      </c>
      <c r="GN167" s="21">
        <f>EXP(-LN(2)/2)*GN166+(1-EXP(-LN(2)/2))/(LN(2)/2)*GH167*GK167*VLOOKUP('Données projet'!$B$17,Paramètres!$A$1:$I$89,3,0)*0.475*44/12</f>
        <v>8.7139892417060388E-20</v>
      </c>
      <c r="GO167" s="21">
        <f t="shared" si="187"/>
        <v>0.22476314661175759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-5.3205440053716299E-14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215.23235148064941</v>
      </c>
      <c r="T168" s="59">
        <f t="shared" si="142"/>
        <v>184.07239726900434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0.21630366727031503</v>
      </c>
      <c r="AA168" s="21">
        <f>EXP(-LN(2)/25)*AA167+(1-EXP(-LN(2)/25))/(LN(2)/25)*Calculateur!V168*Calculateur!X168*VLOOKUP('Données projet'!$B$9,Paramètres!$A$1:$I$89,3,0)*0.475*44/12</f>
        <v>0.1860415227965537</v>
      </c>
      <c r="AB168" s="21">
        <f>EXP(-LN(2)/2)*AB167+(1-EXP(-LN(2)/2))/(LN(2)/2)*V168*Y168*VLOOKUP('Données projet'!$B$9,Paramètres!$A$1:$I$89,3,0)*0.475*44/12</f>
        <v>4.7111285840334228E-20</v>
      </c>
      <c r="AC168" s="22">
        <f t="shared" si="163"/>
        <v>0.40234519006686875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5.6843418860808015E-14</v>
      </c>
      <c r="AJ168" s="13">
        <f>AI168*VLOOKUP('Données projet'!$B$10,Paramètres!$A$1:$I$89,3,0)*VLOOKUP('Données projet'!$B$10,Paramètres!$A$1:$I$89,5,0)</f>
        <v>4.1677594708744434E-14</v>
      </c>
      <c r="AK168" s="13">
        <f t="shared" si="164"/>
        <v>6.9326303456159188E-13</v>
      </c>
      <c r="AL168" s="20">
        <f t="shared" si="165"/>
        <v>1.2800215959791691E-12</v>
      </c>
      <c r="AM168" s="59">
        <f t="shared" si="113"/>
        <v>293.33333333333462</v>
      </c>
      <c r="AN168" s="59">
        <f ca="1">AVERAGE(OFFSET($AM$3,0,0,'Données projet'!$E$10+1,1))-AVERAGE(OFFSET($H$3,0,0,'Données projet'!$E$10+1,1))</f>
        <v>178.12968684094687</v>
      </c>
      <c r="AO168" s="59">
        <f t="shared" si="144"/>
        <v>219.36004077210373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0.18208624219033487</v>
      </c>
      <c r="AW168" s="21">
        <f>EXP(-LN(2)/2)*AW167+(1-EXP(-LN(2)/2))/(LN(2)/2)*AQ168*AT168*VLOOKUP('Données projet'!$B$10,Paramètres!$A$1:$I$89,3,0)*0.475*44/12</f>
        <v>4.7520187007731503E-20</v>
      </c>
      <c r="AX168" s="21">
        <f t="shared" si="166"/>
        <v>0.18208624219033487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-5.6843418860808015E-14</v>
      </c>
      <c r="BE168" s="13">
        <f>BD168*VLOOKUP('Données projet'!$B$11,Paramètres!$A$1:$I$89,3,0)*VLOOKUP('Données projet'!$B$11,Paramètres!$A$1:$I$89,5,0)</f>
        <v>-4.9658410716801891E-14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114.02623091248347</v>
      </c>
      <c r="BJ168" s="59">
        <f t="shared" si="146"/>
        <v>185.51554083721635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0.13468224646786575</v>
      </c>
      <c r="BQ168" s="21">
        <f>EXP(-LN(2)/25)*BQ167+(1-EXP(-LN(2)/25))/(LN(2)/25)*Calculateur!BL168*Calculateur!BN168*VLOOKUP('Données projet'!$B$11,Paramètres!$A$1:$I$89,3,0)*0.475*44/12</f>
        <v>0.26657974241729543</v>
      </c>
      <c r="BR168" s="21">
        <f>EXP(-LN(2)/2)*BR167+(1-EXP(-LN(2)/2))/(LN(2)/2)*BL168*BO168*VLOOKUP('Données projet'!$B$11,Paramètres!$A$1:$I$89,3,0)*0.475*44/12</f>
        <v>8.4519318106422089E-20</v>
      </c>
      <c r="BS168" s="22">
        <f t="shared" si="169"/>
        <v>0.40126198888516118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-1.1368683772161603E-13</v>
      </c>
      <c r="BZ168" s="13">
        <f>BY168*VLOOKUP('Données projet'!$B$12,Paramètres!$A$1:$I$89,3,0)*VLOOKUP('Données projet'!$B$12,Paramètres!$A$1:$I$89,5,0)</f>
        <v>-1.0286385077051818E-13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237.22177246688199</v>
      </c>
      <c r="CE168" s="59">
        <f t="shared" si="148"/>
        <v>149.27472147904302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7.355815535312496E-2</v>
      </c>
      <c r="CM168" s="21">
        <f>EXP(-LN(2)/2)*CM167+(1-EXP(-LN(2)/2))/(LN(2)/2)*CG168*CJ168*VLOOKUP('Données projet'!$B$12,Paramètres!$A$1:$I$89,3,0)*0.475*44/12</f>
        <v>2.965651974612023E-20</v>
      </c>
      <c r="CN168" s="22">
        <f t="shared" si="172"/>
        <v>7.355815535312496E-2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-5.6843418860808015E-13</v>
      </c>
      <c r="CU168" s="17">
        <f>CT168*VLOOKUP('Données projet'!$B$13,Paramètres!$A$1:$I$89,3,0)*VLOOKUP('Données projet'!$B$13,Paramètres!$A$1:$I$89,5,0)</f>
        <v>-3.177547114319168E-13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326.31232746914907</v>
      </c>
      <c r="CZ168" s="59">
        <f t="shared" si="150"/>
        <v>330.17137761430297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0.31521376832904774</v>
      </c>
      <c r="DG168" s="21">
        <f>EXP(-LN(2)/25)*DG167+(1-EXP(-LN(2)/25))/(LN(2)/25)*Calculateur!DB168*Calculateur!DD168*VLOOKUP('Données projet'!$B$13,Paramètres!$A$1:$I$89,3,0)*0.475*44/12</f>
        <v>0.71458808673563778</v>
      </c>
      <c r="DH168" s="21">
        <f>EXP(-LN(2)/2)*DH167+(1-EXP(-LN(2)/2))/(LN(2)/2)*DB168*DE168*VLOOKUP('Données projet'!$B$13,Paramètres!$A$1:$I$89,3,0)*0.475*44/12</f>
        <v>1.5583094998494774E-19</v>
      </c>
      <c r="DI168" s="22">
        <f t="shared" si="175"/>
        <v>1.0298018550646855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6.2527760746888816E-13</v>
      </c>
      <c r="DP168" s="17">
        <f>DO168*VLOOKUP('Données projet'!$B$14,Paramètres!$A$1:$I$89,3,0)*VLOOKUP('Données projet'!$B$14,Paramètres!$A$1:$I$89,5,0)</f>
        <v>3.9017322706058616E-13</v>
      </c>
      <c r="DQ168" s="13">
        <f t="shared" si="176"/>
        <v>5.0025007393608908E-12</v>
      </c>
      <c r="DR168" s="20">
        <f t="shared" si="177"/>
        <v>9.3922404915174053E-12</v>
      </c>
      <c r="DS168" s="59">
        <f t="shared" si="125"/>
        <v>293.33333333334269</v>
      </c>
      <c r="DT168" s="59">
        <f ca="1">AVERAGE(OFFSET($DS$3,0,0,'Données projet'!$E$14+1,1))-AVERAGE(OFFSET($H$3,0,0,'Données projet'!$E$14+1,1))</f>
        <v>209.93608079129638</v>
      </c>
      <c r="DU168" s="59">
        <f t="shared" si="152"/>
        <v>240.15652428700969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0.47981799830214444</v>
      </c>
      <c r="EB168" s="21">
        <f>EXP(-LN(2)/25)*EB167+(1-EXP(-LN(2)/25))/(LN(2)/25)*Calculateur!DW168*Calculateur!DY168*VLOOKUP('Données projet'!$B$14,Paramètres!$A$1:$I$89,3,0)*0.475*44/12</f>
        <v>0.49232151926017331</v>
      </c>
      <c r="EC168" s="21">
        <f>EXP(-LN(2)/2)*EC167+(1-EXP(-LN(2)/2))/(LN(2)/2)*DW168*DZ168*VLOOKUP('Données projet'!$B$14,Paramètres!$A$1:$I$89,3,0)*0.475*44/12</f>
        <v>9.674513902910929E-20</v>
      </c>
      <c r="ED168" s="22">
        <f t="shared" si="178"/>
        <v>0.97213951756231776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-4.5474735088646412E-13</v>
      </c>
      <c r="EK168" s="17">
        <f>EJ168*VLOOKUP('Données projet'!$B$15,Paramètres!$A$1:$I$89,3,0)*VLOOKUP('Données projet'!$B$15,Paramètres!$A$1:$I$89,5,0)</f>
        <v>-2.7193891583010558E-13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216.94426559495264</v>
      </c>
      <c r="EP168" s="59">
        <f t="shared" si="154"/>
        <v>225.33715877618704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</v>
      </c>
      <c r="EW168" s="21">
        <f>EXP(-LN(2)/25)*EW167+(1-EXP(-LN(2)/25))/(LN(2)/25)*Calculateur!ER168*Calculateur!ET168*VLOOKUP('Données projet'!$B$15,Paramètres!$A$1:$I$89,3,0)*0.475*44/12</f>
        <v>0.3043100255155885</v>
      </c>
      <c r="EX168" s="21">
        <f>EXP(-LN(2)/2)*EX167+(1-EXP(-LN(2)/2))/(LN(2)/2)*ER168*EU168*VLOOKUP('Données projet'!$B$15,Paramètres!$A$1:$I$89,3,0)*0.475*44/12</f>
        <v>1.137002227394914E-19</v>
      </c>
      <c r="EY168" s="22">
        <f t="shared" si="181"/>
        <v>0.3043100255155885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>
        <f>FE168*VLOOKUP('Données projet'!$B$16,Paramètres!$A$1:$I$89,3,0)*VLOOKUP('Données projet'!$B$16,Paramètres!$A$1:$I$89,5,0)</f>
        <v>0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168.08890945052406</v>
      </c>
      <c r="FK168" s="59">
        <f t="shared" si="156"/>
        <v>182.52462557642343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0.42868098546376859</v>
      </c>
      <c r="FR168" s="21">
        <f>EXP(-LN(2)/25)*FR167+(1-EXP(-LN(2)/25))/(LN(2)/25)*Calculateur!FM168*Calculateur!FO168*VLOOKUP('Données projet'!$B$16,Paramètres!$A$1:$I$89,3,0)*0.475*44/12</f>
        <v>0.29203316420278869</v>
      </c>
      <c r="FS168" s="21">
        <f>EXP(-LN(2)/2)*FS167+(1-EXP(-LN(2)/2))/(LN(2)/2)*FM168*FP168*VLOOKUP('Données projet'!$B$16,Paramètres!$A$1:$I$89,3,0)*0.475*44/12</f>
        <v>2.6093263332658689E-20</v>
      </c>
      <c r="FT168" s="22">
        <f t="shared" si="184"/>
        <v>0.72071414966655722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-5.6843418860808015E-14</v>
      </c>
      <c r="GA168" s="17">
        <f>FZ168*VLOOKUP('Données projet'!$B$17,Paramètres!$A$1:$I$89,3,0)*VLOOKUP('Données projet'!$B$17,Paramètres!$A$1:$I$89,5,0)</f>
        <v>-3.2514435588382188E-14</v>
      </c>
      <c r="GB168" s="13" t="e">
        <f t="shared" si="185"/>
        <v>#NUM!</v>
      </c>
      <c r="GC168" s="20" t="e">
        <f t="shared" si="186"/>
        <v>#NUM!</v>
      </c>
      <c r="GD168" s="59" t="e">
        <f t="shared" si="134"/>
        <v>#NUM!</v>
      </c>
      <c r="GE168" s="59">
        <f ca="1">AVERAGE(OFFSET($GD$3,0,0,'Données projet'!$E$17+1,1))-AVERAGE(OFFSET($H$3,0,0,'Données projet'!$E$17+1,1))</f>
        <v>196.95560009657527</v>
      </c>
      <c r="GF168" s="59">
        <f t="shared" si="158"/>
        <v>168.90186968005662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0</v>
      </c>
      <c r="GM168" s="21">
        <f>EXP(-LN(2)/25)*GM167+(1-EXP(-LN(2)/25))/(LN(2)/25)*Calculateur!GH168*Calculateur!GJ168*VLOOKUP('Données projet'!$B$17,Paramètres!$A$1:$I$89,3,0)*0.475*44/12</f>
        <v>0.21861698654787889</v>
      </c>
      <c r="GN168" s="21">
        <f>EXP(-LN(2)/2)*GN167+(1-EXP(-LN(2)/2))/(LN(2)/2)*GH168*GK168*VLOOKUP('Données projet'!$B$17,Paramètres!$A$1:$I$89,3,0)*0.475*44/12</f>
        <v>6.1617208839969612E-20</v>
      </c>
      <c r="GO168" s="21">
        <f t="shared" si="187"/>
        <v>0.21861698654787889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-5.3205440053716299E-14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215.23235148064941</v>
      </c>
      <c r="T169" s="59">
        <f t="shared" si="142"/>
        <v>184.07239726900434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0.21206208428735396</v>
      </c>
      <c r="AA169" s="21">
        <f>EXP(-LN(2)/25)*AA168+(1-EXP(-LN(2)/25))/(LN(2)/25)*Calculateur!V169*Calculateur!X169*VLOOKUP('Données projet'!$B$9,Paramètres!$A$1:$I$89,3,0)*0.475*44/12</f>
        <v>0.18095420757218345</v>
      </c>
      <c r="AB169" s="21">
        <f>EXP(-LN(2)/2)*AB168+(1-EXP(-LN(2)/2))/(LN(2)/2)*V169*Y169*VLOOKUP('Données projet'!$B$9,Paramètres!$A$1:$I$89,3,0)*0.475*44/12</f>
        <v>3.3312709688118109E-20</v>
      </c>
      <c r="AC169" s="22">
        <f t="shared" si="163"/>
        <v>0.3930162918595374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5.6843418860808015E-14</v>
      </c>
      <c r="AJ169" s="13">
        <f>AI169*VLOOKUP('Données projet'!$B$10,Paramètres!$A$1:$I$89,3,0)*VLOOKUP('Données projet'!$B$10,Paramètres!$A$1:$I$89,5,0)</f>
        <v>4.1677594708744434E-14</v>
      </c>
      <c r="AK169" s="13">
        <f t="shared" si="164"/>
        <v>6.9326303456159188E-13</v>
      </c>
      <c r="AL169" s="20">
        <f t="shared" si="165"/>
        <v>1.2800215959791691E-12</v>
      </c>
      <c r="AM169" s="59">
        <f t="shared" si="113"/>
        <v>293.33333333333462</v>
      </c>
      <c r="AN169" s="59">
        <f ca="1">AVERAGE(OFFSET($AM$3,0,0,'Données projet'!$E$10+1,1))-AVERAGE(OFFSET($H$3,0,0,'Données projet'!$E$10+1,1))</f>
        <v>178.12968684094687</v>
      </c>
      <c r="AO169" s="59">
        <f t="shared" si="144"/>
        <v>219.36004077210373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0.17710708432214084</v>
      </c>
      <c r="AW169" s="21">
        <f>EXP(-LN(2)/2)*AW168+(1-EXP(-LN(2)/2))/(LN(2)/2)*AQ169*AT169*VLOOKUP('Données projet'!$B$10,Paramètres!$A$1:$I$89,3,0)*0.475*44/12</f>
        <v>3.3601846476419818E-20</v>
      </c>
      <c r="AX169" s="21">
        <f t="shared" si="166"/>
        <v>0.17710708432214084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-5.6843418860808015E-14</v>
      </c>
      <c r="BE169" s="13">
        <f>BD169*VLOOKUP('Données projet'!$B$11,Paramètres!$A$1:$I$89,3,0)*VLOOKUP('Données projet'!$B$11,Paramètres!$A$1:$I$89,5,0)</f>
        <v>-4.9658410716801891E-14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114.02623091248347</v>
      </c>
      <c r="BJ169" s="59">
        <f t="shared" si="146"/>
        <v>185.51554083721635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0.13204120976268979</v>
      </c>
      <c r="BQ169" s="21">
        <f>EXP(-LN(2)/25)*BQ168+(1-EXP(-LN(2)/25))/(LN(2)/25)*Calculateur!BL169*Calculateur!BN169*VLOOKUP('Données projet'!$B$11,Paramètres!$A$1:$I$89,3,0)*0.475*44/12</f>
        <v>0.25929010534207508</v>
      </c>
      <c r="BR169" s="21">
        <f>EXP(-LN(2)/2)*BR168+(1-EXP(-LN(2)/2))/(LN(2)/2)*BL169*BO169*VLOOKUP('Données projet'!$B$11,Paramètres!$A$1:$I$89,3,0)*0.475*44/12</f>
        <v>5.9764182974314007E-20</v>
      </c>
      <c r="BS169" s="22">
        <f t="shared" si="169"/>
        <v>0.39133131510476488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-1.1368683772161603E-13</v>
      </c>
      <c r="BZ169" s="13">
        <f>BY169*VLOOKUP('Données projet'!$B$12,Paramètres!$A$1:$I$89,3,0)*VLOOKUP('Données projet'!$B$12,Paramètres!$A$1:$I$89,5,0)</f>
        <v>-1.0286385077051818E-13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237.22177246688199</v>
      </c>
      <c r="CE169" s="59">
        <f t="shared" si="148"/>
        <v>149.27472147904302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7.1546703726738492E-2</v>
      </c>
      <c r="CM169" s="21">
        <f>EXP(-LN(2)/2)*CM168+(1-EXP(-LN(2)/2))/(LN(2)/2)*CG169*CJ169*VLOOKUP('Données projet'!$B$12,Paramètres!$A$1:$I$89,3,0)*0.475*44/12</f>
        <v>2.0970326218874364E-20</v>
      </c>
      <c r="CN169" s="22">
        <f t="shared" si="172"/>
        <v>7.1546703726738492E-2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-5.6843418860808015E-13</v>
      </c>
      <c r="CU169" s="17">
        <f>CT169*VLOOKUP('Données projet'!$B$13,Paramètres!$A$1:$I$89,3,0)*VLOOKUP('Données projet'!$B$13,Paramètres!$A$1:$I$89,5,0)</f>
        <v>-3.177547114319168E-13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326.31232746914907</v>
      </c>
      <c r="CZ169" s="59">
        <f t="shared" si="150"/>
        <v>330.17137761430297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0.30903261859352954</v>
      </c>
      <c r="DG169" s="21">
        <f>EXP(-LN(2)/25)*DG168+(1-EXP(-LN(2)/25))/(LN(2)/25)*Calculateur!DB169*Calculateur!DD169*VLOOKUP('Données projet'!$B$13,Paramètres!$A$1:$I$89,3,0)*0.475*44/12</f>
        <v>0.69504763792529745</v>
      </c>
      <c r="DH169" s="21">
        <f>EXP(-LN(2)/2)*DH168+(1-EXP(-LN(2)/2))/(LN(2)/2)*DB169*DE169*VLOOKUP('Données projet'!$B$13,Paramètres!$A$1:$I$89,3,0)*0.475*44/12</f>
        <v>1.1018912145309827E-19</v>
      </c>
      <c r="DI169" s="22">
        <f t="shared" si="175"/>
        <v>1.0040802565188269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6.2527760746888816E-13</v>
      </c>
      <c r="DP169" s="17">
        <f>DO169*VLOOKUP('Données projet'!$B$14,Paramètres!$A$1:$I$89,3,0)*VLOOKUP('Données projet'!$B$14,Paramètres!$A$1:$I$89,5,0)</f>
        <v>3.9017322706058616E-13</v>
      </c>
      <c r="DQ169" s="13">
        <f t="shared" si="176"/>
        <v>5.0025007393608908E-12</v>
      </c>
      <c r="DR169" s="20">
        <f t="shared" si="177"/>
        <v>9.3922404915174053E-12</v>
      </c>
      <c r="DS169" s="59">
        <f t="shared" si="125"/>
        <v>293.33333333334269</v>
      </c>
      <c r="DT169" s="59">
        <f ca="1">AVERAGE(OFFSET($DS$3,0,0,'Données projet'!$E$14+1,1))-AVERAGE(OFFSET($H$3,0,0,'Données projet'!$E$14+1,1))</f>
        <v>209.93608079129638</v>
      </c>
      <c r="DU169" s="59">
        <f t="shared" si="152"/>
        <v>240.15652428700969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0.47040906001552057</v>
      </c>
      <c r="EB169" s="21">
        <f>EXP(-LN(2)/25)*EB168+(1-EXP(-LN(2)/25))/(LN(2)/25)*Calculateur!DW169*Calculateur!DY169*VLOOKUP('Données projet'!$B$14,Paramètres!$A$1:$I$89,3,0)*0.475*44/12</f>
        <v>0.47885896142594037</v>
      </c>
      <c r="EC169" s="21">
        <f>EXP(-LN(2)/2)*EC168+(1-EXP(-LN(2)/2))/(LN(2)/2)*DW169*DZ169*VLOOKUP('Données projet'!$B$14,Paramètres!$A$1:$I$89,3,0)*0.475*44/12</f>
        <v>6.8409143854318501E-20</v>
      </c>
      <c r="ED169" s="22">
        <f t="shared" si="178"/>
        <v>0.94926802144146094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-4.5474735088646412E-13</v>
      </c>
      <c r="EK169" s="17">
        <f>EJ169*VLOOKUP('Données projet'!$B$15,Paramètres!$A$1:$I$89,3,0)*VLOOKUP('Données projet'!$B$15,Paramètres!$A$1:$I$89,5,0)</f>
        <v>-2.7193891583010558E-13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216.94426559495264</v>
      </c>
      <c r="EP169" s="59">
        <f t="shared" si="154"/>
        <v>225.33715877618704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</v>
      </c>
      <c r="EW169" s="21">
        <f>EXP(-LN(2)/25)*EW168+(1-EXP(-LN(2)/25))/(LN(2)/25)*Calculateur!ER169*Calculateur!ET169*VLOOKUP('Données projet'!$B$15,Paramètres!$A$1:$I$89,3,0)*0.475*44/12</f>
        <v>0.29598865186489598</v>
      </c>
      <c r="EX169" s="21">
        <f>EXP(-LN(2)/2)*EX168+(1-EXP(-LN(2)/2))/(LN(2)/2)*ER169*EU169*VLOOKUP('Données projet'!$B$15,Paramètres!$A$1:$I$89,3,0)*0.475*44/12</f>
        <v>8.0398198521515263E-20</v>
      </c>
      <c r="EY169" s="22">
        <f t="shared" si="181"/>
        <v>0.29598865186489598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>
        <f>FE169*VLOOKUP('Données projet'!$B$16,Paramètres!$A$1:$I$89,3,0)*VLOOKUP('Données projet'!$B$16,Paramètres!$A$1:$I$89,5,0)</f>
        <v>0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168.08890945052406</v>
      </c>
      <c r="FK169" s="59">
        <f t="shared" si="156"/>
        <v>182.52462557642343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0.42027481280840723</v>
      </c>
      <c r="FR169" s="21">
        <f>EXP(-LN(2)/25)*FR168+(1-EXP(-LN(2)/25))/(LN(2)/25)*Calculateur!FM169*Calculateur!FO169*VLOOKUP('Données projet'!$B$16,Paramètres!$A$1:$I$89,3,0)*0.475*44/12</f>
        <v>0.28404750197030676</v>
      </c>
      <c r="FS169" s="21">
        <f>EXP(-LN(2)/2)*FS168+(1-EXP(-LN(2)/2))/(LN(2)/2)*FM169*FP169*VLOOKUP('Données projet'!$B$16,Paramètres!$A$1:$I$89,3,0)*0.475*44/12</f>
        <v>1.8450723445809251E-20</v>
      </c>
      <c r="FT169" s="22">
        <f t="shared" si="184"/>
        <v>0.70432231477871399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-5.6843418860808015E-14</v>
      </c>
      <c r="GA169" s="17">
        <f>FZ169*VLOOKUP('Données projet'!$B$17,Paramètres!$A$1:$I$89,3,0)*VLOOKUP('Données projet'!$B$17,Paramètres!$A$1:$I$89,5,0)</f>
        <v>-3.2514435588382188E-14</v>
      </c>
      <c r="GB169" s="13" t="e">
        <f t="shared" si="185"/>
        <v>#NUM!</v>
      </c>
      <c r="GC169" s="20" t="e">
        <f t="shared" si="186"/>
        <v>#NUM!</v>
      </c>
      <c r="GD169" s="59" t="e">
        <f t="shared" si="134"/>
        <v>#NUM!</v>
      </c>
      <c r="GE169" s="59">
        <f ca="1">AVERAGE(OFFSET($GD$3,0,0,'Données projet'!$E$17+1,1))-AVERAGE(OFFSET($H$3,0,0,'Données projet'!$E$17+1,1))</f>
        <v>196.95560009657527</v>
      </c>
      <c r="GF169" s="59">
        <f t="shared" si="158"/>
        <v>168.90186968005662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0</v>
      </c>
      <c r="GM169" s="21">
        <f>EXP(-LN(2)/25)*GM168+(1-EXP(-LN(2)/25))/(LN(2)/25)*Calculateur!GH169*Calculateur!GJ169*VLOOKUP('Données projet'!$B$17,Paramètres!$A$1:$I$89,3,0)*0.475*44/12</f>
        <v>0.21263889355415949</v>
      </c>
      <c r="GN169" s="21">
        <f>EXP(-LN(2)/2)*GN168+(1-EXP(-LN(2)/2))/(LN(2)/2)*GH169*GK169*VLOOKUP('Données projet'!$B$17,Paramètres!$A$1:$I$89,3,0)*0.475*44/12</f>
        <v>4.3569946208530194E-20</v>
      </c>
      <c r="GO169" s="21">
        <f t="shared" si="187"/>
        <v>0.21263889355415949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-5.3205440053716299E-14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215.23235148064941</v>
      </c>
      <c r="T170" s="59">
        <f t="shared" si="142"/>
        <v>184.07239726900434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0.20790367615957858</v>
      </c>
      <c r="AA170" s="21">
        <f>EXP(-LN(2)/25)*AA169+(1-EXP(-LN(2)/25))/(LN(2)/25)*Calculateur!V170*Calculateur!X170*VLOOKUP('Données projet'!$B$9,Paramètres!$A$1:$I$89,3,0)*0.475*44/12</f>
        <v>0.17600600525015389</v>
      </c>
      <c r="AB170" s="21">
        <f>EXP(-LN(2)/2)*AB169+(1-EXP(-LN(2)/2))/(LN(2)/2)*V170*Y170*VLOOKUP('Données projet'!$B$9,Paramètres!$A$1:$I$89,3,0)*0.475*44/12</f>
        <v>2.3555642920167114E-20</v>
      </c>
      <c r="AC170" s="22">
        <f t="shared" si="163"/>
        <v>0.38390968140973247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5.6843418860808015E-14</v>
      </c>
      <c r="AJ170" s="13">
        <f>AI170*VLOOKUP('Données projet'!$B$10,Paramètres!$A$1:$I$89,3,0)*VLOOKUP('Données projet'!$B$10,Paramètres!$A$1:$I$89,5,0)</f>
        <v>4.1677594708744434E-14</v>
      </c>
      <c r="AK170" s="13">
        <f t="shared" si="164"/>
        <v>6.9326303456159188E-13</v>
      </c>
      <c r="AL170" s="20">
        <f t="shared" si="165"/>
        <v>1.2800215959791691E-12</v>
      </c>
      <c r="AM170" s="59">
        <f t="shared" si="113"/>
        <v>293.33333333333462</v>
      </c>
      <c r="AN170" s="59">
        <f ca="1">AVERAGE(OFFSET($AM$3,0,0,'Données projet'!$E$10+1,1))-AVERAGE(OFFSET($H$3,0,0,'Données projet'!$E$10+1,1))</f>
        <v>178.12968684094687</v>
      </c>
      <c r="AO170" s="59">
        <f t="shared" si="144"/>
        <v>219.36004077210373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0.17226408178769512</v>
      </c>
      <c r="AW170" s="21">
        <f>EXP(-LN(2)/2)*AW169+(1-EXP(-LN(2)/2))/(LN(2)/2)*AQ170*AT170*VLOOKUP('Données projet'!$B$10,Paramètres!$A$1:$I$89,3,0)*0.475*44/12</f>
        <v>2.3760093503865751E-20</v>
      </c>
      <c r="AX170" s="21">
        <f t="shared" si="166"/>
        <v>0.17226408178769512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-5.6843418860808015E-14</v>
      </c>
      <c r="BE170" s="13">
        <f>BD170*VLOOKUP('Données projet'!$B$11,Paramètres!$A$1:$I$89,3,0)*VLOOKUP('Données projet'!$B$11,Paramètres!$A$1:$I$89,5,0)</f>
        <v>-4.9658410716801891E-14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114.02623091248347</v>
      </c>
      <c r="BJ170" s="59">
        <f t="shared" si="146"/>
        <v>185.51554083721635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0.12945196217642901</v>
      </c>
      <c r="BQ170" s="21">
        <f>EXP(-LN(2)/25)*BQ169+(1-EXP(-LN(2)/25))/(LN(2)/25)*Calculateur!BL170*Calculateur!BN170*VLOOKUP('Données projet'!$B$11,Paramètres!$A$1:$I$89,3,0)*0.475*44/12</f>
        <v>0.25219980377602202</v>
      </c>
      <c r="BR170" s="21">
        <f>EXP(-LN(2)/2)*BR169+(1-EXP(-LN(2)/2))/(LN(2)/2)*BL170*BO170*VLOOKUP('Données projet'!$B$11,Paramètres!$A$1:$I$89,3,0)*0.475*44/12</f>
        <v>4.2259659053211044E-20</v>
      </c>
      <c r="BS170" s="22">
        <f t="shared" si="169"/>
        <v>0.38165176595245104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-1.1368683772161603E-13</v>
      </c>
      <c r="BZ170" s="13">
        <f>BY170*VLOOKUP('Données projet'!$B$12,Paramètres!$A$1:$I$89,3,0)*VLOOKUP('Données projet'!$B$12,Paramètres!$A$1:$I$89,5,0)</f>
        <v>-1.0286385077051818E-13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237.22177246688199</v>
      </c>
      <c r="CE170" s="59">
        <f t="shared" si="148"/>
        <v>149.27472147904302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6.9590255350853197E-2</v>
      </c>
      <c r="CM170" s="21">
        <f>EXP(-LN(2)/2)*CM169+(1-EXP(-LN(2)/2))/(LN(2)/2)*CG170*CJ170*VLOOKUP('Données projet'!$B$12,Paramètres!$A$1:$I$89,3,0)*0.475*44/12</f>
        <v>1.4828259873060115E-20</v>
      </c>
      <c r="CN170" s="22">
        <f t="shared" si="172"/>
        <v>6.9590255350853197E-2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-5.6843418860808015E-13</v>
      </c>
      <c r="CU170" s="17">
        <f>CT170*VLOOKUP('Données projet'!$B$13,Paramètres!$A$1:$I$89,3,0)*VLOOKUP('Données projet'!$B$13,Paramètres!$A$1:$I$89,5,0)</f>
        <v>-3.177547114319168E-13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326.31232746914907</v>
      </c>
      <c r="CZ170" s="59">
        <f t="shared" si="150"/>
        <v>330.17137761430297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0.30297267743419581</v>
      </c>
      <c r="DG170" s="21">
        <f>EXP(-LN(2)/25)*DG169+(1-EXP(-LN(2)/25))/(LN(2)/25)*Calculateur!DB170*Calculateur!DD170*VLOOKUP('Données projet'!$B$13,Paramètres!$A$1:$I$89,3,0)*0.475*44/12</f>
        <v>0.67604152371526349</v>
      </c>
      <c r="DH170" s="21">
        <f>EXP(-LN(2)/2)*DH169+(1-EXP(-LN(2)/2))/(LN(2)/2)*DB170*DE170*VLOOKUP('Données projet'!$B$13,Paramètres!$A$1:$I$89,3,0)*0.475*44/12</f>
        <v>7.791547499247387E-20</v>
      </c>
      <c r="DI170" s="22">
        <f t="shared" si="175"/>
        <v>0.97901420114945936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6.2527760746888816E-13</v>
      </c>
      <c r="DP170" s="17">
        <f>DO170*VLOOKUP('Données projet'!$B$14,Paramètres!$A$1:$I$89,3,0)*VLOOKUP('Données projet'!$B$14,Paramètres!$A$1:$I$89,5,0)</f>
        <v>3.9017322706058616E-13</v>
      </c>
      <c r="DQ170" s="13">
        <f t="shared" si="176"/>
        <v>5.0025007393608908E-12</v>
      </c>
      <c r="DR170" s="20">
        <f t="shared" si="177"/>
        <v>9.3922404915174053E-12</v>
      </c>
      <c r="DS170" s="59">
        <f t="shared" si="125"/>
        <v>293.33333333334269</v>
      </c>
      <c r="DT170" s="59">
        <f ca="1">AVERAGE(OFFSET($DS$3,0,0,'Données projet'!$E$14+1,1))-AVERAGE(OFFSET($H$3,0,0,'Données projet'!$E$14+1,1))</f>
        <v>209.93608079129638</v>
      </c>
      <c r="DU170" s="59">
        <f t="shared" si="152"/>
        <v>240.15652428700969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0.46118462526981169</v>
      </c>
      <c r="EB170" s="21">
        <f>EXP(-LN(2)/25)*EB169+(1-EXP(-LN(2)/25))/(LN(2)/25)*Calculateur!DW170*Calculateur!DY170*VLOOKUP('Données projet'!$B$14,Paramètres!$A$1:$I$89,3,0)*0.475*44/12</f>
        <v>0.46576453794364969</v>
      </c>
      <c r="EC170" s="21">
        <f>EXP(-LN(2)/2)*EC169+(1-EXP(-LN(2)/2))/(LN(2)/2)*DW170*DZ170*VLOOKUP('Données projet'!$B$14,Paramètres!$A$1:$I$89,3,0)*0.475*44/12</f>
        <v>4.8372569514554645E-20</v>
      </c>
      <c r="ED170" s="22">
        <f t="shared" si="178"/>
        <v>0.92694916321346144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-4.5474735088646412E-13</v>
      </c>
      <c r="EK170" s="17">
        <f>EJ170*VLOOKUP('Données projet'!$B$15,Paramètres!$A$1:$I$89,3,0)*VLOOKUP('Données projet'!$B$15,Paramètres!$A$1:$I$89,5,0)</f>
        <v>-2.7193891583010558E-13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216.94426559495264</v>
      </c>
      <c r="EP170" s="59">
        <f t="shared" si="154"/>
        <v>225.33715877618704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</v>
      </c>
      <c r="EW170" s="21">
        <f>EXP(-LN(2)/25)*EW169+(1-EXP(-LN(2)/25))/(LN(2)/25)*Calculateur!ER170*Calculateur!ET170*VLOOKUP('Données projet'!$B$15,Paramètres!$A$1:$I$89,3,0)*0.475*44/12</f>
        <v>0.28789482661428367</v>
      </c>
      <c r="EX170" s="21">
        <f>EXP(-LN(2)/2)*EX169+(1-EXP(-LN(2)/2))/(LN(2)/2)*ER170*EU170*VLOOKUP('Données projet'!$B$15,Paramètres!$A$1:$I$89,3,0)*0.475*44/12</f>
        <v>5.6850111369745701E-20</v>
      </c>
      <c r="EY170" s="22">
        <f t="shared" si="181"/>
        <v>0.28789482661428367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>
        <f>FE170*VLOOKUP('Données projet'!$B$16,Paramètres!$A$1:$I$89,3,0)*VLOOKUP('Données projet'!$B$16,Paramètres!$A$1:$I$89,5,0)</f>
        <v>0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168.08890945052406</v>
      </c>
      <c r="FK170" s="59">
        <f t="shared" si="156"/>
        <v>182.52462557642343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0.41203348007155849</v>
      </c>
      <c r="FR170" s="21">
        <f>EXP(-LN(2)/25)*FR169+(1-EXP(-LN(2)/25))/(LN(2)/25)*Calculateur!FM170*Calculateur!FO170*VLOOKUP('Données projet'!$B$16,Paramètres!$A$1:$I$89,3,0)*0.475*44/12</f>
        <v>0.27628020809151982</v>
      </c>
      <c r="FS170" s="21">
        <f>EXP(-LN(2)/2)*FS169+(1-EXP(-LN(2)/2))/(LN(2)/2)*FM170*FP170*VLOOKUP('Données projet'!$B$16,Paramètres!$A$1:$I$89,3,0)*0.475*44/12</f>
        <v>1.3046631666329345E-20</v>
      </c>
      <c r="FT170" s="22">
        <f t="shared" si="184"/>
        <v>0.68831368816307825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-5.6843418860808015E-14</v>
      </c>
      <c r="GA170" s="17">
        <f>FZ170*VLOOKUP('Données projet'!$B$17,Paramètres!$A$1:$I$89,3,0)*VLOOKUP('Données projet'!$B$17,Paramètres!$A$1:$I$89,5,0)</f>
        <v>-3.2514435588382188E-14</v>
      </c>
      <c r="GB170" s="13" t="e">
        <f t="shared" si="185"/>
        <v>#NUM!</v>
      </c>
      <c r="GC170" s="20" t="e">
        <f t="shared" si="186"/>
        <v>#NUM!</v>
      </c>
      <c r="GD170" s="59" t="e">
        <f t="shared" si="134"/>
        <v>#NUM!</v>
      </c>
      <c r="GE170" s="59">
        <f ca="1">AVERAGE(OFFSET($GD$3,0,0,'Données projet'!$E$17+1,1))-AVERAGE(OFFSET($H$3,0,0,'Données projet'!$E$17+1,1))</f>
        <v>196.95560009657527</v>
      </c>
      <c r="GF170" s="59">
        <f t="shared" si="158"/>
        <v>168.90186968005662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0</v>
      </c>
      <c r="GM170" s="21">
        <f>EXP(-LN(2)/25)*GM169+(1-EXP(-LN(2)/25))/(LN(2)/25)*Calculateur!GH170*Calculateur!GJ170*VLOOKUP('Données projet'!$B$17,Paramètres!$A$1:$I$89,3,0)*0.475*44/12</f>
        <v>0.20682427182772758</v>
      </c>
      <c r="GN170" s="21">
        <f>EXP(-LN(2)/2)*GN169+(1-EXP(-LN(2)/2))/(LN(2)/2)*GH170*GK170*VLOOKUP('Données projet'!$B$17,Paramètres!$A$1:$I$89,3,0)*0.475*44/12</f>
        <v>3.0808604419984806E-20</v>
      </c>
      <c r="GO170" s="21">
        <f t="shared" si="187"/>
        <v>0.20682427182772758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-5.3205440053716299E-14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215.23235148064941</v>
      </c>
      <c r="T171" s="59">
        <f t="shared" si="142"/>
        <v>184.07239726900434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0.20382681187881038</v>
      </c>
      <c r="AA171" s="21">
        <f>EXP(-LN(2)/25)*AA170+(1-EXP(-LN(2)/25))/(LN(2)/25)*Calculateur!V171*Calculateur!X171*VLOOKUP('Données projet'!$B$9,Paramètres!$A$1:$I$89,3,0)*0.475*44/12</f>
        <v>0.17119311178083488</v>
      </c>
      <c r="AB171" s="21">
        <f>EXP(-LN(2)/2)*AB170+(1-EXP(-LN(2)/2))/(LN(2)/2)*V171*Y171*VLOOKUP('Données projet'!$B$9,Paramètres!$A$1:$I$89,3,0)*0.475*44/12</f>
        <v>1.6656354844059055E-20</v>
      </c>
      <c r="AC171" s="22">
        <f t="shared" si="163"/>
        <v>0.37501992365964526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5.6843418860808015E-14</v>
      </c>
      <c r="AJ171" s="13">
        <f>AI171*VLOOKUP('Données projet'!$B$10,Paramètres!$A$1:$I$89,3,0)*VLOOKUP('Données projet'!$B$10,Paramètres!$A$1:$I$89,5,0)</f>
        <v>4.1677594708744434E-14</v>
      </c>
      <c r="AK171" s="13">
        <f t="shared" si="164"/>
        <v>6.9326303456159188E-13</v>
      </c>
      <c r="AL171" s="20">
        <f t="shared" si="165"/>
        <v>1.2800215959791691E-12</v>
      </c>
      <c r="AM171" s="59">
        <f t="shared" si="113"/>
        <v>293.33333333333462</v>
      </c>
      <c r="AN171" s="59">
        <f ca="1">AVERAGE(OFFSET($AM$3,0,0,'Données projet'!$E$10+1,1))-AVERAGE(OFFSET($H$3,0,0,'Données projet'!$E$10+1,1))</f>
        <v>178.12968684094687</v>
      </c>
      <c r="AO171" s="59">
        <f t="shared" si="144"/>
        <v>219.36004077210373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0.16755351141223626</v>
      </c>
      <c r="AW171" s="21">
        <f>EXP(-LN(2)/2)*AW170+(1-EXP(-LN(2)/2))/(LN(2)/2)*AQ171*AT171*VLOOKUP('Données projet'!$B$10,Paramètres!$A$1:$I$89,3,0)*0.475*44/12</f>
        <v>1.6800923238209909E-20</v>
      </c>
      <c r="AX171" s="21">
        <f t="shared" si="166"/>
        <v>0.16755351141223626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-5.6843418860808015E-14</v>
      </c>
      <c r="BE171" s="13">
        <f>BD171*VLOOKUP('Données projet'!$B$11,Paramètres!$A$1:$I$89,3,0)*VLOOKUP('Données projet'!$B$11,Paramètres!$A$1:$I$89,5,0)</f>
        <v>-4.9658410716801891E-14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114.02623091248347</v>
      </c>
      <c r="BJ171" s="59">
        <f t="shared" si="146"/>
        <v>185.51554083721635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0.12691348815604972</v>
      </c>
      <c r="BQ171" s="21">
        <f>EXP(-LN(2)/25)*BQ170+(1-EXP(-LN(2)/25))/(LN(2)/25)*Calculateur!BL171*Calculateur!BN171*VLOOKUP('Données projet'!$B$11,Paramètres!$A$1:$I$89,3,0)*0.475*44/12</f>
        <v>0.24530338687915543</v>
      </c>
      <c r="BR171" s="21">
        <f>EXP(-LN(2)/2)*BR170+(1-EXP(-LN(2)/2))/(LN(2)/2)*BL171*BO171*VLOOKUP('Données projet'!$B$11,Paramètres!$A$1:$I$89,3,0)*0.475*44/12</f>
        <v>2.9882091487157004E-20</v>
      </c>
      <c r="BS171" s="22">
        <f t="shared" si="169"/>
        <v>0.37221687503520517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-1.1368683772161603E-13</v>
      </c>
      <c r="BZ171" s="13">
        <f>BY171*VLOOKUP('Données projet'!$B$12,Paramètres!$A$1:$I$89,3,0)*VLOOKUP('Données projet'!$B$12,Paramètres!$A$1:$I$89,5,0)</f>
        <v>-1.0286385077051818E-13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237.22177246688199</v>
      </c>
      <c r="CE171" s="59">
        <f t="shared" si="148"/>
        <v>149.27472147904302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6.7687306158691632E-2</v>
      </c>
      <c r="CM171" s="21">
        <f>EXP(-LN(2)/2)*CM170+(1-EXP(-LN(2)/2))/(LN(2)/2)*CG171*CJ171*VLOOKUP('Données projet'!$B$12,Paramètres!$A$1:$I$89,3,0)*0.475*44/12</f>
        <v>1.0485163109437182E-20</v>
      </c>
      <c r="CN171" s="22">
        <f t="shared" si="172"/>
        <v>6.7687306158691632E-2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-5.6843418860808015E-13</v>
      </c>
      <c r="CU171" s="17">
        <f>CT171*VLOOKUP('Données projet'!$B$13,Paramètres!$A$1:$I$89,3,0)*VLOOKUP('Données projet'!$B$13,Paramètres!$A$1:$I$89,5,0)</f>
        <v>-3.177547114319168E-13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326.31232746914907</v>
      </c>
      <c r="CZ171" s="59">
        <f t="shared" si="150"/>
        <v>330.17137761430297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0.29703156802479747</v>
      </c>
      <c r="DG171" s="21">
        <f>EXP(-LN(2)/25)*DG170+(1-EXP(-LN(2)/25))/(LN(2)/25)*Calculateur!DB171*Calculateur!DD171*VLOOKUP('Données projet'!$B$13,Paramètres!$A$1:$I$89,3,0)*0.475*44/12</f>
        <v>0.65755513269779098</v>
      </c>
      <c r="DH171" s="21">
        <f>EXP(-LN(2)/2)*DH170+(1-EXP(-LN(2)/2))/(LN(2)/2)*DB171*DE171*VLOOKUP('Données projet'!$B$13,Paramètres!$A$1:$I$89,3,0)*0.475*44/12</f>
        <v>5.5094560726549137E-20</v>
      </c>
      <c r="DI171" s="22">
        <f t="shared" si="175"/>
        <v>0.95458670072258844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6.2527760746888816E-13</v>
      </c>
      <c r="DP171" s="17">
        <f>DO171*VLOOKUP('Données projet'!$B$14,Paramètres!$A$1:$I$89,3,0)*VLOOKUP('Données projet'!$B$14,Paramètres!$A$1:$I$89,5,0)</f>
        <v>3.9017322706058616E-13</v>
      </c>
      <c r="DQ171" s="13">
        <f t="shared" si="176"/>
        <v>5.0025007393608908E-12</v>
      </c>
      <c r="DR171" s="20">
        <f t="shared" si="177"/>
        <v>9.3922404915174053E-12</v>
      </c>
      <c r="DS171" s="59">
        <f t="shared" si="125"/>
        <v>293.33333333334269</v>
      </c>
      <c r="DT171" s="59">
        <f ca="1">AVERAGE(OFFSET($DS$3,0,0,'Données projet'!$E$14+1,1))-AVERAGE(OFFSET($H$3,0,0,'Données projet'!$E$14+1,1))</f>
        <v>209.93608079129638</v>
      </c>
      <c r="DU171" s="59">
        <f t="shared" si="152"/>
        <v>240.15652428700969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0.45214107606311654</v>
      </c>
      <c r="EB171" s="21">
        <f>EXP(-LN(2)/25)*EB170+(1-EXP(-LN(2)/25))/(LN(2)/25)*Calculateur!DW171*Calculateur!DY171*VLOOKUP('Données projet'!$B$14,Paramètres!$A$1:$I$89,3,0)*0.475*44/12</f>
        <v>0.45302818216008806</v>
      </c>
      <c r="EC171" s="21">
        <f>EXP(-LN(2)/2)*EC170+(1-EXP(-LN(2)/2))/(LN(2)/2)*DW171*DZ171*VLOOKUP('Données projet'!$B$14,Paramètres!$A$1:$I$89,3,0)*0.475*44/12</f>
        <v>3.420457192715925E-20</v>
      </c>
      <c r="ED171" s="22">
        <f t="shared" si="178"/>
        <v>0.9051692582232046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-4.5474735088646412E-13</v>
      </c>
      <c r="EK171" s="17">
        <f>EJ171*VLOOKUP('Données projet'!$B$15,Paramètres!$A$1:$I$89,3,0)*VLOOKUP('Données projet'!$B$15,Paramètres!$A$1:$I$89,5,0)</f>
        <v>-2.7193891583010558E-13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216.94426559495264</v>
      </c>
      <c r="EP171" s="59">
        <f t="shared" si="154"/>
        <v>225.33715877618704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</v>
      </c>
      <c r="EW171" s="21">
        <f>EXP(-LN(2)/25)*EW170+(1-EXP(-LN(2)/25))/(LN(2)/25)*Calculateur!ER171*Calculateur!ET171*VLOOKUP('Données projet'!$B$15,Paramètres!$A$1:$I$89,3,0)*0.475*44/12</f>
        <v>0.28002232744078515</v>
      </c>
      <c r="EX171" s="21">
        <f>EXP(-LN(2)/2)*EX170+(1-EXP(-LN(2)/2))/(LN(2)/2)*ER171*EU171*VLOOKUP('Données projet'!$B$15,Paramètres!$A$1:$I$89,3,0)*0.475*44/12</f>
        <v>4.0199099260757632E-20</v>
      </c>
      <c r="EY171" s="22">
        <f t="shared" si="181"/>
        <v>0.28002232744078515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>
        <f>FE171*VLOOKUP('Données projet'!$B$16,Paramètres!$A$1:$I$89,3,0)*VLOOKUP('Données projet'!$B$16,Paramètres!$A$1:$I$89,5,0)</f>
        <v>0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168.08890945052406</v>
      </c>
      <c r="FK171" s="59">
        <f t="shared" si="156"/>
        <v>182.52462557642343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0.4039537548429627</v>
      </c>
      <c r="FR171" s="21">
        <f>EXP(-LN(2)/25)*FR170+(1-EXP(-LN(2)/25))/(LN(2)/25)*Calculateur!FM171*Calculateur!FO171*VLOOKUP('Données projet'!$B$16,Paramètres!$A$1:$I$89,3,0)*0.475*44/12</f>
        <v>0.26872531127231253</v>
      </c>
      <c r="FS171" s="21">
        <f>EXP(-LN(2)/2)*FS170+(1-EXP(-LN(2)/2))/(LN(2)/2)*FM171*FP171*VLOOKUP('Données projet'!$B$16,Paramètres!$A$1:$I$89,3,0)*0.475*44/12</f>
        <v>9.2253617229046257E-21</v>
      </c>
      <c r="FT171" s="22">
        <f t="shared" si="184"/>
        <v>0.67267906611527528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-5.6843418860808015E-14</v>
      </c>
      <c r="GA171" s="17">
        <f>FZ171*VLOOKUP('Données projet'!$B$17,Paramètres!$A$1:$I$89,3,0)*VLOOKUP('Données projet'!$B$17,Paramètres!$A$1:$I$89,5,0)</f>
        <v>-3.2514435588382188E-14</v>
      </c>
      <c r="GB171" s="13" t="e">
        <f t="shared" si="185"/>
        <v>#NUM!</v>
      </c>
      <c r="GC171" s="20" t="e">
        <f t="shared" si="186"/>
        <v>#NUM!</v>
      </c>
      <c r="GD171" s="59" t="e">
        <f t="shared" si="134"/>
        <v>#NUM!</v>
      </c>
      <c r="GE171" s="59">
        <f ca="1">AVERAGE(OFFSET($GD$3,0,0,'Données projet'!$E$17+1,1))-AVERAGE(OFFSET($H$3,0,0,'Données projet'!$E$17+1,1))</f>
        <v>196.95560009657527</v>
      </c>
      <c r="GF171" s="59">
        <f t="shared" si="158"/>
        <v>168.90186968005662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0</v>
      </c>
      <c r="GM171" s="21">
        <f>EXP(-LN(2)/25)*GM170+(1-EXP(-LN(2)/25))/(LN(2)/25)*Calculateur!GH171*Calculateur!GJ171*VLOOKUP('Données projet'!$B$17,Paramètres!$A$1:$I$89,3,0)*0.475*44/12</f>
        <v>0.20116865123818262</v>
      </c>
      <c r="GN171" s="21">
        <f>EXP(-LN(2)/2)*GN170+(1-EXP(-LN(2)/2))/(LN(2)/2)*GH171*GK171*VLOOKUP('Données projet'!$B$17,Paramètres!$A$1:$I$89,3,0)*0.475*44/12</f>
        <v>2.1784973104265097E-20</v>
      </c>
      <c r="GO171" s="21">
        <f t="shared" si="187"/>
        <v>0.20116865123818262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-5.3205440053716299E-14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215.23235148064941</v>
      </c>
      <c r="T172" s="59">
        <f t="shared" si="142"/>
        <v>184.07239726900434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0.19982989241994636</v>
      </c>
      <c r="AA172" s="21">
        <f>EXP(-LN(2)/25)*AA171+(1-EXP(-LN(2)/25))/(LN(2)/25)*Calculateur!V172*Calculateur!X172*VLOOKUP('Données projet'!$B$9,Paramètres!$A$1:$I$89,3,0)*0.475*44/12</f>
        <v>0.16651182713653348</v>
      </c>
      <c r="AB172" s="21">
        <f>EXP(-LN(2)/2)*AB171+(1-EXP(-LN(2)/2))/(LN(2)/2)*V172*Y172*VLOOKUP('Données projet'!$B$9,Paramètres!$A$1:$I$89,3,0)*0.475*44/12</f>
        <v>1.1777821460083557E-20</v>
      </c>
      <c r="AC172" s="22">
        <f t="shared" si="163"/>
        <v>0.36634171955647987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5.6843418860808015E-14</v>
      </c>
      <c r="AJ172" s="13">
        <f>AI172*VLOOKUP('Données projet'!$B$10,Paramètres!$A$1:$I$89,3,0)*VLOOKUP('Données projet'!$B$10,Paramètres!$A$1:$I$89,5,0)</f>
        <v>4.1677594708744434E-14</v>
      </c>
      <c r="AK172" s="13">
        <f t="shared" si="164"/>
        <v>6.9326303456159188E-13</v>
      </c>
      <c r="AL172" s="20">
        <f t="shared" si="165"/>
        <v>1.2800215959791691E-12</v>
      </c>
      <c r="AM172" s="59">
        <f t="shared" si="113"/>
        <v>293.33333333333462</v>
      </c>
      <c r="AN172" s="59">
        <f ca="1">AVERAGE(OFFSET($AM$3,0,0,'Données projet'!$E$10+1,1))-AVERAGE(OFFSET($H$3,0,0,'Données projet'!$E$10+1,1))</f>
        <v>178.12968684094687</v>
      </c>
      <c r="AO172" s="59">
        <f t="shared" si="144"/>
        <v>219.36004077210373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0.16297175183141244</v>
      </c>
      <c r="AW172" s="21">
        <f>EXP(-LN(2)/2)*AW171+(1-EXP(-LN(2)/2))/(LN(2)/2)*AQ172*AT172*VLOOKUP('Données projet'!$B$10,Paramètres!$A$1:$I$89,3,0)*0.475*44/12</f>
        <v>1.1880046751932876E-20</v>
      </c>
      <c r="AX172" s="21">
        <f t="shared" si="166"/>
        <v>0.16297175183141244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-5.6843418860808015E-14</v>
      </c>
      <c r="BE172" s="13">
        <f>BD172*VLOOKUP('Données projet'!$B$11,Paramètres!$A$1:$I$89,3,0)*VLOOKUP('Données projet'!$B$11,Paramètres!$A$1:$I$89,5,0)</f>
        <v>-4.9658410716801891E-14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114.02623091248347</v>
      </c>
      <c r="BJ172" s="59">
        <f t="shared" si="146"/>
        <v>185.51554083721635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0.12442479206289379</v>
      </c>
      <c r="BQ172" s="21">
        <f>EXP(-LN(2)/25)*BQ171+(1-EXP(-LN(2)/25))/(LN(2)/25)*Calculateur!BL172*Calculateur!BN172*VLOOKUP('Données projet'!$B$11,Paramètres!$A$1:$I$89,3,0)*0.475*44/12</f>
        <v>0.23859555286500045</v>
      </c>
      <c r="BR172" s="21">
        <f>EXP(-LN(2)/2)*BR171+(1-EXP(-LN(2)/2))/(LN(2)/2)*BL172*BO172*VLOOKUP('Données projet'!$B$11,Paramètres!$A$1:$I$89,3,0)*0.475*44/12</f>
        <v>2.1129829526605522E-20</v>
      </c>
      <c r="BS172" s="22">
        <f t="shared" si="169"/>
        <v>0.36302034492789426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-1.1368683772161603E-13</v>
      </c>
      <c r="BZ172" s="13">
        <f>BY172*VLOOKUP('Données projet'!$B$12,Paramètres!$A$1:$I$89,3,0)*VLOOKUP('Données projet'!$B$12,Paramètres!$A$1:$I$89,5,0)</f>
        <v>-1.0286385077051818E-13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237.22177246688199</v>
      </c>
      <c r="CE172" s="59">
        <f t="shared" si="148"/>
        <v>149.27472147904302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6.5836393212261479E-2</v>
      </c>
      <c r="CM172" s="21">
        <f>EXP(-LN(2)/2)*CM171+(1-EXP(-LN(2)/2))/(LN(2)/2)*CG172*CJ172*VLOOKUP('Données projet'!$B$12,Paramètres!$A$1:$I$89,3,0)*0.475*44/12</f>
        <v>7.4141299365300576E-21</v>
      </c>
      <c r="CN172" s="22">
        <f t="shared" si="172"/>
        <v>6.5836393212261479E-2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-5.6843418860808015E-13</v>
      </c>
      <c r="CU172" s="17">
        <f>CT172*VLOOKUP('Données projet'!$B$13,Paramètres!$A$1:$I$89,3,0)*VLOOKUP('Données projet'!$B$13,Paramètres!$A$1:$I$89,5,0)</f>
        <v>-3.177547114319168E-13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326.31232746914907</v>
      </c>
      <c r="CZ172" s="59">
        <f t="shared" si="150"/>
        <v>330.17137761430297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0.29120696014719849</v>
      </c>
      <c r="DG172" s="21">
        <f>EXP(-LN(2)/25)*DG171+(1-EXP(-LN(2)/25))/(LN(2)/25)*Calculateur!DB172*Calculateur!DD172*VLOOKUP('Données projet'!$B$13,Paramètres!$A$1:$I$89,3,0)*0.475*44/12</f>
        <v>0.63957425301484827</v>
      </c>
      <c r="DH172" s="21">
        <f>EXP(-LN(2)/2)*DH171+(1-EXP(-LN(2)/2))/(LN(2)/2)*DB172*DE172*VLOOKUP('Données projet'!$B$13,Paramètres!$A$1:$I$89,3,0)*0.475*44/12</f>
        <v>3.8957737496236935E-20</v>
      </c>
      <c r="DI172" s="22">
        <f t="shared" si="175"/>
        <v>0.93078121316204676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6.2527760746888816E-13</v>
      </c>
      <c r="DP172" s="17">
        <f>DO172*VLOOKUP('Données projet'!$B$14,Paramètres!$A$1:$I$89,3,0)*VLOOKUP('Données projet'!$B$14,Paramètres!$A$1:$I$89,5,0)</f>
        <v>3.9017322706058616E-13</v>
      </c>
      <c r="DQ172" s="13">
        <f t="shared" si="176"/>
        <v>5.0025007393608908E-12</v>
      </c>
      <c r="DR172" s="20">
        <f t="shared" si="177"/>
        <v>9.3922404915174053E-12</v>
      </c>
      <c r="DS172" s="59">
        <f t="shared" si="125"/>
        <v>293.33333333334269</v>
      </c>
      <c r="DT172" s="59">
        <f ca="1">AVERAGE(OFFSET($DS$3,0,0,'Données projet'!$E$14+1,1))-AVERAGE(OFFSET($H$3,0,0,'Données projet'!$E$14+1,1))</f>
        <v>209.93608079129638</v>
      </c>
      <c r="DU172" s="59">
        <f t="shared" si="152"/>
        <v>240.15652428700969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0.44327486534034433</v>
      </c>
      <c r="EB172" s="21">
        <f>EXP(-LN(2)/25)*EB171+(1-EXP(-LN(2)/25))/(LN(2)/25)*Calculateur!DW172*Calculateur!DY172*VLOOKUP('Données projet'!$B$14,Paramètres!$A$1:$I$89,3,0)*0.475*44/12</f>
        <v>0.44064010269520376</v>
      </c>
      <c r="EC172" s="21">
        <f>EXP(-LN(2)/2)*EC171+(1-EXP(-LN(2)/2))/(LN(2)/2)*DW172*DZ172*VLOOKUP('Données projet'!$B$14,Paramètres!$A$1:$I$89,3,0)*0.475*44/12</f>
        <v>2.4186284757277323E-20</v>
      </c>
      <c r="ED172" s="22">
        <f t="shared" si="178"/>
        <v>0.88391496803554803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-4.5474735088646412E-13</v>
      </c>
      <c r="EK172" s="17">
        <f>EJ172*VLOOKUP('Données projet'!$B$15,Paramètres!$A$1:$I$89,3,0)*VLOOKUP('Données projet'!$B$15,Paramètres!$A$1:$I$89,5,0)</f>
        <v>-2.7193891583010558E-13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216.94426559495264</v>
      </c>
      <c r="EP172" s="59">
        <f t="shared" si="154"/>
        <v>225.33715877618704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</v>
      </c>
      <c r="EW172" s="21">
        <f>EXP(-LN(2)/25)*EW171+(1-EXP(-LN(2)/25))/(LN(2)/25)*Calculateur!ER172*Calculateur!ET172*VLOOKUP('Données projet'!$B$15,Paramètres!$A$1:$I$89,3,0)*0.475*44/12</f>
        <v>0.27236510217118265</v>
      </c>
      <c r="EX172" s="21">
        <f>EXP(-LN(2)/2)*EX171+(1-EXP(-LN(2)/2))/(LN(2)/2)*ER172*EU172*VLOOKUP('Données projet'!$B$15,Paramètres!$A$1:$I$89,3,0)*0.475*44/12</f>
        <v>2.842505568487285E-20</v>
      </c>
      <c r="EY172" s="22">
        <f t="shared" si="181"/>
        <v>0.27236510217118265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>
        <f>FE172*VLOOKUP('Données projet'!$B$16,Paramètres!$A$1:$I$89,3,0)*VLOOKUP('Données projet'!$B$16,Paramètres!$A$1:$I$89,5,0)</f>
        <v>0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168.08890945052406</v>
      </c>
      <c r="FK172" s="59">
        <f t="shared" si="156"/>
        <v>182.52462557642343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0.39603246809795389</v>
      </c>
      <c r="FR172" s="21">
        <f>EXP(-LN(2)/25)*FR171+(1-EXP(-LN(2)/25))/(LN(2)/25)*Calculateur!FM172*Calculateur!FO172*VLOOKUP('Données projet'!$B$16,Paramètres!$A$1:$I$89,3,0)*0.475*44/12</f>
        <v>0.26137700350392118</v>
      </c>
      <c r="FS172" s="21">
        <f>EXP(-LN(2)/2)*FS171+(1-EXP(-LN(2)/2))/(LN(2)/2)*FM172*FP172*VLOOKUP('Données projet'!$B$16,Paramètres!$A$1:$I$89,3,0)*0.475*44/12</f>
        <v>6.5233158331646723E-21</v>
      </c>
      <c r="FT172" s="22">
        <f t="shared" si="184"/>
        <v>0.65740947160187502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-5.6843418860808015E-14</v>
      </c>
      <c r="GA172" s="17">
        <f>FZ172*VLOOKUP('Données projet'!$B$17,Paramètres!$A$1:$I$89,3,0)*VLOOKUP('Données projet'!$B$17,Paramètres!$A$1:$I$89,5,0)</f>
        <v>-3.2514435588382188E-14</v>
      </c>
      <c r="GB172" s="13" t="e">
        <f t="shared" si="185"/>
        <v>#NUM!</v>
      </c>
      <c r="GC172" s="20" t="e">
        <f t="shared" si="186"/>
        <v>#NUM!</v>
      </c>
      <c r="GD172" s="59" t="e">
        <f t="shared" si="134"/>
        <v>#NUM!</v>
      </c>
      <c r="GE172" s="59">
        <f ca="1">AVERAGE(OFFSET($GD$3,0,0,'Données projet'!$E$17+1,1))-AVERAGE(OFFSET($H$3,0,0,'Données projet'!$E$17+1,1))</f>
        <v>196.95560009657527</v>
      </c>
      <c r="GF172" s="59">
        <f t="shared" si="158"/>
        <v>168.90186968005662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0</v>
      </c>
      <c r="GM172" s="21">
        <f>EXP(-LN(2)/25)*GM171+(1-EXP(-LN(2)/25))/(LN(2)/25)*Calculateur!GH172*Calculateur!GJ172*VLOOKUP('Données projet'!$B$17,Paramètres!$A$1:$I$89,3,0)*0.475*44/12</f>
        <v>0.19566768389107492</v>
      </c>
      <c r="GN172" s="21">
        <f>EXP(-LN(2)/2)*GN171+(1-EXP(-LN(2)/2))/(LN(2)/2)*GH172*GK172*VLOOKUP('Données projet'!$B$17,Paramètres!$A$1:$I$89,3,0)*0.475*44/12</f>
        <v>1.5404302209992403E-20</v>
      </c>
      <c r="GO172" s="21">
        <f t="shared" si="187"/>
        <v>0.19566768389107492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-5.3205440053716299E-14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215.23235148064941</v>
      </c>
      <c r="T173" s="59">
        <f t="shared" si="142"/>
        <v>184.07239726900434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0.19591135011379052</v>
      </c>
      <c r="AA173" s="21">
        <f>EXP(-LN(2)/25)*AA172+(1-EXP(-LN(2)/25))/(LN(2)/25)*Calculateur!V173*Calculateur!X173*VLOOKUP('Données projet'!$B$9,Paramètres!$A$1:$I$89,3,0)*0.475*44/12</f>
        <v>0.16195855246700855</v>
      </c>
      <c r="AB173" s="21">
        <f>EXP(-LN(2)/2)*AB172+(1-EXP(-LN(2)/2))/(LN(2)/2)*V173*Y173*VLOOKUP('Données projet'!$B$9,Paramètres!$A$1:$I$89,3,0)*0.475*44/12</f>
        <v>8.3281774220295273E-21</v>
      </c>
      <c r="AC173" s="22">
        <f t="shared" si="163"/>
        <v>0.35786990258079909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5.6843418860808015E-14</v>
      </c>
      <c r="AJ173" s="13">
        <f>AI173*VLOOKUP('Données projet'!$B$10,Paramètres!$A$1:$I$89,3,0)*VLOOKUP('Données projet'!$B$10,Paramètres!$A$1:$I$89,5,0)</f>
        <v>4.1677594708744434E-14</v>
      </c>
      <c r="AK173" s="13">
        <f t="shared" si="164"/>
        <v>6.9326303456159188E-13</v>
      </c>
      <c r="AL173" s="20">
        <f t="shared" si="165"/>
        <v>1.2800215959791691E-12</v>
      </c>
      <c r="AM173" s="59">
        <f t="shared" si="113"/>
        <v>293.33333333333462</v>
      </c>
      <c r="AN173" s="59">
        <f ca="1">AVERAGE(OFFSET($AM$3,0,0,'Données projet'!$E$10+1,1))-AVERAGE(OFFSET($H$3,0,0,'Données projet'!$E$10+1,1))</f>
        <v>178.12968684094687</v>
      </c>
      <c r="AO173" s="59">
        <f t="shared" si="144"/>
        <v>219.36004077210373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0.1585152807072705</v>
      </c>
      <c r="AW173" s="21">
        <f>EXP(-LN(2)/2)*AW172+(1-EXP(-LN(2)/2))/(LN(2)/2)*AQ173*AT173*VLOOKUP('Données projet'!$B$10,Paramètres!$A$1:$I$89,3,0)*0.475*44/12</f>
        <v>8.4004616191049545E-21</v>
      </c>
      <c r="AX173" s="21">
        <f t="shared" si="166"/>
        <v>0.1585152807072705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-5.6843418860808015E-14</v>
      </c>
      <c r="BE173" s="13">
        <f>BD173*VLOOKUP('Données projet'!$B$11,Paramètres!$A$1:$I$89,3,0)*VLOOKUP('Données projet'!$B$11,Paramètres!$A$1:$I$89,5,0)</f>
        <v>-4.9658410716801891E-14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114.02623091248347</v>
      </c>
      <c r="BJ173" s="59">
        <f t="shared" si="146"/>
        <v>185.51554083721635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0.12198489778216993</v>
      </c>
      <c r="BQ173" s="21">
        <f>EXP(-LN(2)/25)*BQ172+(1-EXP(-LN(2)/25))/(LN(2)/25)*Calculateur!BL173*Calculateur!BN173*VLOOKUP('Données projet'!$B$11,Paramètres!$A$1:$I$89,3,0)*0.475*44/12</f>
        <v>0.2320711449247122</v>
      </c>
      <c r="BR173" s="21">
        <f>EXP(-LN(2)/2)*BR172+(1-EXP(-LN(2)/2))/(LN(2)/2)*BL173*BO173*VLOOKUP('Données projet'!$B$11,Paramètres!$A$1:$I$89,3,0)*0.475*44/12</f>
        <v>1.4941045743578502E-20</v>
      </c>
      <c r="BS173" s="22">
        <f t="shared" si="169"/>
        <v>0.35405604270688212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-1.1368683772161603E-13</v>
      </c>
      <c r="BZ173" s="13">
        <f>BY173*VLOOKUP('Données projet'!$B$12,Paramètres!$A$1:$I$89,3,0)*VLOOKUP('Données projet'!$B$12,Paramètres!$A$1:$I$89,5,0)</f>
        <v>-1.0286385077051818E-13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237.22177246688199</v>
      </c>
      <c r="CE173" s="59">
        <f t="shared" si="148"/>
        <v>149.27472147904302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6.4036093577686748E-2</v>
      </c>
      <c r="CM173" s="21">
        <f>EXP(-LN(2)/2)*CM172+(1-EXP(-LN(2)/2))/(LN(2)/2)*CG173*CJ173*VLOOKUP('Données projet'!$B$12,Paramètres!$A$1:$I$89,3,0)*0.475*44/12</f>
        <v>5.242581554718591E-21</v>
      </c>
      <c r="CN173" s="22">
        <f t="shared" si="172"/>
        <v>6.4036093577686748E-2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-5.6843418860808015E-13</v>
      </c>
      <c r="CU173" s="17">
        <f>CT173*VLOOKUP('Données projet'!$B$13,Paramètres!$A$1:$I$89,3,0)*VLOOKUP('Données projet'!$B$13,Paramètres!$A$1:$I$89,5,0)</f>
        <v>-3.177547114319168E-13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326.31232746914907</v>
      </c>
      <c r="CZ173" s="59">
        <f t="shared" si="150"/>
        <v>330.17137761430297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0.28549656927741923</v>
      </c>
      <c r="DG173" s="21">
        <f>EXP(-LN(2)/25)*DG172+(1-EXP(-LN(2)/25))/(LN(2)/25)*Calculateur!DB173*Calculateur!DD173*VLOOKUP('Données projet'!$B$13,Paramètres!$A$1:$I$89,3,0)*0.475*44/12</f>
        <v>0.62208506143240905</v>
      </c>
      <c r="DH173" s="21">
        <f>EXP(-LN(2)/2)*DH172+(1-EXP(-LN(2)/2))/(LN(2)/2)*DB173*DE173*VLOOKUP('Données projet'!$B$13,Paramètres!$A$1:$I$89,3,0)*0.475*44/12</f>
        <v>2.7547280363274569E-20</v>
      </c>
      <c r="DI173" s="22">
        <f t="shared" si="175"/>
        <v>0.90758163070982834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6.2527760746888816E-13</v>
      </c>
      <c r="DP173" s="17">
        <f>DO173*VLOOKUP('Données projet'!$B$14,Paramètres!$A$1:$I$89,3,0)*VLOOKUP('Données projet'!$B$14,Paramètres!$A$1:$I$89,5,0)</f>
        <v>3.9017322706058616E-13</v>
      </c>
      <c r="DQ173" s="13">
        <f t="shared" si="176"/>
        <v>5.0025007393608908E-12</v>
      </c>
      <c r="DR173" s="20">
        <f t="shared" si="177"/>
        <v>9.3922404915174053E-12</v>
      </c>
      <c r="DS173" s="59">
        <f t="shared" si="125"/>
        <v>293.33333333334269</v>
      </c>
      <c r="DT173" s="59">
        <f ca="1">AVERAGE(OFFSET($DS$3,0,0,'Données projet'!$E$14+1,1))-AVERAGE(OFFSET($H$3,0,0,'Données projet'!$E$14+1,1))</f>
        <v>209.93608079129638</v>
      </c>
      <c r="DU173" s="59">
        <f t="shared" si="152"/>
        <v>240.15652428700969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0.43458251560199113</v>
      </c>
      <c r="EB173" s="21">
        <f>EXP(-LN(2)/25)*EB172+(1-EXP(-LN(2)/25))/(LN(2)/25)*Calculateur!DW173*Calculateur!DY173*VLOOKUP('Données projet'!$B$14,Paramètres!$A$1:$I$89,3,0)*0.475*44/12</f>
        <v>0.42859077591474753</v>
      </c>
      <c r="EC173" s="21">
        <f>EXP(-LN(2)/2)*EC172+(1-EXP(-LN(2)/2))/(LN(2)/2)*DW173*DZ173*VLOOKUP('Données projet'!$B$14,Paramètres!$A$1:$I$89,3,0)*0.475*44/12</f>
        <v>1.7102285963579625E-20</v>
      </c>
      <c r="ED173" s="22">
        <f t="shared" si="178"/>
        <v>0.86317329151673872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-4.5474735088646412E-13</v>
      </c>
      <c r="EK173" s="17">
        <f>EJ173*VLOOKUP('Données projet'!$B$15,Paramètres!$A$1:$I$89,3,0)*VLOOKUP('Données projet'!$B$15,Paramètres!$A$1:$I$89,5,0)</f>
        <v>-2.7193891583010558E-13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216.94426559495264</v>
      </c>
      <c r="EP173" s="59">
        <f t="shared" si="154"/>
        <v>225.33715877618704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</v>
      </c>
      <c r="EW173" s="21">
        <f>EXP(-LN(2)/25)*EW172+(1-EXP(-LN(2)/25))/(LN(2)/25)*Calculateur!ER173*Calculateur!ET173*VLOOKUP('Données projet'!$B$15,Paramètres!$A$1:$I$89,3,0)*0.475*44/12</f>
        <v>0.26491726412925343</v>
      </c>
      <c r="EX173" s="21">
        <f>EXP(-LN(2)/2)*EX172+(1-EXP(-LN(2)/2))/(LN(2)/2)*ER173*EU173*VLOOKUP('Données projet'!$B$15,Paramètres!$A$1:$I$89,3,0)*0.475*44/12</f>
        <v>2.0099549630378816E-20</v>
      </c>
      <c r="EY173" s="22">
        <f t="shared" si="181"/>
        <v>0.26491726412925343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>
        <f>FE173*VLOOKUP('Données projet'!$B$16,Paramètres!$A$1:$I$89,3,0)*VLOOKUP('Données projet'!$B$16,Paramètres!$A$1:$I$89,5,0)</f>
        <v>0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168.08890945052406</v>
      </c>
      <c r="FK173" s="59">
        <f t="shared" si="156"/>
        <v>182.52462557642343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0.38826651295450687</v>
      </c>
      <c r="FR173" s="21">
        <f>EXP(-LN(2)/25)*FR172+(1-EXP(-LN(2)/25))/(LN(2)/25)*Calculateur!FM173*Calculateur!FO173*VLOOKUP('Données projet'!$B$16,Paramètres!$A$1:$I$89,3,0)*0.475*44/12</f>
        <v>0.25422963559788725</v>
      </c>
      <c r="FS173" s="21">
        <f>EXP(-LN(2)/2)*FS172+(1-EXP(-LN(2)/2))/(LN(2)/2)*FM173*FP173*VLOOKUP('Données projet'!$B$16,Paramètres!$A$1:$I$89,3,0)*0.475*44/12</f>
        <v>4.6126808614523128E-21</v>
      </c>
      <c r="FT173" s="22">
        <f t="shared" si="184"/>
        <v>0.64249614855239412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-5.6843418860808015E-14</v>
      </c>
      <c r="GA173" s="17">
        <f>FZ173*VLOOKUP('Données projet'!$B$17,Paramètres!$A$1:$I$89,3,0)*VLOOKUP('Données projet'!$B$17,Paramètres!$A$1:$I$89,5,0)</f>
        <v>-3.2514435588382188E-14</v>
      </c>
      <c r="GB173" s="13" t="e">
        <f t="shared" si="185"/>
        <v>#NUM!</v>
      </c>
      <c r="GC173" s="20" t="e">
        <f t="shared" si="186"/>
        <v>#NUM!</v>
      </c>
      <c r="GD173" s="59" t="e">
        <f t="shared" si="134"/>
        <v>#NUM!</v>
      </c>
      <c r="GE173" s="59">
        <f ca="1">AVERAGE(OFFSET($GD$3,0,0,'Données projet'!$E$17+1,1))-AVERAGE(OFFSET($H$3,0,0,'Données projet'!$E$17+1,1))</f>
        <v>196.95560009657527</v>
      </c>
      <c r="GF173" s="59">
        <f t="shared" si="158"/>
        <v>168.90186968005662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0</v>
      </c>
      <c r="GM173" s="21">
        <f>EXP(-LN(2)/25)*GM172+(1-EXP(-LN(2)/25))/(LN(2)/25)*Calculateur!GH173*Calculateur!GJ173*VLOOKUP('Données projet'!$B$17,Paramètres!$A$1:$I$89,3,0)*0.475*44/12</f>
        <v>0.19031714078535719</v>
      </c>
      <c r="GN173" s="21">
        <f>EXP(-LN(2)/2)*GN172+(1-EXP(-LN(2)/2))/(LN(2)/2)*GH173*GK173*VLOOKUP('Données projet'!$B$17,Paramètres!$A$1:$I$89,3,0)*0.475*44/12</f>
        <v>1.0892486552132548E-20</v>
      </c>
      <c r="GO173" s="21">
        <f t="shared" si="187"/>
        <v>0.19031714078535719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-5.3205440053716299E-14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215.23235148064941</v>
      </c>
      <c r="T174" s="59">
        <f t="shared" si="142"/>
        <v>184.07239726900434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0.1920696480321836</v>
      </c>
      <c r="AA174" s="21">
        <f>EXP(-LN(2)/25)*AA173+(1-EXP(-LN(2)/25))/(LN(2)/25)*Calculateur!V174*Calculateur!X174*VLOOKUP('Données projet'!$B$9,Paramètres!$A$1:$I$89,3,0)*0.475*44/12</f>
        <v>0.1575297873327681</v>
      </c>
      <c r="AB174" s="21">
        <f>EXP(-LN(2)/2)*AB173+(1-EXP(-LN(2)/2))/(LN(2)/2)*V174*Y174*VLOOKUP('Données projet'!$B$9,Paramètres!$A$1:$I$89,3,0)*0.475*44/12</f>
        <v>5.8889107300417785E-21</v>
      </c>
      <c r="AC174" s="22">
        <f t="shared" si="163"/>
        <v>0.34959943536495169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5.6843418860808015E-14</v>
      </c>
      <c r="AJ174" s="13">
        <f>AI174*VLOOKUP('Données projet'!$B$10,Paramètres!$A$1:$I$89,3,0)*VLOOKUP('Données projet'!$B$10,Paramètres!$A$1:$I$89,5,0)</f>
        <v>4.1677594708744434E-14</v>
      </c>
      <c r="AK174" s="13">
        <f t="shared" si="164"/>
        <v>6.9326303456159188E-13</v>
      </c>
      <c r="AL174" s="20">
        <f t="shared" si="165"/>
        <v>1.2800215959791691E-12</v>
      </c>
      <c r="AM174" s="59">
        <f t="shared" si="113"/>
        <v>293.33333333333462</v>
      </c>
      <c r="AN174" s="59">
        <f ca="1">AVERAGE(OFFSET($AM$3,0,0,'Données projet'!$E$10+1,1))-AVERAGE(OFFSET($H$3,0,0,'Données projet'!$E$10+1,1))</f>
        <v>178.12968684094687</v>
      </c>
      <c r="AO174" s="59">
        <f t="shared" si="144"/>
        <v>219.36004077210373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0.15418067202037386</v>
      </c>
      <c r="AW174" s="21">
        <f>EXP(-LN(2)/2)*AW173+(1-EXP(-LN(2)/2))/(LN(2)/2)*AQ174*AT174*VLOOKUP('Données projet'!$B$10,Paramètres!$A$1:$I$89,3,0)*0.475*44/12</f>
        <v>5.9400233759664378E-21</v>
      </c>
      <c r="AX174" s="21">
        <f t="shared" si="166"/>
        <v>0.15418067202037386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-5.6843418860808015E-14</v>
      </c>
      <c r="BE174" s="13">
        <f>BD174*VLOOKUP('Données projet'!$B$11,Paramètres!$A$1:$I$89,3,0)*VLOOKUP('Données projet'!$B$11,Paramètres!$A$1:$I$89,5,0)</f>
        <v>-4.9658410716801891E-14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114.02623091248347</v>
      </c>
      <c r="BJ174" s="59">
        <f t="shared" si="146"/>
        <v>185.51554083721635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0.1195928483401025</v>
      </c>
      <c r="BQ174" s="21">
        <f>EXP(-LN(2)/25)*BQ173+(1-EXP(-LN(2)/25))/(LN(2)/25)*Calculateur!BL174*Calculateur!BN174*VLOOKUP('Données projet'!$B$11,Paramètres!$A$1:$I$89,3,0)*0.475*44/12</f>
        <v>0.22572514726265483</v>
      </c>
      <c r="BR174" s="21">
        <f>EXP(-LN(2)/2)*BR173+(1-EXP(-LN(2)/2))/(LN(2)/2)*BL174*BO174*VLOOKUP('Données projet'!$B$11,Paramètres!$A$1:$I$89,3,0)*0.475*44/12</f>
        <v>1.0564914763302761E-20</v>
      </c>
      <c r="BS174" s="22">
        <f t="shared" si="169"/>
        <v>0.34531799560275733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-1.1368683772161603E-13</v>
      </c>
      <c r="BZ174" s="13">
        <f>BY174*VLOOKUP('Données projet'!$B$12,Paramètres!$A$1:$I$89,3,0)*VLOOKUP('Données projet'!$B$12,Paramètres!$A$1:$I$89,5,0)</f>
        <v>-1.0286385077051818E-13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237.22177246688199</v>
      </c>
      <c r="CE174" s="59">
        <f t="shared" si="148"/>
        <v>149.27472147904302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6.2285023231293098E-2</v>
      </c>
      <c r="CM174" s="21">
        <f>EXP(-LN(2)/2)*CM173+(1-EXP(-LN(2)/2))/(LN(2)/2)*CG174*CJ174*VLOOKUP('Données projet'!$B$12,Paramètres!$A$1:$I$89,3,0)*0.475*44/12</f>
        <v>3.7070649682650288E-21</v>
      </c>
      <c r="CN174" s="22">
        <f t="shared" si="172"/>
        <v>6.2285023231293098E-2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-5.6843418860808015E-13</v>
      </c>
      <c r="CU174" s="17">
        <f>CT174*VLOOKUP('Données projet'!$B$13,Paramètres!$A$1:$I$89,3,0)*VLOOKUP('Données projet'!$B$13,Paramètres!$A$1:$I$89,5,0)</f>
        <v>-3.177547114319168E-13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326.31232746914907</v>
      </c>
      <c r="CZ174" s="59">
        <f t="shared" si="150"/>
        <v>330.17137761430297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0.2798981556896018</v>
      </c>
      <c r="DG174" s="21">
        <f>EXP(-LN(2)/25)*DG173+(1-EXP(-LN(2)/25))/(LN(2)/25)*Calculateur!DB174*Calculateur!DD174*VLOOKUP('Données projet'!$B$13,Paramètres!$A$1:$I$89,3,0)*0.475*44/12</f>
        <v>0.60507411271350819</v>
      </c>
      <c r="DH174" s="21">
        <f>EXP(-LN(2)/2)*DH173+(1-EXP(-LN(2)/2))/(LN(2)/2)*DB174*DE174*VLOOKUP('Données projet'!$B$13,Paramètres!$A$1:$I$89,3,0)*0.475*44/12</f>
        <v>1.9478868748118468E-20</v>
      </c>
      <c r="DI174" s="22">
        <f t="shared" si="175"/>
        <v>0.88497226840311005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6.2527760746888816E-13</v>
      </c>
      <c r="DP174" s="17">
        <f>DO174*VLOOKUP('Données projet'!$B$14,Paramètres!$A$1:$I$89,3,0)*VLOOKUP('Données projet'!$B$14,Paramètres!$A$1:$I$89,5,0)</f>
        <v>3.9017322706058616E-13</v>
      </c>
      <c r="DQ174" s="13">
        <f t="shared" si="176"/>
        <v>5.0025007393608908E-12</v>
      </c>
      <c r="DR174" s="20">
        <f t="shared" si="177"/>
        <v>9.3922404915174053E-12</v>
      </c>
      <c r="DS174" s="59">
        <f t="shared" si="125"/>
        <v>293.33333333334269</v>
      </c>
      <c r="DT174" s="59">
        <f ca="1">AVERAGE(OFFSET($DS$3,0,0,'Données projet'!$E$14+1,1))-AVERAGE(OFFSET($H$3,0,0,'Données projet'!$E$14+1,1))</f>
        <v>209.93608079129638</v>
      </c>
      <c r="DU174" s="59">
        <f t="shared" si="152"/>
        <v>240.15652428700969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0.4260606175401972</v>
      </c>
      <c r="EB174" s="21">
        <f>EXP(-LN(2)/25)*EB173+(1-EXP(-LN(2)/25))/(LN(2)/25)*Calculateur!DW174*Calculateur!DY174*VLOOKUP('Données projet'!$B$14,Paramètres!$A$1:$I$89,3,0)*0.475*44/12</f>
        <v>0.41687093860874941</v>
      </c>
      <c r="EC174" s="21">
        <f>EXP(-LN(2)/2)*EC173+(1-EXP(-LN(2)/2))/(LN(2)/2)*DW174*DZ174*VLOOKUP('Données projet'!$B$14,Paramètres!$A$1:$I$89,3,0)*0.475*44/12</f>
        <v>1.2093142378638661E-20</v>
      </c>
      <c r="ED174" s="22">
        <f t="shared" si="178"/>
        <v>0.84293155614894655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-4.5474735088646412E-13</v>
      </c>
      <c r="EK174" s="17">
        <f>EJ174*VLOOKUP('Données projet'!$B$15,Paramètres!$A$1:$I$89,3,0)*VLOOKUP('Données projet'!$B$15,Paramètres!$A$1:$I$89,5,0)</f>
        <v>-2.7193891583010558E-13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216.94426559495264</v>
      </c>
      <c r="EP174" s="59">
        <f t="shared" si="154"/>
        <v>225.33715877618704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</v>
      </c>
      <c r="EW174" s="21">
        <f>EXP(-LN(2)/25)*EW173+(1-EXP(-LN(2)/25))/(LN(2)/25)*Calculateur!ER174*Calculateur!ET174*VLOOKUP('Données projet'!$B$15,Paramètres!$A$1:$I$89,3,0)*0.475*44/12</f>
        <v>0.25767308761024554</v>
      </c>
      <c r="EX174" s="21">
        <f>EXP(-LN(2)/2)*EX173+(1-EXP(-LN(2)/2))/(LN(2)/2)*ER174*EU174*VLOOKUP('Données projet'!$B$15,Paramètres!$A$1:$I$89,3,0)*0.475*44/12</f>
        <v>1.4212527842436425E-20</v>
      </c>
      <c r="EY174" s="22">
        <f t="shared" si="181"/>
        <v>0.25767308761024554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>
        <f>FE174*VLOOKUP('Données projet'!$B$16,Paramètres!$A$1:$I$89,3,0)*VLOOKUP('Données projet'!$B$16,Paramètres!$A$1:$I$89,5,0)</f>
        <v>0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168.08890945052406</v>
      </c>
      <c r="FK174" s="59">
        <f t="shared" si="156"/>
        <v>182.52462557642343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0.38065284345465794</v>
      </c>
      <c r="FR174" s="21">
        <f>EXP(-LN(2)/25)*FR173+(1-EXP(-LN(2)/25))/(LN(2)/25)*Calculateur!FM174*Calculateur!FO174*VLOOKUP('Données projet'!$B$16,Paramètres!$A$1:$I$89,3,0)*0.475*44/12</f>
        <v>0.24727771284310754</v>
      </c>
      <c r="FS174" s="21">
        <f>EXP(-LN(2)/2)*FS173+(1-EXP(-LN(2)/2))/(LN(2)/2)*FM174*FP174*VLOOKUP('Données projet'!$B$16,Paramètres!$A$1:$I$89,3,0)*0.475*44/12</f>
        <v>3.2616579165823361E-21</v>
      </c>
      <c r="FT174" s="22">
        <f t="shared" si="184"/>
        <v>0.62793055629776551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-5.6843418860808015E-14</v>
      </c>
      <c r="GA174" s="17">
        <f>FZ174*VLOOKUP('Données projet'!$B$17,Paramètres!$A$1:$I$89,3,0)*VLOOKUP('Données projet'!$B$17,Paramètres!$A$1:$I$89,5,0)</f>
        <v>-3.2514435588382188E-14</v>
      </c>
      <c r="GB174" s="13" t="e">
        <f t="shared" si="185"/>
        <v>#NUM!</v>
      </c>
      <c r="GC174" s="20" t="e">
        <f t="shared" si="186"/>
        <v>#NUM!</v>
      </c>
      <c r="GD174" s="59" t="e">
        <f t="shared" si="134"/>
        <v>#NUM!</v>
      </c>
      <c r="GE174" s="59">
        <f ca="1">AVERAGE(OFFSET($GD$3,0,0,'Données projet'!$E$17+1,1))-AVERAGE(OFFSET($H$3,0,0,'Données projet'!$E$17+1,1))</f>
        <v>196.95560009657527</v>
      </c>
      <c r="GF174" s="59">
        <f t="shared" si="158"/>
        <v>168.90186968005662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0</v>
      </c>
      <c r="GM174" s="21">
        <f>EXP(-LN(2)/25)*GM173+(1-EXP(-LN(2)/25))/(LN(2)/25)*Calculateur!GH174*Calculateur!GJ174*VLOOKUP('Données projet'!$B$17,Paramètres!$A$1:$I$89,3,0)*0.475*44/12</f>
        <v>0.18511290856223814</v>
      </c>
      <c r="GN174" s="21">
        <f>EXP(-LN(2)/2)*GN173+(1-EXP(-LN(2)/2))/(LN(2)/2)*GH174*GK174*VLOOKUP('Données projet'!$B$17,Paramètres!$A$1:$I$89,3,0)*0.475*44/12</f>
        <v>7.7021511049962015E-21</v>
      </c>
      <c r="GO174" s="21">
        <f t="shared" si="187"/>
        <v>0.18511290856223814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-5.3205440053716299E-14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215.23235148064941</v>
      </c>
      <c r="T175" s="59">
        <f t="shared" si="142"/>
        <v>184.07239726900434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0.18830327938519009</v>
      </c>
      <c r="AA175" s="21">
        <f>EXP(-LN(2)/25)*AA174+(1-EXP(-LN(2)/25))/(LN(2)/25)*Calculateur!V175*Calculateur!X175*VLOOKUP('Données projet'!$B$9,Paramètres!$A$1:$I$89,3,0)*0.475*44/12</f>
        <v>0.15322212701402207</v>
      </c>
      <c r="AB175" s="21">
        <f>EXP(-LN(2)/2)*AB174+(1-EXP(-LN(2)/2))/(LN(2)/2)*V175*Y175*VLOOKUP('Données projet'!$B$9,Paramètres!$A$1:$I$89,3,0)*0.475*44/12</f>
        <v>4.1640887110147636E-21</v>
      </c>
      <c r="AC175" s="22">
        <f t="shared" si="163"/>
        <v>0.34152540639921214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5.6843418860808015E-14</v>
      </c>
      <c r="AJ175" s="13">
        <f>AI175*VLOOKUP('Données projet'!$B$10,Paramètres!$A$1:$I$89,3,0)*VLOOKUP('Données projet'!$B$10,Paramètres!$A$1:$I$89,5,0)</f>
        <v>4.1677594708744434E-14</v>
      </c>
      <c r="AK175" s="13">
        <f t="shared" si="164"/>
        <v>6.9326303456159188E-13</v>
      </c>
      <c r="AL175" s="20">
        <f t="shared" si="165"/>
        <v>1.2800215959791691E-12</v>
      </c>
      <c r="AM175" s="59">
        <f t="shared" si="113"/>
        <v>293.33333333333462</v>
      </c>
      <c r="AN175" s="59">
        <f ca="1">AVERAGE(OFFSET($AM$3,0,0,'Données projet'!$E$10+1,1))-AVERAGE(OFFSET($H$3,0,0,'Données projet'!$E$10+1,1))</f>
        <v>178.12968684094687</v>
      </c>
      <c r="AO175" s="59">
        <f t="shared" si="144"/>
        <v>219.36004077210373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0.14996459343596757</v>
      </c>
      <c r="AW175" s="21">
        <f>EXP(-LN(2)/2)*AW174+(1-EXP(-LN(2)/2))/(LN(2)/2)*AQ175*AT175*VLOOKUP('Données projet'!$B$10,Paramètres!$A$1:$I$89,3,0)*0.475*44/12</f>
        <v>4.2002308095524772E-21</v>
      </c>
      <c r="AX175" s="21">
        <f t="shared" si="166"/>
        <v>0.14996459343596757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-5.6843418860808015E-14</v>
      </c>
      <c r="BE175" s="13">
        <f>BD175*VLOOKUP('Données projet'!$B$11,Paramètres!$A$1:$I$89,3,0)*VLOOKUP('Données projet'!$B$11,Paramètres!$A$1:$I$89,5,0)</f>
        <v>-4.9658410716801891E-14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114.02623091248347</v>
      </c>
      <c r="BJ175" s="59">
        <f t="shared" si="146"/>
        <v>185.51554083721635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0.11724770552858792</v>
      </c>
      <c r="BQ175" s="21">
        <f>EXP(-LN(2)/25)*BQ174+(1-EXP(-LN(2)/25))/(LN(2)/25)*Calculateur!BL175*Calculateur!BN175*VLOOKUP('Données projet'!$B$11,Paramètres!$A$1:$I$89,3,0)*0.475*44/12</f>
        <v>0.21955268124038793</v>
      </c>
      <c r="BR175" s="21">
        <f>EXP(-LN(2)/2)*BR174+(1-EXP(-LN(2)/2))/(LN(2)/2)*BL175*BO175*VLOOKUP('Données projet'!$B$11,Paramètres!$A$1:$I$89,3,0)*0.475*44/12</f>
        <v>7.4705228717892509E-21</v>
      </c>
      <c r="BS175" s="22">
        <f t="shared" si="169"/>
        <v>0.33680038676897583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-1.1368683772161603E-13</v>
      </c>
      <c r="BZ175" s="13">
        <f>BY175*VLOOKUP('Données projet'!$B$12,Paramètres!$A$1:$I$89,3,0)*VLOOKUP('Données projet'!$B$12,Paramètres!$A$1:$I$89,5,0)</f>
        <v>-1.0286385077051818E-13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237.22177246688199</v>
      </c>
      <c r="CE175" s="59">
        <f t="shared" si="148"/>
        <v>149.27472147904302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6.0581835995606369E-2</v>
      </c>
      <c r="CM175" s="21">
        <f>EXP(-LN(2)/2)*CM174+(1-EXP(-LN(2)/2))/(LN(2)/2)*CG175*CJ175*VLOOKUP('Données projet'!$B$12,Paramètres!$A$1:$I$89,3,0)*0.475*44/12</f>
        <v>2.6212907773592955E-21</v>
      </c>
      <c r="CN175" s="22">
        <f t="shared" si="172"/>
        <v>6.0581835995606369E-2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-5.6843418860808015E-13</v>
      </c>
      <c r="CU175" s="17">
        <f>CT175*VLOOKUP('Données projet'!$B$13,Paramètres!$A$1:$I$89,3,0)*VLOOKUP('Données projet'!$B$13,Paramètres!$A$1:$I$89,5,0)</f>
        <v>-3.177547114319168E-13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326.31232746914907</v>
      </c>
      <c r="CZ175" s="59">
        <f t="shared" si="150"/>
        <v>330.17137761430297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0.27440952357754639</v>
      </c>
      <c r="DG175" s="21">
        <f>EXP(-LN(2)/25)*DG174+(1-EXP(-LN(2)/25))/(LN(2)/25)*Calculateur!DB175*Calculateur!DD175*VLOOKUP('Données projet'!$B$13,Paramètres!$A$1:$I$89,3,0)*0.475*44/12</f>
        <v>0.58852832928189269</v>
      </c>
      <c r="DH175" s="21">
        <f>EXP(-LN(2)/2)*DH174+(1-EXP(-LN(2)/2))/(LN(2)/2)*DB175*DE175*VLOOKUP('Données projet'!$B$13,Paramètres!$A$1:$I$89,3,0)*0.475*44/12</f>
        <v>1.3773640181637284E-20</v>
      </c>
      <c r="DI175" s="22">
        <f t="shared" si="175"/>
        <v>0.86293785285943914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6.2527760746888816E-13</v>
      </c>
      <c r="DP175" s="17">
        <f>DO175*VLOOKUP('Données projet'!$B$14,Paramètres!$A$1:$I$89,3,0)*VLOOKUP('Données projet'!$B$14,Paramètres!$A$1:$I$89,5,0)</f>
        <v>3.9017322706058616E-13</v>
      </c>
      <c r="DQ175" s="13">
        <f t="shared" si="176"/>
        <v>5.0025007393608908E-12</v>
      </c>
      <c r="DR175" s="20">
        <f t="shared" si="177"/>
        <v>9.3922404915174053E-12</v>
      </c>
      <c r="DS175" s="59">
        <f t="shared" si="125"/>
        <v>293.33333333334269</v>
      </c>
      <c r="DT175" s="59">
        <f ca="1">AVERAGE(OFFSET($DS$3,0,0,'Données projet'!$E$14+1,1))-AVERAGE(OFFSET($H$3,0,0,'Données projet'!$E$14+1,1))</f>
        <v>209.93608079129638</v>
      </c>
      <c r="DU175" s="59">
        <f t="shared" si="152"/>
        <v>240.15652428700969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0.41770582870155049</v>
      </c>
      <c r="EB175" s="21">
        <f>EXP(-LN(2)/25)*EB174+(1-EXP(-LN(2)/25))/(LN(2)/25)*Calculateur!DW175*Calculateur!DY175*VLOOKUP('Données projet'!$B$14,Paramètres!$A$1:$I$89,3,0)*0.475*44/12</f>
        <v>0.40547158087020324</v>
      </c>
      <c r="EC175" s="21">
        <f>EXP(-LN(2)/2)*EC174+(1-EXP(-LN(2)/2))/(LN(2)/2)*DW175*DZ175*VLOOKUP('Données projet'!$B$14,Paramètres!$A$1:$I$89,3,0)*0.475*44/12</f>
        <v>8.5511429817898126E-21</v>
      </c>
      <c r="ED175" s="22">
        <f t="shared" si="178"/>
        <v>0.82317740957175367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-4.5474735088646412E-13</v>
      </c>
      <c r="EK175" s="17">
        <f>EJ175*VLOOKUP('Données projet'!$B$15,Paramètres!$A$1:$I$89,3,0)*VLOOKUP('Données projet'!$B$15,Paramètres!$A$1:$I$89,5,0)</f>
        <v>-2.7193891583010558E-13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216.94426559495264</v>
      </c>
      <c r="EP175" s="59">
        <f t="shared" si="154"/>
        <v>225.33715877618704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</v>
      </c>
      <c r="EW175" s="21">
        <f>EXP(-LN(2)/25)*EW174+(1-EXP(-LN(2)/25))/(LN(2)/25)*Calculateur!ER175*Calculateur!ET175*VLOOKUP('Données projet'!$B$15,Paramètres!$A$1:$I$89,3,0)*0.475*44/12</f>
        <v>0.2506270034791046</v>
      </c>
      <c r="EX175" s="21">
        <f>EXP(-LN(2)/2)*EX174+(1-EXP(-LN(2)/2))/(LN(2)/2)*ER175*EU175*VLOOKUP('Données projet'!$B$15,Paramètres!$A$1:$I$89,3,0)*0.475*44/12</f>
        <v>1.0049774815189408E-20</v>
      </c>
      <c r="EY175" s="22">
        <f t="shared" si="181"/>
        <v>0.2506270034791046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>
        <f>FE175*VLOOKUP('Données projet'!$B$16,Paramètres!$A$1:$I$89,3,0)*VLOOKUP('Données projet'!$B$16,Paramètres!$A$1:$I$89,5,0)</f>
        <v>0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168.08890945052406</v>
      </c>
      <c r="FK175" s="59">
        <f t="shared" si="156"/>
        <v>182.52462557642343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0.37318847336982119</v>
      </c>
      <c r="FR175" s="21">
        <f>EXP(-LN(2)/25)*FR174+(1-EXP(-LN(2)/25))/(LN(2)/25)*Calculateur!FM175*Calculateur!FO175*VLOOKUP('Données projet'!$B$16,Paramètres!$A$1:$I$89,3,0)*0.475*44/12</f>
        <v>0.24051589078164301</v>
      </c>
      <c r="FS175" s="21">
        <f>EXP(-LN(2)/2)*FS174+(1-EXP(-LN(2)/2))/(LN(2)/2)*FM175*FP175*VLOOKUP('Données projet'!$B$16,Paramètres!$A$1:$I$89,3,0)*0.475*44/12</f>
        <v>2.3063404307261564E-21</v>
      </c>
      <c r="FT175" s="22">
        <f t="shared" si="184"/>
        <v>0.61370436415146423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-5.6843418860808015E-14</v>
      </c>
      <c r="GA175" s="17">
        <f>FZ175*VLOOKUP('Données projet'!$B$17,Paramètres!$A$1:$I$89,3,0)*VLOOKUP('Données projet'!$B$17,Paramètres!$A$1:$I$89,5,0)</f>
        <v>-3.2514435588382188E-14</v>
      </c>
      <c r="GB175" s="13" t="e">
        <f t="shared" si="185"/>
        <v>#NUM!</v>
      </c>
      <c r="GC175" s="20" t="e">
        <f t="shared" si="186"/>
        <v>#NUM!</v>
      </c>
      <c r="GD175" s="59" t="e">
        <f t="shared" si="134"/>
        <v>#NUM!</v>
      </c>
      <c r="GE175" s="59">
        <f ca="1">AVERAGE(OFFSET($GD$3,0,0,'Données projet'!$E$17+1,1))-AVERAGE(OFFSET($H$3,0,0,'Données projet'!$E$17+1,1))</f>
        <v>196.95560009657527</v>
      </c>
      <c r="GF175" s="59">
        <f t="shared" si="158"/>
        <v>168.90186968005662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0</v>
      </c>
      <c r="GM175" s="21">
        <f>EXP(-LN(2)/25)*GM174+(1-EXP(-LN(2)/25))/(LN(2)/25)*Calculateur!GH175*Calculateur!GJ175*VLOOKUP('Données projet'!$B$17,Paramètres!$A$1:$I$89,3,0)*0.475*44/12</f>
        <v>0.18005098634293895</v>
      </c>
      <c r="GN175" s="21">
        <f>EXP(-LN(2)/2)*GN174+(1-EXP(-LN(2)/2))/(LN(2)/2)*GH175*GK175*VLOOKUP('Données projet'!$B$17,Paramètres!$A$1:$I$89,3,0)*0.475*44/12</f>
        <v>5.4462432760662742E-21</v>
      </c>
      <c r="GO175" s="21">
        <f t="shared" si="187"/>
        <v>0.18005098634293895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-5.3205440053716299E-14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215.23235148064941</v>
      </c>
      <c r="T176" s="59">
        <f t="shared" si="142"/>
        <v>184.07239726900434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0.18461076693010608</v>
      </c>
      <c r="AA176" s="21">
        <f>EXP(-LN(2)/25)*AA175+(1-EXP(-LN(2)/25))/(LN(2)/25)*Calculateur!V176*Calculateur!X176*VLOOKUP('Données projet'!$B$9,Paramètres!$A$1:$I$89,3,0)*0.475*44/12</f>
        <v>0.14903225989322216</v>
      </c>
      <c r="AB176" s="21">
        <f>EXP(-LN(2)/2)*AB175+(1-EXP(-LN(2)/2))/(LN(2)/2)*V176*Y176*VLOOKUP('Données projet'!$B$9,Paramètres!$A$1:$I$89,3,0)*0.475*44/12</f>
        <v>2.9444553650208892E-21</v>
      </c>
      <c r="AC176" s="22">
        <f t="shared" si="163"/>
        <v>0.33364302682332825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5.6843418860808015E-14</v>
      </c>
      <c r="AJ176" s="13">
        <f>AI176*VLOOKUP('Données projet'!$B$10,Paramètres!$A$1:$I$89,3,0)*VLOOKUP('Données projet'!$B$10,Paramètres!$A$1:$I$89,5,0)</f>
        <v>4.1677594708744434E-14</v>
      </c>
      <c r="AK176" s="13">
        <f t="shared" si="164"/>
        <v>6.9326303456159188E-13</v>
      </c>
      <c r="AL176" s="20">
        <f t="shared" si="165"/>
        <v>1.2800215959791691E-12</v>
      </c>
      <c r="AM176" s="59">
        <f t="shared" si="113"/>
        <v>293.33333333333462</v>
      </c>
      <c r="AN176" s="59">
        <f ca="1">AVERAGE(OFFSET($AM$3,0,0,'Données projet'!$E$10+1,1))-AVERAGE(OFFSET($H$3,0,0,'Données projet'!$E$10+1,1))</f>
        <v>178.12968684094687</v>
      </c>
      <c r="AO176" s="59">
        <f t="shared" si="144"/>
        <v>219.36004077210373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0.14586380374216582</v>
      </c>
      <c r="AW176" s="21">
        <f>EXP(-LN(2)/2)*AW175+(1-EXP(-LN(2)/2))/(LN(2)/2)*AQ176*AT176*VLOOKUP('Données projet'!$B$10,Paramètres!$A$1:$I$89,3,0)*0.475*44/12</f>
        <v>2.9700116879832189E-21</v>
      </c>
      <c r="AX176" s="21">
        <f t="shared" si="166"/>
        <v>0.14586380374216582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-5.6843418860808015E-14</v>
      </c>
      <c r="BE176" s="13">
        <f>BD176*VLOOKUP('Données projet'!$B$11,Paramètres!$A$1:$I$89,3,0)*VLOOKUP('Données projet'!$B$11,Paramètres!$A$1:$I$89,5,0)</f>
        <v>-4.9658410716801891E-14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114.02623091248347</v>
      </c>
      <c r="BJ176" s="59">
        <f t="shared" si="146"/>
        <v>185.51554083721635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0.11494854953721126</v>
      </c>
      <c r="BQ176" s="21">
        <f>EXP(-LN(2)/25)*BQ175+(1-EXP(-LN(2)/25))/(LN(2)/25)*Calculateur!BL176*Calculateur!BN176*VLOOKUP('Données projet'!$B$11,Paramètres!$A$1:$I$89,3,0)*0.475*44/12</f>
        <v>0.2135490016260958</v>
      </c>
      <c r="BR176" s="21">
        <f>EXP(-LN(2)/2)*BR175+(1-EXP(-LN(2)/2))/(LN(2)/2)*BL176*BO176*VLOOKUP('Données projet'!$B$11,Paramètres!$A$1:$I$89,3,0)*0.475*44/12</f>
        <v>5.2824573816513805E-21</v>
      </c>
      <c r="BS176" s="22">
        <f t="shared" si="169"/>
        <v>0.32849755116330703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-1.1368683772161603E-13</v>
      </c>
      <c r="BZ176" s="13">
        <f>BY176*VLOOKUP('Données projet'!$B$12,Paramètres!$A$1:$I$89,3,0)*VLOOKUP('Données projet'!$B$12,Paramètres!$A$1:$I$89,5,0)</f>
        <v>-1.0286385077051818E-13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237.22177246688199</v>
      </c>
      <c r="CE176" s="59">
        <f t="shared" si="148"/>
        <v>149.27472147904302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5.892522250444622E-2</v>
      </c>
      <c r="CM176" s="21">
        <f>EXP(-LN(2)/2)*CM175+(1-EXP(-LN(2)/2))/(LN(2)/2)*CG176*CJ176*VLOOKUP('Données projet'!$B$12,Paramètres!$A$1:$I$89,3,0)*0.475*44/12</f>
        <v>1.8535324841325144E-21</v>
      </c>
      <c r="CN176" s="22">
        <f t="shared" si="172"/>
        <v>5.892522250444622E-2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-5.6843418860808015E-13</v>
      </c>
      <c r="CU176" s="17">
        <f>CT176*VLOOKUP('Données projet'!$B$13,Paramètres!$A$1:$I$89,3,0)*VLOOKUP('Données projet'!$B$13,Paramètres!$A$1:$I$89,5,0)</f>
        <v>-3.177547114319168E-13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326.31232746914907</v>
      </c>
      <c r="CZ176" s="59">
        <f t="shared" si="150"/>
        <v>330.17137761430297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0.26902852019347334</v>
      </c>
      <c r="DG176" s="21">
        <f>EXP(-LN(2)/25)*DG175+(1-EXP(-LN(2)/25))/(LN(2)/25)*Calculateur!DB176*Calculateur!DD176*VLOOKUP('Données projet'!$B$13,Paramètres!$A$1:$I$89,3,0)*0.475*44/12</f>
        <v>0.57243499116831964</v>
      </c>
      <c r="DH176" s="21">
        <f>EXP(-LN(2)/2)*DH175+(1-EXP(-LN(2)/2))/(LN(2)/2)*DB176*DE176*VLOOKUP('Données projet'!$B$13,Paramètres!$A$1:$I$89,3,0)*0.475*44/12</f>
        <v>9.7394343740592338E-21</v>
      </c>
      <c r="DI176" s="22">
        <f t="shared" si="175"/>
        <v>0.84146351136179298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6.2527760746888816E-13</v>
      </c>
      <c r="DP176" s="17">
        <f>DO176*VLOOKUP('Données projet'!$B$14,Paramètres!$A$1:$I$89,3,0)*VLOOKUP('Données projet'!$B$14,Paramètres!$A$1:$I$89,5,0)</f>
        <v>3.9017322706058616E-13</v>
      </c>
      <c r="DQ176" s="13">
        <f t="shared" si="176"/>
        <v>5.0025007393608908E-12</v>
      </c>
      <c r="DR176" s="20">
        <f t="shared" si="177"/>
        <v>9.3922404915174053E-12</v>
      </c>
      <c r="DS176" s="59">
        <f t="shared" si="125"/>
        <v>293.33333333334269</v>
      </c>
      <c r="DT176" s="59">
        <f ca="1">AVERAGE(OFFSET($DS$3,0,0,'Données projet'!$E$14+1,1))-AVERAGE(OFFSET($H$3,0,0,'Données projet'!$E$14+1,1))</f>
        <v>209.93608079129638</v>
      </c>
      <c r="DU176" s="59">
        <f t="shared" si="152"/>
        <v>240.15652428700969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0.4095148721761116</v>
      </c>
      <c r="EB176" s="21">
        <f>EXP(-LN(2)/25)*EB175+(1-EXP(-LN(2)/25))/(LN(2)/25)*Calculateur!DW176*Calculateur!DY176*VLOOKUP('Données projet'!$B$14,Paramètres!$A$1:$I$89,3,0)*0.475*44/12</f>
        <v>0.3943839391684838</v>
      </c>
      <c r="EC176" s="21">
        <f>EXP(-LN(2)/2)*EC175+(1-EXP(-LN(2)/2))/(LN(2)/2)*DW176*DZ176*VLOOKUP('Données projet'!$B$14,Paramètres!$A$1:$I$89,3,0)*0.475*44/12</f>
        <v>6.0465711893193307E-21</v>
      </c>
      <c r="ED176" s="22">
        <f t="shared" si="178"/>
        <v>0.8038988113445954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-4.5474735088646412E-13</v>
      </c>
      <c r="EK176" s="17">
        <f>EJ176*VLOOKUP('Données projet'!$B$15,Paramètres!$A$1:$I$89,3,0)*VLOOKUP('Données projet'!$B$15,Paramètres!$A$1:$I$89,5,0)</f>
        <v>-2.7193891583010558E-13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216.94426559495264</v>
      </c>
      <c r="EP176" s="59">
        <f t="shared" si="154"/>
        <v>225.33715877618704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</v>
      </c>
      <c r="EW176" s="21">
        <f>EXP(-LN(2)/25)*EW175+(1-EXP(-LN(2)/25))/(LN(2)/25)*Calculateur!ER176*Calculateur!ET176*VLOOKUP('Données projet'!$B$15,Paramètres!$A$1:$I$89,3,0)*0.475*44/12</f>
        <v>0.24377359488906719</v>
      </c>
      <c r="EX176" s="21">
        <f>EXP(-LN(2)/2)*EX175+(1-EXP(-LN(2)/2))/(LN(2)/2)*ER176*EU176*VLOOKUP('Données projet'!$B$15,Paramètres!$A$1:$I$89,3,0)*0.475*44/12</f>
        <v>7.1062639212182126E-21</v>
      </c>
      <c r="EY176" s="22">
        <f t="shared" si="181"/>
        <v>0.24377359488906719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>
        <f>FE176*VLOOKUP('Données projet'!$B$16,Paramètres!$A$1:$I$89,3,0)*VLOOKUP('Données projet'!$B$16,Paramètres!$A$1:$I$89,5,0)</f>
        <v>0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168.08890945052406</v>
      </c>
      <c r="FK176" s="59">
        <f t="shared" si="156"/>
        <v>182.52462557642343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0.36587047502953191</v>
      </c>
      <c r="FR176" s="21">
        <f>EXP(-LN(2)/25)*FR175+(1-EXP(-LN(2)/25))/(LN(2)/25)*Calculateur!FM176*Calculateur!FO176*VLOOKUP('Données projet'!$B$16,Paramètres!$A$1:$I$89,3,0)*0.475*44/12</f>
        <v>0.233938971100038</v>
      </c>
      <c r="FS176" s="21">
        <f>EXP(-LN(2)/2)*FS175+(1-EXP(-LN(2)/2))/(LN(2)/2)*FM176*FP176*VLOOKUP('Données projet'!$B$16,Paramètres!$A$1:$I$89,3,0)*0.475*44/12</f>
        <v>1.6308289582911681E-21</v>
      </c>
      <c r="FT176" s="22">
        <f t="shared" si="184"/>
        <v>0.59980944612956988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-5.6843418860808015E-14</v>
      </c>
      <c r="GA176" s="17">
        <f>FZ176*VLOOKUP('Données projet'!$B$17,Paramètres!$A$1:$I$89,3,0)*VLOOKUP('Données projet'!$B$17,Paramètres!$A$1:$I$89,5,0)</f>
        <v>-3.2514435588382188E-14</v>
      </c>
      <c r="GB176" s="13" t="e">
        <f t="shared" si="185"/>
        <v>#NUM!</v>
      </c>
      <c r="GC176" s="20" t="e">
        <f t="shared" si="186"/>
        <v>#NUM!</v>
      </c>
      <c r="GD176" s="59" t="e">
        <f t="shared" si="134"/>
        <v>#NUM!</v>
      </c>
      <c r="GE176" s="59">
        <f ca="1">AVERAGE(OFFSET($GD$3,0,0,'Données projet'!$E$17+1,1))-AVERAGE(OFFSET($H$3,0,0,'Données projet'!$E$17+1,1))</f>
        <v>196.95560009657527</v>
      </c>
      <c r="GF176" s="59">
        <f t="shared" si="158"/>
        <v>168.90186968005662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0</v>
      </c>
      <c r="GM176" s="21">
        <f>EXP(-LN(2)/25)*GM175+(1-EXP(-LN(2)/25))/(LN(2)/25)*Calculateur!GH176*Calculateur!GJ176*VLOOKUP('Données projet'!$B$17,Paramètres!$A$1:$I$89,3,0)*0.475*44/12</f>
        <v>0.17512748265292141</v>
      </c>
      <c r="GN176" s="21">
        <f>EXP(-LN(2)/2)*GN175+(1-EXP(-LN(2)/2))/(LN(2)/2)*GH176*GK176*VLOOKUP('Données projet'!$B$17,Paramètres!$A$1:$I$89,3,0)*0.475*44/12</f>
        <v>3.8510755524981007E-21</v>
      </c>
      <c r="GO176" s="21">
        <f t="shared" si="187"/>
        <v>0.17512748265292141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-5.3205440053716299E-14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215.23235148064941</v>
      </c>
      <c r="T177" s="59">
        <f t="shared" si="142"/>
        <v>184.07239726900434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0.18099066239205605</v>
      </c>
      <c r="AA177" s="21">
        <f>EXP(-LN(2)/25)*AA176+(1-EXP(-LN(2)/25))/(LN(2)/25)*Calculateur!V177*Calculateur!X177*VLOOKUP('Données projet'!$B$9,Paramètres!$A$1:$I$89,3,0)*0.475*44/12</f>
        <v>0.14495696490917606</v>
      </c>
      <c r="AB177" s="21">
        <f>EXP(-LN(2)/2)*AB176+(1-EXP(-LN(2)/2))/(LN(2)/2)*V177*Y177*VLOOKUP('Données projet'!$B$9,Paramètres!$A$1:$I$89,3,0)*0.475*44/12</f>
        <v>2.0820443555073818E-21</v>
      </c>
      <c r="AC177" s="22">
        <f t="shared" si="163"/>
        <v>0.32594762730123211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5.6843418860808015E-14</v>
      </c>
      <c r="AJ177" s="13">
        <f>AI177*VLOOKUP('Données projet'!$B$10,Paramètres!$A$1:$I$89,3,0)*VLOOKUP('Données projet'!$B$10,Paramètres!$A$1:$I$89,5,0)</f>
        <v>4.1677594708744434E-14</v>
      </c>
      <c r="AK177" s="13">
        <f t="shared" si="164"/>
        <v>6.9326303456159188E-13</v>
      </c>
      <c r="AL177" s="20">
        <f t="shared" si="165"/>
        <v>1.2800215959791691E-12</v>
      </c>
      <c r="AM177" s="59">
        <f t="shared" si="113"/>
        <v>293.33333333333462</v>
      </c>
      <c r="AN177" s="59">
        <f ca="1">AVERAGE(OFFSET($AM$3,0,0,'Données projet'!$E$10+1,1))-AVERAGE(OFFSET($H$3,0,0,'Données projet'!$E$10+1,1))</f>
        <v>178.12968684094687</v>
      </c>
      <c r="AO177" s="59">
        <f t="shared" si="144"/>
        <v>219.36004077210373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0.14187515035819223</v>
      </c>
      <c r="AW177" s="21">
        <f>EXP(-LN(2)/2)*AW176+(1-EXP(-LN(2)/2))/(LN(2)/2)*AQ177*AT177*VLOOKUP('Données projet'!$B$10,Paramètres!$A$1:$I$89,3,0)*0.475*44/12</f>
        <v>2.1001154047762386E-21</v>
      </c>
      <c r="AX177" s="21">
        <f t="shared" si="166"/>
        <v>0.14187515035819223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-5.6843418860808015E-14</v>
      </c>
      <c r="BE177" s="13">
        <f>BD177*VLOOKUP('Données projet'!$B$11,Paramètres!$A$1:$I$89,3,0)*VLOOKUP('Données projet'!$B$11,Paramètres!$A$1:$I$89,5,0)</f>
        <v>-4.9658410716801891E-14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114.02623091248347</v>
      </c>
      <c r="BJ177" s="59">
        <f t="shared" si="146"/>
        <v>185.51554083721635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0.1126944785924788</v>
      </c>
      <c r="BQ177" s="21">
        <f>EXP(-LN(2)/25)*BQ176+(1-EXP(-LN(2)/25))/(LN(2)/25)*Calculateur!BL177*Calculateur!BN177*VLOOKUP('Données projet'!$B$11,Paramètres!$A$1:$I$89,3,0)*0.475*44/12</f>
        <v>0.20770949294657629</v>
      </c>
      <c r="BR177" s="21">
        <f>EXP(-LN(2)/2)*BR176+(1-EXP(-LN(2)/2))/(LN(2)/2)*BL177*BO177*VLOOKUP('Données projet'!$B$11,Paramètres!$A$1:$I$89,3,0)*0.475*44/12</f>
        <v>3.7352614358946254E-21</v>
      </c>
      <c r="BS177" s="22">
        <f t="shared" si="169"/>
        <v>0.32040397153905509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-1.1368683772161603E-13</v>
      </c>
      <c r="BZ177" s="13">
        <f>BY177*VLOOKUP('Données projet'!$B$12,Paramètres!$A$1:$I$89,3,0)*VLOOKUP('Données projet'!$B$12,Paramètres!$A$1:$I$89,5,0)</f>
        <v>-1.0286385077051818E-13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237.22177246688199</v>
      </c>
      <c r="CE177" s="59">
        <f t="shared" si="148"/>
        <v>149.27472147904302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5.731390919631936E-2</v>
      </c>
      <c r="CM177" s="21">
        <f>EXP(-LN(2)/2)*CM176+(1-EXP(-LN(2)/2))/(LN(2)/2)*CG177*CJ177*VLOOKUP('Données projet'!$B$12,Paramètres!$A$1:$I$89,3,0)*0.475*44/12</f>
        <v>1.3106453886796478E-21</v>
      </c>
      <c r="CN177" s="22">
        <f t="shared" si="172"/>
        <v>5.731390919631936E-2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-5.6843418860808015E-13</v>
      </c>
      <c r="CU177" s="17">
        <f>CT177*VLOOKUP('Données projet'!$B$13,Paramètres!$A$1:$I$89,3,0)*VLOOKUP('Données projet'!$B$13,Paramètres!$A$1:$I$89,5,0)</f>
        <v>-3.177547114319168E-13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326.31232746914907</v>
      </c>
      <c r="CZ177" s="59">
        <f t="shared" si="150"/>
        <v>330.17137761430297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0.26375303500367397</v>
      </c>
      <c r="DG177" s="21">
        <f>EXP(-LN(2)/25)*DG176+(1-EXP(-LN(2)/25))/(LN(2)/25)*Calculateur!DB177*Calculateur!DD177*VLOOKUP('Données projet'!$B$13,Paramètres!$A$1:$I$89,3,0)*0.475*44/12</f>
        <v>0.55678172623177402</v>
      </c>
      <c r="DH177" s="21">
        <f>EXP(-LN(2)/2)*DH176+(1-EXP(-LN(2)/2))/(LN(2)/2)*DB177*DE177*VLOOKUP('Données projet'!$B$13,Paramètres!$A$1:$I$89,3,0)*0.475*44/12</f>
        <v>6.8868200908186421E-21</v>
      </c>
      <c r="DI177" s="22">
        <f t="shared" si="175"/>
        <v>0.820534761235448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6.2527760746888816E-13</v>
      </c>
      <c r="DP177" s="17">
        <f>DO177*VLOOKUP('Données projet'!$B$14,Paramètres!$A$1:$I$89,3,0)*VLOOKUP('Données projet'!$B$14,Paramètres!$A$1:$I$89,5,0)</f>
        <v>3.9017322706058616E-13</v>
      </c>
      <c r="DQ177" s="13">
        <f t="shared" si="176"/>
        <v>5.0025007393608908E-12</v>
      </c>
      <c r="DR177" s="20">
        <f t="shared" si="177"/>
        <v>9.3922404915174053E-12</v>
      </c>
      <c r="DS177" s="59">
        <f t="shared" si="125"/>
        <v>293.33333333334269</v>
      </c>
      <c r="DT177" s="59">
        <f ca="1">AVERAGE(OFFSET($DS$3,0,0,'Données projet'!$E$14+1,1))-AVERAGE(OFFSET($H$3,0,0,'Données projet'!$E$14+1,1))</f>
        <v>209.93608079129638</v>
      </c>
      <c r="DU177" s="59">
        <f t="shared" si="152"/>
        <v>240.15652428700969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0.4014845353121464</v>
      </c>
      <c r="EB177" s="21">
        <f>EXP(-LN(2)/25)*EB176+(1-EXP(-LN(2)/25))/(LN(2)/25)*Calculateur!DW177*Calculateur!DY177*VLOOKUP('Données projet'!$B$14,Paramètres!$A$1:$I$89,3,0)*0.475*44/12</f>
        <v>0.38359948961217161</v>
      </c>
      <c r="EC177" s="21">
        <f>EXP(-LN(2)/2)*EC176+(1-EXP(-LN(2)/2))/(LN(2)/2)*DW177*DZ177*VLOOKUP('Données projet'!$B$14,Paramètres!$A$1:$I$89,3,0)*0.475*44/12</f>
        <v>4.2755714908949063E-21</v>
      </c>
      <c r="ED177" s="22">
        <f t="shared" si="178"/>
        <v>0.78508402492431806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-4.5474735088646412E-13</v>
      </c>
      <c r="EK177" s="17">
        <f>EJ177*VLOOKUP('Données projet'!$B$15,Paramètres!$A$1:$I$89,3,0)*VLOOKUP('Données projet'!$B$15,Paramètres!$A$1:$I$89,5,0)</f>
        <v>-2.7193891583010558E-13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216.94426559495264</v>
      </c>
      <c r="EP177" s="59">
        <f t="shared" si="154"/>
        <v>225.33715877618704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</v>
      </c>
      <c r="EW177" s="21">
        <f>EXP(-LN(2)/25)*EW176+(1-EXP(-LN(2)/25))/(LN(2)/25)*Calculateur!ER177*Calculateur!ET177*VLOOKUP('Données projet'!$B$15,Paramètres!$A$1:$I$89,3,0)*0.475*44/12</f>
        <v>0.23710759311732946</v>
      </c>
      <c r="EX177" s="21">
        <f>EXP(-LN(2)/2)*EX176+(1-EXP(-LN(2)/2))/(LN(2)/2)*ER177*EU177*VLOOKUP('Données projet'!$B$15,Paramètres!$A$1:$I$89,3,0)*0.475*44/12</f>
        <v>5.024887407594704E-21</v>
      </c>
      <c r="EY177" s="22">
        <f t="shared" si="181"/>
        <v>0.23710759311732946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>
        <f>FE177*VLOOKUP('Données projet'!$B$16,Paramètres!$A$1:$I$89,3,0)*VLOOKUP('Données projet'!$B$16,Paramètres!$A$1:$I$89,5,0)</f>
        <v>0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168.08890945052406</v>
      </c>
      <c r="FK177" s="59">
        <f t="shared" si="156"/>
        <v>182.52462557642343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0.35869597817315746</v>
      </c>
      <c r="FR177" s="21">
        <f>EXP(-LN(2)/25)*FR176+(1-EXP(-LN(2)/25))/(LN(2)/25)*Calculateur!FM177*Calculateur!FO177*VLOOKUP('Données projet'!$B$16,Paramètres!$A$1:$I$89,3,0)*0.475*44/12</f>
        <v>0.22754189763299165</v>
      </c>
      <c r="FS177" s="21">
        <f>EXP(-LN(2)/2)*FS176+(1-EXP(-LN(2)/2))/(LN(2)/2)*FM177*FP177*VLOOKUP('Données projet'!$B$16,Paramètres!$A$1:$I$89,3,0)*0.475*44/12</f>
        <v>1.1531702153630782E-21</v>
      </c>
      <c r="FT177" s="22">
        <f t="shared" si="184"/>
        <v>0.58623787580614906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-5.6843418860808015E-14</v>
      </c>
      <c r="GA177" s="17">
        <f>FZ177*VLOOKUP('Données projet'!$B$17,Paramètres!$A$1:$I$89,3,0)*VLOOKUP('Données projet'!$B$17,Paramètres!$A$1:$I$89,5,0)</f>
        <v>-3.2514435588382188E-14</v>
      </c>
      <c r="GB177" s="13" t="e">
        <f t="shared" si="185"/>
        <v>#NUM!</v>
      </c>
      <c r="GC177" s="20" t="e">
        <f t="shared" si="186"/>
        <v>#NUM!</v>
      </c>
      <c r="GD177" s="59" t="e">
        <f t="shared" si="134"/>
        <v>#NUM!</v>
      </c>
      <c r="GE177" s="59">
        <f ca="1">AVERAGE(OFFSET($GD$3,0,0,'Données projet'!$E$17+1,1))-AVERAGE(OFFSET($H$3,0,0,'Données projet'!$E$17+1,1))</f>
        <v>196.95560009657527</v>
      </c>
      <c r="GF177" s="59">
        <f t="shared" si="158"/>
        <v>168.90186968005662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0</v>
      </c>
      <c r="GM177" s="21">
        <f>EXP(-LN(2)/25)*GM176+(1-EXP(-LN(2)/25))/(LN(2)/25)*Calculateur!GH177*Calculateur!GJ177*VLOOKUP('Données projet'!$B$17,Paramètres!$A$1:$I$89,3,0)*0.475*44/12</f>
        <v>0.17033861243022322</v>
      </c>
      <c r="GN177" s="21">
        <f>EXP(-LN(2)/2)*GN176+(1-EXP(-LN(2)/2))/(LN(2)/2)*GH177*GK177*VLOOKUP('Données projet'!$B$17,Paramètres!$A$1:$I$89,3,0)*0.475*44/12</f>
        <v>2.7231216380331371E-21</v>
      </c>
      <c r="GO177" s="21">
        <f t="shared" si="187"/>
        <v>0.17033861243022322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-5.3205440053716299E-14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215.23235148064941</v>
      </c>
      <c r="T178" s="59">
        <f t="shared" si="142"/>
        <v>184.07239726900434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0.17744154589595146</v>
      </c>
      <c r="AA178" s="21">
        <f>EXP(-LN(2)/25)*AA177+(1-EXP(-LN(2)/25))/(LN(2)/25)*Calculateur!V178*Calculateur!X178*VLOOKUP('Données projet'!$B$9,Paramètres!$A$1:$I$89,3,0)*0.475*44/12</f>
        <v>0.14099310908077917</v>
      </c>
      <c r="AB178" s="21">
        <f>EXP(-LN(2)/2)*AB177+(1-EXP(-LN(2)/2))/(LN(2)/2)*V178*Y178*VLOOKUP('Données projet'!$B$9,Paramètres!$A$1:$I$89,3,0)*0.475*44/12</f>
        <v>1.4722276825104446E-21</v>
      </c>
      <c r="AC178" s="22">
        <f t="shared" si="163"/>
        <v>0.31843465497673062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5.6843418860808015E-14</v>
      </c>
      <c r="AJ178" s="13">
        <f>AI178*VLOOKUP('Données projet'!$B$10,Paramètres!$A$1:$I$89,3,0)*VLOOKUP('Données projet'!$B$10,Paramètres!$A$1:$I$89,5,0)</f>
        <v>4.1677594708744434E-14</v>
      </c>
      <c r="AK178" s="13">
        <f t="shared" si="164"/>
        <v>6.9326303456159188E-13</v>
      </c>
      <c r="AL178" s="20">
        <f t="shared" si="165"/>
        <v>1.2800215959791691E-12</v>
      </c>
      <c r="AM178" s="59">
        <f t="shared" si="113"/>
        <v>293.33333333333462</v>
      </c>
      <c r="AN178" s="59">
        <f ca="1">AVERAGE(OFFSET($AM$3,0,0,'Données projet'!$E$10+1,1))-AVERAGE(OFFSET($H$3,0,0,'Données projet'!$E$10+1,1))</f>
        <v>178.12968684094687</v>
      </c>
      <c r="AO178" s="59">
        <f t="shared" si="144"/>
        <v>219.36004077210373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0.13799556691075757</v>
      </c>
      <c r="AW178" s="21">
        <f>EXP(-LN(2)/2)*AW177+(1-EXP(-LN(2)/2))/(LN(2)/2)*AQ178*AT178*VLOOKUP('Données projet'!$B$10,Paramètres!$A$1:$I$89,3,0)*0.475*44/12</f>
        <v>1.4850058439916095E-21</v>
      </c>
      <c r="AX178" s="21">
        <f t="shared" si="166"/>
        <v>0.13799556691075757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-5.6843418860808015E-14</v>
      </c>
      <c r="BE178" s="13">
        <f>BD178*VLOOKUP('Données projet'!$B$11,Paramètres!$A$1:$I$89,3,0)*VLOOKUP('Données projet'!$B$11,Paramètres!$A$1:$I$89,5,0)</f>
        <v>-4.9658410716801891E-14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114.02623091248347</v>
      </c>
      <c r="BJ178" s="59">
        <f t="shared" si="146"/>
        <v>185.51554083721635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0.11048460860412504</v>
      </c>
      <c r="BQ178" s="21">
        <f>EXP(-LN(2)/25)*BQ177+(1-EXP(-LN(2)/25))/(LN(2)/25)*Calculateur!BL178*Calculateur!BN178*VLOOKUP('Données projet'!$B$11,Paramètres!$A$1:$I$89,3,0)*0.475*44/12</f>
        <v>0.20202966593898464</v>
      </c>
      <c r="BR178" s="21">
        <f>EXP(-LN(2)/2)*BR177+(1-EXP(-LN(2)/2))/(LN(2)/2)*BL178*BO178*VLOOKUP('Données projet'!$B$11,Paramètres!$A$1:$I$89,3,0)*0.475*44/12</f>
        <v>2.6412286908256903E-21</v>
      </c>
      <c r="BS178" s="22">
        <f t="shared" si="169"/>
        <v>0.31251427454310965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-1.1368683772161603E-13</v>
      </c>
      <c r="BZ178" s="13">
        <f>BY178*VLOOKUP('Données projet'!$B$12,Paramètres!$A$1:$I$89,3,0)*VLOOKUP('Données projet'!$B$12,Paramètres!$A$1:$I$89,5,0)</f>
        <v>-1.0286385077051818E-13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237.22177246688199</v>
      </c>
      <c r="CE178" s="59">
        <f t="shared" si="148"/>
        <v>149.27472147904302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5.5746657335338512E-2</v>
      </c>
      <c r="CM178" s="21">
        <f>EXP(-LN(2)/2)*CM177+(1-EXP(-LN(2)/2))/(LN(2)/2)*CG178*CJ178*VLOOKUP('Données projet'!$B$12,Paramètres!$A$1:$I$89,3,0)*0.475*44/12</f>
        <v>9.267662420662572E-22</v>
      </c>
      <c r="CN178" s="22">
        <f t="shared" si="172"/>
        <v>5.5746657335338512E-2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-5.6843418860808015E-13</v>
      </c>
      <c r="CU178" s="17">
        <f>CT178*VLOOKUP('Données projet'!$B$13,Paramètres!$A$1:$I$89,3,0)*VLOOKUP('Données projet'!$B$13,Paramètres!$A$1:$I$89,5,0)</f>
        <v>-3.177547114319168E-13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326.31232746914907</v>
      </c>
      <c r="CZ178" s="59">
        <f t="shared" si="150"/>
        <v>330.17137761430297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0.25858099886071834</v>
      </c>
      <c r="DG178" s="21">
        <f>EXP(-LN(2)/25)*DG177+(1-EXP(-LN(2)/25))/(LN(2)/25)*Calculateur!DB178*Calculateur!DD178*VLOOKUP('Données projet'!$B$13,Paramètres!$A$1:$I$89,3,0)*0.475*44/12</f>
        <v>0.54155650064808769</v>
      </c>
      <c r="DH178" s="21">
        <f>EXP(-LN(2)/2)*DH177+(1-EXP(-LN(2)/2))/(LN(2)/2)*DB178*DE178*VLOOKUP('Données projet'!$B$13,Paramètres!$A$1:$I$89,3,0)*0.475*44/12</f>
        <v>4.8697171870296169E-21</v>
      </c>
      <c r="DI178" s="22">
        <f t="shared" si="175"/>
        <v>0.80013749950880597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6.2527760746888816E-13</v>
      </c>
      <c r="DP178" s="17">
        <f>DO178*VLOOKUP('Données projet'!$B$14,Paramètres!$A$1:$I$89,3,0)*VLOOKUP('Données projet'!$B$14,Paramètres!$A$1:$I$89,5,0)</f>
        <v>3.9017322706058616E-13</v>
      </c>
      <c r="DQ178" s="13">
        <f t="shared" si="176"/>
        <v>5.0025007393608908E-12</v>
      </c>
      <c r="DR178" s="20">
        <f t="shared" si="177"/>
        <v>9.3922404915174053E-12</v>
      </c>
      <c r="DS178" s="59">
        <f t="shared" si="125"/>
        <v>293.33333333334269</v>
      </c>
      <c r="DT178" s="59">
        <f ca="1">AVERAGE(OFFSET($DS$3,0,0,'Données projet'!$E$14+1,1))-AVERAGE(OFFSET($H$3,0,0,'Données projet'!$E$14+1,1))</f>
        <v>209.93608079129638</v>
      </c>
      <c r="DU178" s="59">
        <f t="shared" si="152"/>
        <v>240.15652428700969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0.39361166845606171</v>
      </c>
      <c r="EB178" s="21">
        <f>EXP(-LN(2)/25)*EB177+(1-EXP(-LN(2)/25))/(LN(2)/25)*Calculateur!DW178*Calculateur!DY178*VLOOKUP('Données projet'!$B$14,Paramètres!$A$1:$I$89,3,0)*0.475*44/12</f>
        <v>0.37310994139610637</v>
      </c>
      <c r="EC178" s="21">
        <f>EXP(-LN(2)/2)*EC177+(1-EXP(-LN(2)/2))/(LN(2)/2)*DW178*DZ178*VLOOKUP('Données projet'!$B$14,Paramètres!$A$1:$I$89,3,0)*0.475*44/12</f>
        <v>3.0232855946596653E-21</v>
      </c>
      <c r="ED178" s="22">
        <f t="shared" si="178"/>
        <v>0.76672160985216808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-4.5474735088646412E-13</v>
      </c>
      <c r="EK178" s="17">
        <f>EJ178*VLOOKUP('Données projet'!$B$15,Paramètres!$A$1:$I$89,3,0)*VLOOKUP('Données projet'!$B$15,Paramètres!$A$1:$I$89,5,0)</f>
        <v>-2.7193891583010558E-13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216.94426559495264</v>
      </c>
      <c r="EP178" s="59">
        <f t="shared" si="154"/>
        <v>225.33715877618704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</v>
      </c>
      <c r="EW178" s="21">
        <f>EXP(-LN(2)/25)*EW177+(1-EXP(-LN(2)/25))/(LN(2)/25)*Calculateur!ER178*Calculateur!ET178*VLOOKUP('Données projet'!$B$15,Paramètres!$A$1:$I$89,3,0)*0.475*44/12</f>
        <v>0.23062387351458968</v>
      </c>
      <c r="EX178" s="21">
        <f>EXP(-LN(2)/2)*EX177+(1-EXP(-LN(2)/2))/(LN(2)/2)*ER178*EU178*VLOOKUP('Données projet'!$B$15,Paramètres!$A$1:$I$89,3,0)*0.475*44/12</f>
        <v>3.5531319606091063E-21</v>
      </c>
      <c r="EY178" s="22">
        <f t="shared" si="181"/>
        <v>0.23062387351458968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>
        <f>FE178*VLOOKUP('Données projet'!$B$16,Paramètres!$A$1:$I$89,3,0)*VLOOKUP('Données projet'!$B$16,Paramètres!$A$1:$I$89,5,0)</f>
        <v>0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168.08890945052406</v>
      </c>
      <c r="FK178" s="59">
        <f t="shared" si="156"/>
        <v>182.52462557642343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0.35166216882412549</v>
      </c>
      <c r="FR178" s="21">
        <f>EXP(-LN(2)/25)*FR177+(1-EXP(-LN(2)/25))/(LN(2)/25)*Calculateur!FM178*Calculateur!FO178*VLOOKUP('Données projet'!$B$16,Paramètres!$A$1:$I$89,3,0)*0.475*44/12</f>
        <v>0.22131975247630914</v>
      </c>
      <c r="FS178" s="21">
        <f>EXP(-LN(2)/2)*FS177+(1-EXP(-LN(2)/2))/(LN(2)/2)*FM178*FP178*VLOOKUP('Données projet'!$B$16,Paramètres!$A$1:$I$89,3,0)*0.475*44/12</f>
        <v>8.1541447914558404E-22</v>
      </c>
      <c r="FT178" s="22">
        <f t="shared" si="184"/>
        <v>0.57298192130043457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-5.6843418860808015E-14</v>
      </c>
      <c r="GA178" s="17">
        <f>FZ178*VLOOKUP('Données projet'!$B$17,Paramètres!$A$1:$I$89,3,0)*VLOOKUP('Données projet'!$B$17,Paramètres!$A$1:$I$89,5,0)</f>
        <v>-3.2514435588382188E-14</v>
      </c>
      <c r="GB178" s="13" t="e">
        <f t="shared" si="185"/>
        <v>#NUM!</v>
      </c>
      <c r="GC178" s="20" t="e">
        <f t="shared" si="186"/>
        <v>#NUM!</v>
      </c>
      <c r="GD178" s="59" t="e">
        <f t="shared" si="134"/>
        <v>#NUM!</v>
      </c>
      <c r="GE178" s="59">
        <f ca="1">AVERAGE(OFFSET($GD$3,0,0,'Données projet'!$E$17+1,1))-AVERAGE(OFFSET($H$3,0,0,'Données projet'!$E$17+1,1))</f>
        <v>196.95560009657527</v>
      </c>
      <c r="GF178" s="59">
        <f t="shared" si="158"/>
        <v>168.90186968005662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0</v>
      </c>
      <c r="GM178" s="21">
        <f>EXP(-LN(2)/25)*GM177+(1-EXP(-LN(2)/25))/(LN(2)/25)*Calculateur!GH178*Calculateur!GJ178*VLOOKUP('Données projet'!$B$17,Paramètres!$A$1:$I$89,3,0)*0.475*44/12</f>
        <v>0.16568069411560046</v>
      </c>
      <c r="GN178" s="21">
        <f>EXP(-LN(2)/2)*GN177+(1-EXP(-LN(2)/2))/(LN(2)/2)*GH178*GK178*VLOOKUP('Données projet'!$B$17,Paramètres!$A$1:$I$89,3,0)*0.475*44/12</f>
        <v>1.9255377762490504E-21</v>
      </c>
      <c r="GO178" s="21">
        <f t="shared" si="187"/>
        <v>0.16568069411560046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-5.3205440053716299E-14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215.23235148064941</v>
      </c>
      <c r="T179" s="59">
        <f t="shared" si="142"/>
        <v>184.07239726900434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0.17396202540958816</v>
      </c>
      <c r="AA179" s="21">
        <f>EXP(-LN(2)/25)*AA178+(1-EXP(-LN(2)/25))/(LN(2)/25)*Calculateur!V179*Calculateur!X179*VLOOKUP('Données projet'!$B$9,Paramètres!$A$1:$I$89,3,0)*0.475*44/12</f>
        <v>0.13713764509845991</v>
      </c>
      <c r="AB179" s="21">
        <f>EXP(-LN(2)/2)*AB178+(1-EXP(-LN(2)/2))/(LN(2)/2)*V179*Y179*VLOOKUP('Données projet'!$B$9,Paramètres!$A$1:$I$89,3,0)*0.475*44/12</f>
        <v>1.0410221777536909E-21</v>
      </c>
      <c r="AC179" s="22">
        <f t="shared" si="163"/>
        <v>0.3110996705080481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5.6843418860808015E-14</v>
      </c>
      <c r="AJ179" s="13">
        <f>AI179*VLOOKUP('Données projet'!$B$10,Paramètres!$A$1:$I$89,3,0)*VLOOKUP('Données projet'!$B$10,Paramètres!$A$1:$I$89,5,0)</f>
        <v>4.1677594708744434E-14</v>
      </c>
      <c r="AK179" s="13">
        <f t="shared" si="164"/>
        <v>6.9326303456159188E-13</v>
      </c>
      <c r="AL179" s="20">
        <f t="shared" si="165"/>
        <v>1.2800215959791691E-12</v>
      </c>
      <c r="AM179" s="59">
        <f t="shared" si="113"/>
        <v>293.33333333333462</v>
      </c>
      <c r="AN179" s="59">
        <f ca="1">AVERAGE(OFFSET($AM$3,0,0,'Données projet'!$E$10+1,1))-AVERAGE(OFFSET($H$3,0,0,'Données projet'!$E$10+1,1))</f>
        <v>178.12968684094687</v>
      </c>
      <c r="AO179" s="59">
        <f t="shared" si="144"/>
        <v>219.36004077210373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0.13422207087671142</v>
      </c>
      <c r="AW179" s="21">
        <f>EXP(-LN(2)/2)*AW178+(1-EXP(-LN(2)/2))/(LN(2)/2)*AQ179*AT179*VLOOKUP('Données projet'!$B$10,Paramètres!$A$1:$I$89,3,0)*0.475*44/12</f>
        <v>1.0500577023881193E-21</v>
      </c>
      <c r="AX179" s="21">
        <f t="shared" si="166"/>
        <v>0.13422207087671142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-5.6843418860808015E-14</v>
      </c>
      <c r="BE179" s="13">
        <f>BD179*VLOOKUP('Données projet'!$B$11,Paramètres!$A$1:$I$89,3,0)*VLOOKUP('Données projet'!$B$11,Paramètres!$A$1:$I$89,5,0)</f>
        <v>-4.9658410716801891E-14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114.02623091248347</v>
      </c>
      <c r="BJ179" s="59">
        <f t="shared" si="146"/>
        <v>185.51554083721635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0.10831807281835529</v>
      </c>
      <c r="BQ179" s="21">
        <f>EXP(-LN(2)/25)*BQ178+(1-EXP(-LN(2)/25))/(LN(2)/25)*Calculateur!BL179*Calculateur!BN179*VLOOKUP('Données projet'!$B$11,Paramètres!$A$1:$I$89,3,0)*0.475*44/12</f>
        <v>0.19650515409960473</v>
      </c>
      <c r="BR179" s="21">
        <f>EXP(-LN(2)/2)*BR178+(1-EXP(-LN(2)/2))/(LN(2)/2)*BL179*BO179*VLOOKUP('Données projet'!$B$11,Paramètres!$A$1:$I$89,3,0)*0.475*44/12</f>
        <v>1.8676307179473127E-21</v>
      </c>
      <c r="BS179" s="22">
        <f t="shared" si="169"/>
        <v>0.30482322691796004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-1.1368683772161603E-13</v>
      </c>
      <c r="BZ179" s="13">
        <f>BY179*VLOOKUP('Données projet'!$B$12,Paramètres!$A$1:$I$89,3,0)*VLOOKUP('Données projet'!$B$12,Paramètres!$A$1:$I$89,5,0)</f>
        <v>-1.0286385077051818E-13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237.22177246688199</v>
      </c>
      <c r="CE179" s="59">
        <f t="shared" si="148"/>
        <v>149.27472147904302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5.4222262058914381E-2</v>
      </c>
      <c r="CM179" s="21">
        <f>EXP(-LN(2)/2)*CM178+(1-EXP(-LN(2)/2))/(LN(2)/2)*CG179*CJ179*VLOOKUP('Données projet'!$B$12,Paramètres!$A$1:$I$89,3,0)*0.475*44/12</f>
        <v>6.5532269433982388E-22</v>
      </c>
      <c r="CN179" s="22">
        <f t="shared" si="172"/>
        <v>5.4222262058914381E-2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-5.6843418860808015E-13</v>
      </c>
      <c r="CU179" s="17">
        <f>CT179*VLOOKUP('Données projet'!$B$13,Paramètres!$A$1:$I$89,3,0)*VLOOKUP('Données projet'!$B$13,Paramètres!$A$1:$I$89,5,0)</f>
        <v>-3.177547114319168E-13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326.31232746914907</v>
      </c>
      <c r="CZ179" s="59">
        <f t="shared" si="150"/>
        <v>330.17137761430297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0.25351038319189551</v>
      </c>
      <c r="DG179" s="21">
        <f>EXP(-LN(2)/25)*DG178+(1-EXP(-LN(2)/25))/(LN(2)/25)*Calculateur!DB179*Calculateur!DD179*VLOOKUP('Données projet'!$B$13,Paramètres!$A$1:$I$89,3,0)*0.475*44/12</f>
        <v>0.52674760965864709</v>
      </c>
      <c r="DH179" s="21">
        <f>EXP(-LN(2)/2)*DH178+(1-EXP(-LN(2)/2))/(LN(2)/2)*DB179*DE179*VLOOKUP('Données projet'!$B$13,Paramètres!$A$1:$I$89,3,0)*0.475*44/12</f>
        <v>3.4434100454093211E-21</v>
      </c>
      <c r="DI179" s="22">
        <f t="shared" si="175"/>
        <v>0.78025799285054265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6.2527760746888816E-13</v>
      </c>
      <c r="DP179" s="17">
        <f>DO179*VLOOKUP('Données projet'!$B$14,Paramètres!$A$1:$I$89,3,0)*VLOOKUP('Données projet'!$B$14,Paramètres!$A$1:$I$89,5,0)</f>
        <v>3.9017322706058616E-13</v>
      </c>
      <c r="DQ179" s="13">
        <f t="shared" si="176"/>
        <v>5.0025007393608908E-12</v>
      </c>
      <c r="DR179" s="20">
        <f t="shared" si="177"/>
        <v>9.3922404915174053E-12</v>
      </c>
      <c r="DS179" s="59">
        <f t="shared" si="125"/>
        <v>293.33333333334269</v>
      </c>
      <c r="DT179" s="59">
        <f ca="1">AVERAGE(OFFSET($DS$3,0,0,'Données projet'!$E$14+1,1))-AVERAGE(OFFSET($H$3,0,0,'Données projet'!$E$14+1,1))</f>
        <v>209.93608079129638</v>
      </c>
      <c r="DU179" s="59">
        <f t="shared" si="152"/>
        <v>240.15652428700969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0.38589318371705023</v>
      </c>
      <c r="EB179" s="21">
        <f>EXP(-LN(2)/25)*EB178+(1-EXP(-LN(2)/25))/(LN(2)/25)*Calculateur!DW179*Calculateur!DY179*VLOOKUP('Données projet'!$B$14,Paramètres!$A$1:$I$89,3,0)*0.475*44/12</f>
        <v>0.36290723042763079</v>
      </c>
      <c r="EC179" s="21">
        <f>EXP(-LN(2)/2)*EC178+(1-EXP(-LN(2)/2))/(LN(2)/2)*DW179*DZ179*VLOOKUP('Données projet'!$B$14,Paramètres!$A$1:$I$89,3,0)*0.475*44/12</f>
        <v>2.1377857454474532E-21</v>
      </c>
      <c r="ED179" s="22">
        <f t="shared" si="178"/>
        <v>0.74880041414468101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-4.5474735088646412E-13</v>
      </c>
      <c r="EK179" s="17">
        <f>EJ179*VLOOKUP('Données projet'!$B$15,Paramètres!$A$1:$I$89,3,0)*VLOOKUP('Données projet'!$B$15,Paramètres!$A$1:$I$89,5,0)</f>
        <v>-2.7193891583010558E-13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216.94426559495264</v>
      </c>
      <c r="EP179" s="59">
        <f t="shared" si="154"/>
        <v>225.33715877618704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</v>
      </c>
      <c r="EW179" s="21">
        <f>EXP(-LN(2)/25)*EW178+(1-EXP(-LN(2)/25))/(LN(2)/25)*Calculateur!ER179*Calculateur!ET179*VLOOKUP('Données projet'!$B$15,Paramètres!$A$1:$I$89,3,0)*0.475*44/12</f>
        <v>0.22431745156535082</v>
      </c>
      <c r="EX179" s="21">
        <f>EXP(-LN(2)/2)*EX178+(1-EXP(-LN(2)/2))/(LN(2)/2)*ER179*EU179*VLOOKUP('Données projet'!$B$15,Paramètres!$A$1:$I$89,3,0)*0.475*44/12</f>
        <v>2.512443703797352E-21</v>
      </c>
      <c r="EY179" s="22">
        <f t="shared" si="181"/>
        <v>0.22431745156535082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>
        <f>FE179*VLOOKUP('Données projet'!$B$16,Paramètres!$A$1:$I$89,3,0)*VLOOKUP('Données projet'!$B$16,Paramètres!$A$1:$I$89,5,0)</f>
        <v>0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168.08890945052406</v>
      </c>
      <c r="FK179" s="59">
        <f t="shared" si="156"/>
        <v>182.52462557642343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0.34476628818622795</v>
      </c>
      <c r="FR179" s="21">
        <f>EXP(-LN(2)/25)*FR178+(1-EXP(-LN(2)/25))/(LN(2)/25)*Calculateur!FM179*Calculateur!FO179*VLOOKUP('Données projet'!$B$16,Paramètres!$A$1:$I$89,3,0)*0.475*44/12</f>
        <v>0.21526775220614452</v>
      </c>
      <c r="FS179" s="21">
        <f>EXP(-LN(2)/2)*FS178+(1-EXP(-LN(2)/2))/(LN(2)/2)*FM179*FP179*VLOOKUP('Données projet'!$B$16,Paramètres!$A$1:$I$89,3,0)*0.475*44/12</f>
        <v>5.765851076815391E-22</v>
      </c>
      <c r="FT179" s="22">
        <f t="shared" si="184"/>
        <v>0.56003404039237248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-5.6843418860808015E-14</v>
      </c>
      <c r="GA179" s="17">
        <f>FZ179*VLOOKUP('Données projet'!$B$17,Paramètres!$A$1:$I$89,3,0)*VLOOKUP('Données projet'!$B$17,Paramètres!$A$1:$I$89,5,0)</f>
        <v>-3.2514435588382188E-14</v>
      </c>
      <c r="GB179" s="13" t="e">
        <f t="shared" si="185"/>
        <v>#NUM!</v>
      </c>
      <c r="GC179" s="20" t="e">
        <f t="shared" si="186"/>
        <v>#NUM!</v>
      </c>
      <c r="GD179" s="59" t="e">
        <f t="shared" si="134"/>
        <v>#NUM!</v>
      </c>
      <c r="GE179" s="59">
        <f ca="1">AVERAGE(OFFSET($GD$3,0,0,'Données projet'!$E$17+1,1))-AVERAGE(OFFSET($H$3,0,0,'Données projet'!$E$17+1,1))</f>
        <v>196.95560009657527</v>
      </c>
      <c r="GF179" s="59">
        <f t="shared" si="158"/>
        <v>168.90186968005662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0</v>
      </c>
      <c r="GM179" s="21">
        <f>EXP(-LN(2)/25)*GM178+(1-EXP(-LN(2)/25))/(LN(2)/25)*Calculateur!GH179*Calculateur!GJ179*VLOOKUP('Données projet'!$B$17,Paramètres!$A$1:$I$89,3,0)*0.475*44/12</f>
        <v>0.16115014682224033</v>
      </c>
      <c r="GN179" s="21">
        <f>EXP(-LN(2)/2)*GN178+(1-EXP(-LN(2)/2))/(LN(2)/2)*GH179*GK179*VLOOKUP('Données projet'!$B$17,Paramètres!$A$1:$I$89,3,0)*0.475*44/12</f>
        <v>1.3615608190165686E-21</v>
      </c>
      <c r="GO179" s="21">
        <f t="shared" si="187"/>
        <v>0.16115014682224033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-5.3205440053716299E-14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215.23235148064941</v>
      </c>
      <c r="T180" s="59">
        <f t="shared" si="142"/>
        <v>184.07239726900434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0.1705507361976645</v>
      </c>
      <c r="AA180" s="21">
        <f>EXP(-LN(2)/25)*AA179+(1-EXP(-LN(2)/25))/(LN(2)/25)*Calculateur!V180*Calculateur!X180*VLOOKUP('Données projet'!$B$9,Paramètres!$A$1:$I$89,3,0)*0.475*44/12</f>
        <v>0.13338760898148719</v>
      </c>
      <c r="AB180" s="21">
        <f>EXP(-LN(2)/2)*AB179+(1-EXP(-LN(2)/2))/(LN(2)/2)*V180*Y180*VLOOKUP('Données projet'!$B$9,Paramètres!$A$1:$I$89,3,0)*0.475*44/12</f>
        <v>7.3611384125522231E-22</v>
      </c>
      <c r="AC180" s="22">
        <f t="shared" si="163"/>
        <v>0.30393834517915169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5.6843418860808015E-14</v>
      </c>
      <c r="AJ180" s="13">
        <f>AI180*VLOOKUP('Données projet'!$B$10,Paramètres!$A$1:$I$89,3,0)*VLOOKUP('Données projet'!$B$10,Paramètres!$A$1:$I$89,5,0)</f>
        <v>4.1677594708744434E-14</v>
      </c>
      <c r="AK180" s="13">
        <f t="shared" si="164"/>
        <v>6.9326303456159188E-13</v>
      </c>
      <c r="AL180" s="20">
        <f t="shared" si="165"/>
        <v>1.2800215959791691E-12</v>
      </c>
      <c r="AM180" s="59">
        <f t="shared" si="113"/>
        <v>293.33333333333462</v>
      </c>
      <c r="AN180" s="59">
        <f ca="1">AVERAGE(OFFSET($AM$3,0,0,'Données projet'!$E$10+1,1))-AVERAGE(OFFSET($H$3,0,0,'Données projet'!$E$10+1,1))</f>
        <v>178.12968684094687</v>
      </c>
      <c r="AO180" s="59">
        <f t="shared" si="144"/>
        <v>219.36004077210373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0.1305517612901558</v>
      </c>
      <c r="AW180" s="21">
        <f>EXP(-LN(2)/2)*AW179+(1-EXP(-LN(2)/2))/(LN(2)/2)*AQ180*AT180*VLOOKUP('Données projet'!$B$10,Paramètres!$A$1:$I$89,3,0)*0.475*44/12</f>
        <v>7.4250292199580473E-22</v>
      </c>
      <c r="AX180" s="21">
        <f t="shared" si="166"/>
        <v>0.1305517612901558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-5.6843418860808015E-14</v>
      </c>
      <c r="BE180" s="13">
        <f>BD180*VLOOKUP('Données projet'!$B$11,Paramètres!$A$1:$I$89,3,0)*VLOOKUP('Données projet'!$B$11,Paramètres!$A$1:$I$89,5,0)</f>
        <v>-4.9658410716801891E-14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114.02623091248347</v>
      </c>
      <c r="BJ180" s="59">
        <f t="shared" si="146"/>
        <v>185.51554083721635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0.10619402147788813</v>
      </c>
      <c r="BQ180" s="21">
        <f>EXP(-LN(2)/25)*BQ179+(1-EXP(-LN(2)/25))/(LN(2)/25)*Calculateur!BL180*Calculateur!BN180*VLOOKUP('Données projet'!$B$11,Paramètres!$A$1:$I$89,3,0)*0.475*44/12</f>
        <v>0.19113171032699411</v>
      </c>
      <c r="BR180" s="21">
        <f>EXP(-LN(2)/2)*BR179+(1-EXP(-LN(2)/2))/(LN(2)/2)*BL180*BO180*VLOOKUP('Données projet'!$B$11,Paramètres!$A$1:$I$89,3,0)*0.475*44/12</f>
        <v>1.3206143454128451E-21</v>
      </c>
      <c r="BS180" s="22">
        <f t="shared" si="169"/>
        <v>0.29732573180488225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-1.1368683772161603E-13</v>
      </c>
      <c r="BZ180" s="13">
        <f>BY180*VLOOKUP('Données projet'!$B$12,Paramètres!$A$1:$I$89,3,0)*VLOOKUP('Données projet'!$B$12,Paramètres!$A$1:$I$89,5,0)</f>
        <v>-1.0286385077051818E-13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237.22177246688199</v>
      </c>
      <c r="CE180" s="59">
        <f t="shared" si="148"/>
        <v>149.27472147904302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5.273955145148853E-2</v>
      </c>
      <c r="CM180" s="21">
        <f>EXP(-LN(2)/2)*CM179+(1-EXP(-LN(2)/2))/(LN(2)/2)*CG180*CJ180*VLOOKUP('Données projet'!$B$12,Paramètres!$A$1:$I$89,3,0)*0.475*44/12</f>
        <v>4.633831210331286E-22</v>
      </c>
      <c r="CN180" s="22">
        <f t="shared" si="172"/>
        <v>5.273955145148853E-2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-5.6843418860808015E-13</v>
      </c>
      <c r="CU180" s="17">
        <f>CT180*VLOOKUP('Données projet'!$B$13,Paramètres!$A$1:$I$89,3,0)*VLOOKUP('Données projet'!$B$13,Paramètres!$A$1:$I$89,5,0)</f>
        <v>-3.177547114319168E-13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326.31232746914907</v>
      </c>
      <c r="CZ180" s="59">
        <f t="shared" si="150"/>
        <v>330.17137761430297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0.24853919920356812</v>
      </c>
      <c r="DG180" s="21">
        <f>EXP(-LN(2)/25)*DG179+(1-EXP(-LN(2)/25))/(LN(2)/25)*Calculateur!DB180*Calculateur!DD180*VLOOKUP('Données projet'!$B$13,Paramètres!$A$1:$I$89,3,0)*0.475*44/12</f>
        <v>0.51234366857207847</v>
      </c>
      <c r="DH180" s="21">
        <f>EXP(-LN(2)/2)*DH179+(1-EXP(-LN(2)/2))/(LN(2)/2)*DB180*DE180*VLOOKUP('Données projet'!$B$13,Paramètres!$A$1:$I$89,3,0)*0.475*44/12</f>
        <v>2.4348585935148085E-21</v>
      </c>
      <c r="DI180" s="22">
        <f t="shared" si="175"/>
        <v>0.76088286777564662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6.2527760746888816E-13</v>
      </c>
      <c r="DP180" s="17">
        <f>DO180*VLOOKUP('Données projet'!$B$14,Paramètres!$A$1:$I$89,3,0)*VLOOKUP('Données projet'!$B$14,Paramètres!$A$1:$I$89,5,0)</f>
        <v>3.9017322706058616E-13</v>
      </c>
      <c r="DQ180" s="13">
        <f t="shared" si="176"/>
        <v>5.0025007393608908E-12</v>
      </c>
      <c r="DR180" s="20">
        <f t="shared" si="177"/>
        <v>9.3922404915174053E-12</v>
      </c>
      <c r="DS180" s="59">
        <f t="shared" si="125"/>
        <v>293.33333333334269</v>
      </c>
      <c r="DT180" s="59">
        <f ca="1">AVERAGE(OFFSET($DS$3,0,0,'Données projet'!$E$14+1,1))-AVERAGE(OFFSET($H$3,0,0,'Données projet'!$E$14+1,1))</f>
        <v>209.93608079129638</v>
      </c>
      <c r="DU180" s="59">
        <f t="shared" si="152"/>
        <v>240.15652428700969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0.3783260537559599</v>
      </c>
      <c r="EB180" s="21">
        <f>EXP(-LN(2)/25)*EB179+(1-EXP(-LN(2)/25))/(LN(2)/25)*Calculateur!DW180*Calculateur!DY180*VLOOKUP('Données projet'!$B$14,Paramètres!$A$1:$I$89,3,0)*0.475*44/12</f>
        <v>0.35298351312712539</v>
      </c>
      <c r="EC180" s="21">
        <f>EXP(-LN(2)/2)*EC179+(1-EXP(-LN(2)/2))/(LN(2)/2)*DW180*DZ180*VLOOKUP('Données projet'!$B$14,Paramètres!$A$1:$I$89,3,0)*0.475*44/12</f>
        <v>1.5116427973298327E-21</v>
      </c>
      <c r="ED180" s="22">
        <f t="shared" si="178"/>
        <v>0.73130956688308535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-4.5474735088646412E-13</v>
      </c>
      <c r="EK180" s="17">
        <f>EJ180*VLOOKUP('Données projet'!$B$15,Paramètres!$A$1:$I$89,3,0)*VLOOKUP('Données projet'!$B$15,Paramètres!$A$1:$I$89,5,0)</f>
        <v>-2.7193891583010558E-13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216.94426559495264</v>
      </c>
      <c r="EP180" s="59">
        <f t="shared" si="154"/>
        <v>225.33715877618704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</v>
      </c>
      <c r="EW180" s="21">
        <f>EXP(-LN(2)/25)*EW179+(1-EXP(-LN(2)/25))/(LN(2)/25)*Calculateur!ER180*Calculateur!ET180*VLOOKUP('Données projet'!$B$15,Paramètres!$A$1:$I$89,3,0)*0.475*44/12</f>
        <v>0.2181834790559542</v>
      </c>
      <c r="EX180" s="21">
        <f>EXP(-LN(2)/2)*EX179+(1-EXP(-LN(2)/2))/(LN(2)/2)*ER180*EU180*VLOOKUP('Données projet'!$B$15,Paramètres!$A$1:$I$89,3,0)*0.475*44/12</f>
        <v>1.7765659803045531E-21</v>
      </c>
      <c r="EY180" s="22">
        <f t="shared" si="181"/>
        <v>0.2181834790559542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>
        <f>FE180*VLOOKUP('Données projet'!$B$16,Paramètres!$A$1:$I$89,3,0)*VLOOKUP('Données projet'!$B$16,Paramètres!$A$1:$I$89,5,0)</f>
        <v>0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168.08890945052406</v>
      </c>
      <c r="FK180" s="59">
        <f t="shared" si="156"/>
        <v>182.52462557642343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0.33800563156156771</v>
      </c>
      <c r="FR180" s="21">
        <f>EXP(-LN(2)/25)*FR179+(1-EXP(-LN(2)/25))/(LN(2)/25)*Calculateur!FM180*Calculateur!FO180*VLOOKUP('Données projet'!$B$16,Paramètres!$A$1:$I$89,3,0)*0.475*44/12</f>
        <v>0.2093812442016284</v>
      </c>
      <c r="FS180" s="21">
        <f>EXP(-LN(2)/2)*FS179+(1-EXP(-LN(2)/2))/(LN(2)/2)*FM180*FP180*VLOOKUP('Données projet'!$B$16,Paramètres!$A$1:$I$89,3,0)*0.475*44/12</f>
        <v>4.0770723957279202E-22</v>
      </c>
      <c r="FT180" s="22">
        <f t="shared" si="184"/>
        <v>0.54738687576319611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-5.6843418860808015E-14</v>
      </c>
      <c r="GA180" s="17">
        <f>FZ180*VLOOKUP('Données projet'!$B$17,Paramètres!$A$1:$I$89,3,0)*VLOOKUP('Données projet'!$B$17,Paramètres!$A$1:$I$89,5,0)</f>
        <v>-3.2514435588382188E-14</v>
      </c>
      <c r="GB180" s="13" t="e">
        <f t="shared" si="185"/>
        <v>#NUM!</v>
      </c>
      <c r="GC180" s="20" t="e">
        <f t="shared" si="186"/>
        <v>#NUM!</v>
      </c>
      <c r="GD180" s="59" t="e">
        <f t="shared" si="134"/>
        <v>#NUM!</v>
      </c>
      <c r="GE180" s="59">
        <f ca="1">AVERAGE(OFFSET($GD$3,0,0,'Données projet'!$E$17+1,1))-AVERAGE(OFFSET($H$3,0,0,'Données projet'!$E$17+1,1))</f>
        <v>196.95560009657527</v>
      </c>
      <c r="GF180" s="59">
        <f t="shared" si="158"/>
        <v>168.90186968005662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0</v>
      </c>
      <c r="GM180" s="21">
        <f>EXP(-LN(2)/25)*GM179+(1-EXP(-LN(2)/25))/(LN(2)/25)*Calculateur!GH180*Calculateur!GJ180*VLOOKUP('Données projet'!$B$17,Paramètres!$A$1:$I$89,3,0)*0.475*44/12</f>
        <v>0.15674348758286827</v>
      </c>
      <c r="GN180" s="21">
        <f>EXP(-LN(2)/2)*GN179+(1-EXP(-LN(2)/2))/(LN(2)/2)*GH180*GK180*VLOOKUP('Données projet'!$B$17,Paramètres!$A$1:$I$89,3,0)*0.475*44/12</f>
        <v>9.6276888812452518E-22</v>
      </c>
      <c r="GO180" s="21">
        <f t="shared" si="187"/>
        <v>0.15674348758286827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-5.3205440053716299E-14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215.23235148064941</v>
      </c>
      <c r="T181" s="59">
        <f t="shared" si="142"/>
        <v>184.07239726900434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0.16720634028650569</v>
      </c>
      <c r="AA181" s="21">
        <f>EXP(-LN(2)/25)*AA180+(1-EXP(-LN(2)/25))/(LN(2)/25)*Calculateur!V181*Calculateur!X181*VLOOKUP('Données projet'!$B$9,Paramètres!$A$1:$I$89,3,0)*0.475*44/12</f>
        <v>0.12974011779933892</v>
      </c>
      <c r="AB181" s="21">
        <f>EXP(-LN(2)/2)*AB180+(1-EXP(-LN(2)/2))/(LN(2)/2)*V181*Y181*VLOOKUP('Données projet'!$B$9,Paramètres!$A$1:$I$89,3,0)*0.475*44/12</f>
        <v>5.2051108887684545E-22</v>
      </c>
      <c r="AC181" s="22">
        <f t="shared" si="163"/>
        <v>0.29694645808584463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5.6843418860808015E-14</v>
      </c>
      <c r="AJ181" s="13">
        <f>AI181*VLOOKUP('Données projet'!$B$10,Paramètres!$A$1:$I$89,3,0)*VLOOKUP('Données projet'!$B$10,Paramètres!$A$1:$I$89,5,0)</f>
        <v>4.1677594708744434E-14</v>
      </c>
      <c r="AK181" s="13">
        <f t="shared" si="164"/>
        <v>6.9326303456159188E-13</v>
      </c>
      <c r="AL181" s="20">
        <f t="shared" si="165"/>
        <v>1.2800215959791691E-12</v>
      </c>
      <c r="AM181" s="59">
        <f t="shared" si="113"/>
        <v>293.33333333333462</v>
      </c>
      <c r="AN181" s="59">
        <f ca="1">AVERAGE(OFFSET($AM$3,0,0,'Données projet'!$E$10+1,1))-AVERAGE(OFFSET($H$3,0,0,'Données projet'!$E$10+1,1))</f>
        <v>178.12968684094687</v>
      </c>
      <c r="AO181" s="59">
        <f t="shared" si="144"/>
        <v>219.36004077210373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0.12698181651225776</v>
      </c>
      <c r="AW181" s="21">
        <f>EXP(-LN(2)/2)*AW180+(1-EXP(-LN(2)/2))/(LN(2)/2)*AQ181*AT181*VLOOKUP('Données projet'!$B$10,Paramètres!$A$1:$I$89,3,0)*0.475*44/12</f>
        <v>5.2502885119405965E-22</v>
      </c>
      <c r="AX181" s="21">
        <f t="shared" si="166"/>
        <v>0.12698181651225776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-5.6843418860808015E-14</v>
      </c>
      <c r="BE181" s="13">
        <f>BD181*VLOOKUP('Données projet'!$B$11,Paramètres!$A$1:$I$89,3,0)*VLOOKUP('Données projet'!$B$11,Paramètres!$A$1:$I$89,5,0)</f>
        <v>-4.9658410716801891E-14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114.02623091248347</v>
      </c>
      <c r="BJ181" s="59">
        <f t="shared" si="146"/>
        <v>185.51554083721635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0.10411162148866415</v>
      </c>
      <c r="BQ181" s="21">
        <f>EXP(-LN(2)/25)*BQ180+(1-EXP(-LN(2)/25))/(LN(2)/25)*Calculateur!BL181*Calculateur!BN181*VLOOKUP('Données projet'!$B$11,Paramètres!$A$1:$I$89,3,0)*0.475*44/12</f>
        <v>0.18590520365692265</v>
      </c>
      <c r="BR181" s="21">
        <f>EXP(-LN(2)/2)*BR180+(1-EXP(-LN(2)/2))/(LN(2)/2)*BL181*BO181*VLOOKUP('Données projet'!$B$11,Paramètres!$A$1:$I$89,3,0)*0.475*44/12</f>
        <v>9.3381535897365636E-22</v>
      </c>
      <c r="BS181" s="22">
        <f t="shared" si="169"/>
        <v>0.2900168251455868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-1.1368683772161603E-13</v>
      </c>
      <c r="BZ181" s="13">
        <f>BY181*VLOOKUP('Données projet'!$B$12,Paramètres!$A$1:$I$89,3,0)*VLOOKUP('Données projet'!$B$12,Paramètres!$A$1:$I$89,5,0)</f>
        <v>-1.0286385077051818E-13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237.22177246688199</v>
      </c>
      <c r="CE181" s="59">
        <f t="shared" si="148"/>
        <v>149.27472147904302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5.1297385643595102E-2</v>
      </c>
      <c r="CM181" s="21">
        <f>EXP(-LN(2)/2)*CM180+(1-EXP(-LN(2)/2))/(LN(2)/2)*CG181*CJ181*VLOOKUP('Données projet'!$B$12,Paramètres!$A$1:$I$89,3,0)*0.475*44/12</f>
        <v>3.2766134716991194E-22</v>
      </c>
      <c r="CN181" s="22">
        <f t="shared" si="172"/>
        <v>5.1297385643595102E-2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-5.6843418860808015E-13</v>
      </c>
      <c r="CU181" s="17">
        <f>CT181*VLOOKUP('Données projet'!$B$13,Paramètres!$A$1:$I$89,3,0)*VLOOKUP('Données projet'!$B$13,Paramètres!$A$1:$I$89,5,0)</f>
        <v>-3.177547114319168E-13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326.31232746914907</v>
      </c>
      <c r="CZ181" s="59">
        <f t="shared" si="150"/>
        <v>330.17137761430297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0.243665497101129</v>
      </c>
      <c r="DG181" s="21">
        <f>EXP(-LN(2)/25)*DG180+(1-EXP(-LN(2)/25))/(LN(2)/25)*Calculateur!DB181*Calculateur!DD181*VLOOKUP('Données projet'!$B$13,Paramètres!$A$1:$I$89,3,0)*0.475*44/12</f>
        <v>0.49833360401199245</v>
      </c>
      <c r="DH181" s="21">
        <f>EXP(-LN(2)/2)*DH180+(1-EXP(-LN(2)/2))/(LN(2)/2)*DB181*DE181*VLOOKUP('Données projet'!$B$13,Paramètres!$A$1:$I$89,3,0)*0.475*44/12</f>
        <v>1.7217050227046605E-21</v>
      </c>
      <c r="DI181" s="22">
        <f t="shared" si="175"/>
        <v>0.74199910111312151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6.2527760746888816E-13</v>
      </c>
      <c r="DP181" s="17">
        <f>DO181*VLOOKUP('Données projet'!$B$14,Paramètres!$A$1:$I$89,3,0)*VLOOKUP('Données projet'!$B$14,Paramètres!$A$1:$I$89,5,0)</f>
        <v>3.9017322706058616E-13</v>
      </c>
      <c r="DQ181" s="13">
        <f t="shared" si="176"/>
        <v>5.0025007393608908E-12</v>
      </c>
      <c r="DR181" s="20">
        <f t="shared" si="177"/>
        <v>9.3922404915174053E-12</v>
      </c>
      <c r="DS181" s="59">
        <f t="shared" si="125"/>
        <v>293.33333333334269</v>
      </c>
      <c r="DT181" s="59">
        <f ca="1">AVERAGE(OFFSET($DS$3,0,0,'Données projet'!$E$14+1,1))-AVERAGE(OFFSET($H$3,0,0,'Données projet'!$E$14+1,1))</f>
        <v>209.93608079129638</v>
      </c>
      <c r="DU181" s="59">
        <f t="shared" si="152"/>
        <v>240.15652428700969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0.37090731059791304</v>
      </c>
      <c r="EB181" s="21">
        <f>EXP(-LN(2)/25)*EB180+(1-EXP(-LN(2)/25))/(LN(2)/25)*Calculateur!DW181*Calculateur!DY181*VLOOKUP('Données projet'!$B$14,Paramètres!$A$1:$I$89,3,0)*0.475*44/12</f>
        <v>0.34333116039806794</v>
      </c>
      <c r="EC181" s="21">
        <f>EXP(-LN(2)/2)*EC180+(1-EXP(-LN(2)/2))/(LN(2)/2)*DW181*DZ181*VLOOKUP('Données projet'!$B$14,Paramètres!$A$1:$I$89,3,0)*0.475*44/12</f>
        <v>1.0688928727237266E-21</v>
      </c>
      <c r="ED181" s="22">
        <f t="shared" si="178"/>
        <v>0.71423847099598103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-4.5474735088646412E-13</v>
      </c>
      <c r="EK181" s="17">
        <f>EJ181*VLOOKUP('Données projet'!$B$15,Paramètres!$A$1:$I$89,3,0)*VLOOKUP('Données projet'!$B$15,Paramètres!$A$1:$I$89,5,0)</f>
        <v>-2.7193891583010558E-13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216.94426559495264</v>
      </c>
      <c r="EP181" s="59">
        <f t="shared" si="154"/>
        <v>225.33715877618704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</v>
      </c>
      <c r="EW181" s="21">
        <f>EXP(-LN(2)/25)*EW180+(1-EXP(-LN(2)/25))/(LN(2)/25)*Calculateur!ER181*Calculateur!ET181*VLOOKUP('Données projet'!$B$15,Paramètres!$A$1:$I$89,3,0)*0.475*44/12</f>
        <v>0.21221724034739864</v>
      </c>
      <c r="EX181" s="21">
        <f>EXP(-LN(2)/2)*EX180+(1-EXP(-LN(2)/2))/(LN(2)/2)*ER181*EU181*VLOOKUP('Données projet'!$B$15,Paramètres!$A$1:$I$89,3,0)*0.475*44/12</f>
        <v>1.256221851898676E-21</v>
      </c>
      <c r="EY181" s="22">
        <f t="shared" si="181"/>
        <v>0.21221724034739864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>
        <f>FE181*VLOOKUP('Données projet'!$B$16,Paramètres!$A$1:$I$89,3,0)*VLOOKUP('Données projet'!$B$16,Paramètres!$A$1:$I$89,5,0)</f>
        <v>0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168.08890945052406</v>
      </c>
      <c r="FK181" s="59">
        <f t="shared" si="156"/>
        <v>182.52462557642343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0.33137754728972368</v>
      </c>
      <c r="FR181" s="21">
        <f>EXP(-LN(2)/25)*FR180+(1-EXP(-LN(2)/25))/(LN(2)/25)*Calculateur!FM181*Calculateur!FO181*VLOOKUP('Données projet'!$B$16,Paramètres!$A$1:$I$89,3,0)*0.475*44/12</f>
        <v>0.20365570306805378</v>
      </c>
      <c r="FS181" s="21">
        <f>EXP(-LN(2)/2)*FS180+(1-EXP(-LN(2)/2))/(LN(2)/2)*FM181*FP181*VLOOKUP('Données projet'!$B$16,Paramètres!$A$1:$I$89,3,0)*0.475*44/12</f>
        <v>2.8829255384076955E-22</v>
      </c>
      <c r="FT181" s="22">
        <f t="shared" si="184"/>
        <v>0.53503325035777749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-5.6843418860808015E-14</v>
      </c>
      <c r="GA181" s="17">
        <f>FZ181*VLOOKUP('Données projet'!$B$17,Paramètres!$A$1:$I$89,3,0)*VLOOKUP('Données projet'!$B$17,Paramètres!$A$1:$I$89,5,0)</f>
        <v>-3.2514435588382188E-14</v>
      </c>
      <c r="GB181" s="13" t="e">
        <f t="shared" si="185"/>
        <v>#NUM!</v>
      </c>
      <c r="GC181" s="20" t="e">
        <f t="shared" si="186"/>
        <v>#NUM!</v>
      </c>
      <c r="GD181" s="59" t="e">
        <f t="shared" si="134"/>
        <v>#NUM!</v>
      </c>
      <c r="GE181" s="59">
        <f ca="1">AVERAGE(OFFSET($GD$3,0,0,'Données projet'!$E$17+1,1))-AVERAGE(OFFSET($H$3,0,0,'Données projet'!$E$17+1,1))</f>
        <v>196.95560009657527</v>
      </c>
      <c r="GF181" s="59">
        <f t="shared" si="158"/>
        <v>168.90186968005662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0</v>
      </c>
      <c r="GM181" s="21">
        <f>EXP(-LN(2)/25)*GM180+(1-EXP(-LN(2)/25))/(LN(2)/25)*Calculateur!GH181*Calculateur!GJ181*VLOOKUP('Données projet'!$B$17,Paramètres!$A$1:$I$89,3,0)*0.475*44/12</f>
        <v>0.15245732867213296</v>
      </c>
      <c r="GN181" s="21">
        <f>EXP(-LN(2)/2)*GN180+(1-EXP(-LN(2)/2))/(LN(2)/2)*GH181*GK181*VLOOKUP('Données projet'!$B$17,Paramètres!$A$1:$I$89,3,0)*0.475*44/12</f>
        <v>6.8078040950828428E-22</v>
      </c>
      <c r="GO181" s="21">
        <f t="shared" si="187"/>
        <v>0.15245732867213296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-5.3205440053716299E-14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215.23235148064941</v>
      </c>
      <c r="T182" s="59">
        <f t="shared" si="142"/>
        <v>184.07239726900434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0.16392752593928461</v>
      </c>
      <c r="AA182" s="21">
        <f>EXP(-LN(2)/25)*AA181+(1-EXP(-LN(2)/25))/(LN(2)/25)*Calculateur!V182*Calculateur!X182*VLOOKUP('Données projet'!$B$9,Paramètres!$A$1:$I$89,3,0)*0.475*44/12</f>
        <v>0.12619236745537973</v>
      </c>
      <c r="AB182" s="21">
        <f>EXP(-LN(2)/2)*AB181+(1-EXP(-LN(2)/2))/(LN(2)/2)*V182*Y182*VLOOKUP('Données projet'!$B$9,Paramètres!$A$1:$I$89,3,0)*0.475*44/12</f>
        <v>3.6805692062761116E-22</v>
      </c>
      <c r="AC182" s="22">
        <f t="shared" si="163"/>
        <v>0.29011989339466437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5.6843418860808015E-14</v>
      </c>
      <c r="AJ182" s="13">
        <f>AI182*VLOOKUP('Données projet'!$B$10,Paramètres!$A$1:$I$89,3,0)*VLOOKUP('Données projet'!$B$10,Paramètres!$A$1:$I$89,5,0)</f>
        <v>4.1677594708744434E-14</v>
      </c>
      <c r="AK182" s="13">
        <f t="shared" si="164"/>
        <v>6.9326303456159188E-13</v>
      </c>
      <c r="AL182" s="20">
        <f t="shared" si="165"/>
        <v>1.2800215959791691E-12</v>
      </c>
      <c r="AM182" s="59">
        <f t="shared" si="113"/>
        <v>293.33333333333462</v>
      </c>
      <c r="AN182" s="59">
        <f ca="1">AVERAGE(OFFSET($AM$3,0,0,'Données projet'!$E$10+1,1))-AVERAGE(OFFSET($H$3,0,0,'Données projet'!$E$10+1,1))</f>
        <v>178.12968684094687</v>
      </c>
      <c r="AO182" s="59">
        <f t="shared" si="144"/>
        <v>219.36004077210373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0.12350949206204656</v>
      </c>
      <c r="AW182" s="21">
        <f>EXP(-LN(2)/2)*AW181+(1-EXP(-LN(2)/2))/(LN(2)/2)*AQ182*AT182*VLOOKUP('Données projet'!$B$10,Paramètres!$A$1:$I$89,3,0)*0.475*44/12</f>
        <v>3.7125146099790237E-22</v>
      </c>
      <c r="AX182" s="21">
        <f t="shared" si="166"/>
        <v>0.12350949206204656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-5.6843418860808015E-14</v>
      </c>
      <c r="BE182" s="13">
        <f>BD182*VLOOKUP('Données projet'!$B$11,Paramètres!$A$1:$I$89,3,0)*VLOOKUP('Données projet'!$B$11,Paramètres!$A$1:$I$89,5,0)</f>
        <v>-4.9658410716801891E-14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114.02623091248347</v>
      </c>
      <c r="BJ182" s="59">
        <f t="shared" si="146"/>
        <v>185.51554083721635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0.10207005609309028</v>
      </c>
      <c r="BQ182" s="21">
        <f>EXP(-LN(2)/25)*BQ181+(1-EXP(-LN(2)/25))/(LN(2)/25)*Calculateur!BL182*Calculateur!BN182*VLOOKUP('Données projet'!$B$11,Paramètres!$A$1:$I$89,3,0)*0.475*44/12</f>
        <v>0.18082161608659433</v>
      </c>
      <c r="BR182" s="21">
        <f>EXP(-LN(2)/2)*BR181+(1-EXP(-LN(2)/2))/(LN(2)/2)*BL182*BO182*VLOOKUP('Données projet'!$B$11,Paramètres!$A$1:$I$89,3,0)*0.475*44/12</f>
        <v>6.6030717270642257E-22</v>
      </c>
      <c r="BS182" s="22">
        <f t="shared" si="169"/>
        <v>0.28289167217968458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-1.1368683772161603E-13</v>
      </c>
      <c r="BZ182" s="13">
        <f>BY182*VLOOKUP('Données projet'!$B$12,Paramètres!$A$1:$I$89,3,0)*VLOOKUP('Données projet'!$B$12,Paramètres!$A$1:$I$89,5,0)</f>
        <v>-1.0286385077051818E-13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237.22177246688199</v>
      </c>
      <c r="CE182" s="59">
        <f t="shared" si="148"/>
        <v>149.27472147904302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4.9894655935558724E-2</v>
      </c>
      <c r="CM182" s="21">
        <f>EXP(-LN(2)/2)*CM181+(1-EXP(-LN(2)/2))/(LN(2)/2)*CG182*CJ182*VLOOKUP('Données projet'!$B$12,Paramètres!$A$1:$I$89,3,0)*0.475*44/12</f>
        <v>2.316915605165643E-22</v>
      </c>
      <c r="CN182" s="22">
        <f t="shared" si="172"/>
        <v>4.9894655935558724E-2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-5.6843418860808015E-13</v>
      </c>
      <c r="CU182" s="17">
        <f>CT182*VLOOKUP('Données projet'!$B$13,Paramètres!$A$1:$I$89,3,0)*VLOOKUP('Données projet'!$B$13,Paramètres!$A$1:$I$89,5,0)</f>
        <v>-3.177547114319168E-13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326.31232746914907</v>
      </c>
      <c r="CZ182" s="59">
        <f t="shared" si="150"/>
        <v>330.17137761430297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0.23888736532425398</v>
      </c>
      <c r="DG182" s="21">
        <f>EXP(-LN(2)/25)*DG181+(1-EXP(-LN(2)/25))/(LN(2)/25)*Calculateur!DB182*Calculateur!DD182*VLOOKUP('Données projet'!$B$13,Paramètres!$A$1:$I$89,3,0)*0.475*44/12</f>
        <v>0.48470664540405922</v>
      </c>
      <c r="DH182" s="21">
        <f>EXP(-LN(2)/2)*DH181+(1-EXP(-LN(2)/2))/(LN(2)/2)*DB182*DE182*VLOOKUP('Données projet'!$B$13,Paramètres!$A$1:$I$89,3,0)*0.475*44/12</f>
        <v>1.2174292967574042E-21</v>
      </c>
      <c r="DI182" s="22">
        <f t="shared" si="175"/>
        <v>0.7235940107283132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6.2527760746888816E-13</v>
      </c>
      <c r="DP182" s="17">
        <f>DO182*VLOOKUP('Données projet'!$B$14,Paramètres!$A$1:$I$89,3,0)*VLOOKUP('Données projet'!$B$14,Paramètres!$A$1:$I$89,5,0)</f>
        <v>3.9017322706058616E-13</v>
      </c>
      <c r="DQ182" s="13">
        <f t="shared" si="176"/>
        <v>5.0025007393608908E-12</v>
      </c>
      <c r="DR182" s="20">
        <f t="shared" si="177"/>
        <v>9.3922404915174053E-12</v>
      </c>
      <c r="DS182" s="59">
        <f t="shared" si="125"/>
        <v>293.33333333334269</v>
      </c>
      <c r="DT182" s="59">
        <f ca="1">AVERAGE(OFFSET($DS$3,0,0,'Données projet'!$E$14+1,1))-AVERAGE(OFFSET($H$3,0,0,'Données projet'!$E$14+1,1))</f>
        <v>209.93608079129638</v>
      </c>
      <c r="DU182" s="59">
        <f t="shared" si="152"/>
        <v>240.15652428700969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0.36363404446820896</v>
      </c>
      <c r="EB182" s="21">
        <f>EXP(-LN(2)/25)*EB181+(1-EXP(-LN(2)/25))/(LN(2)/25)*Calculateur!DW182*Calculateur!DY182*VLOOKUP('Données projet'!$B$14,Paramètres!$A$1:$I$89,3,0)*0.475*44/12</f>
        <v>0.33394275176198174</v>
      </c>
      <c r="EC182" s="21">
        <f>EXP(-LN(2)/2)*EC181+(1-EXP(-LN(2)/2))/(LN(2)/2)*DW182*DZ182*VLOOKUP('Données projet'!$B$14,Paramètres!$A$1:$I$89,3,0)*0.475*44/12</f>
        <v>7.5582139866491633E-22</v>
      </c>
      <c r="ED182" s="22">
        <f t="shared" si="178"/>
        <v>0.69757679623019064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-4.5474735088646412E-13</v>
      </c>
      <c r="EK182" s="17">
        <f>EJ182*VLOOKUP('Données projet'!$B$15,Paramètres!$A$1:$I$89,3,0)*VLOOKUP('Données projet'!$B$15,Paramètres!$A$1:$I$89,5,0)</f>
        <v>-2.7193891583010558E-13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216.94426559495264</v>
      </c>
      <c r="EP182" s="59">
        <f t="shared" si="154"/>
        <v>225.33715877618704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</v>
      </c>
      <c r="EW182" s="21">
        <f>EXP(-LN(2)/25)*EW181+(1-EXP(-LN(2)/25))/(LN(2)/25)*Calculateur!ER182*Calculateur!ET182*VLOOKUP('Données projet'!$B$15,Paramètres!$A$1:$I$89,3,0)*0.475*44/12</f>
        <v>0.20641414875007938</v>
      </c>
      <c r="EX182" s="21">
        <f>EXP(-LN(2)/2)*EX181+(1-EXP(-LN(2)/2))/(LN(2)/2)*ER182*EU182*VLOOKUP('Données projet'!$B$15,Paramètres!$A$1:$I$89,3,0)*0.475*44/12</f>
        <v>8.8828299015227657E-22</v>
      </c>
      <c r="EY182" s="22">
        <f t="shared" si="181"/>
        <v>0.20641414875007938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>
        <f>FE182*VLOOKUP('Données projet'!$B$16,Paramètres!$A$1:$I$89,3,0)*VLOOKUP('Données projet'!$B$16,Paramètres!$A$1:$I$89,5,0)</f>
        <v>0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168.08890945052406</v>
      </c>
      <c r="FK182" s="59">
        <f t="shared" si="156"/>
        <v>182.52462557642343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0.32487943570771832</v>
      </c>
      <c r="FR182" s="21">
        <f>EXP(-LN(2)/25)*FR181+(1-EXP(-LN(2)/25))/(LN(2)/25)*Calculateur!FM182*Calculateur!FO182*VLOOKUP('Données projet'!$B$16,Paramètres!$A$1:$I$89,3,0)*0.475*44/12</f>
        <v>0.19808672715786987</v>
      </c>
      <c r="FS182" s="21">
        <f>EXP(-LN(2)/2)*FS181+(1-EXP(-LN(2)/2))/(LN(2)/2)*FM182*FP182*VLOOKUP('Données projet'!$B$16,Paramètres!$A$1:$I$89,3,0)*0.475*44/12</f>
        <v>2.0385361978639601E-22</v>
      </c>
      <c r="FT182" s="22">
        <f t="shared" si="184"/>
        <v>0.52296616286558817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-5.6843418860808015E-14</v>
      </c>
      <c r="GA182" s="17">
        <f>FZ182*VLOOKUP('Données projet'!$B$17,Paramètres!$A$1:$I$89,3,0)*VLOOKUP('Données projet'!$B$17,Paramètres!$A$1:$I$89,5,0)</f>
        <v>-3.2514435588382188E-14</v>
      </c>
      <c r="GB182" s="13" t="e">
        <f t="shared" si="185"/>
        <v>#NUM!</v>
      </c>
      <c r="GC182" s="20" t="e">
        <f t="shared" si="186"/>
        <v>#NUM!</v>
      </c>
      <c r="GD182" s="59" t="e">
        <f t="shared" si="134"/>
        <v>#NUM!</v>
      </c>
      <c r="GE182" s="59">
        <f ca="1">AVERAGE(OFFSET($GD$3,0,0,'Données projet'!$E$17+1,1))-AVERAGE(OFFSET($H$3,0,0,'Données projet'!$E$17+1,1))</f>
        <v>196.95560009657527</v>
      </c>
      <c r="GF182" s="59">
        <f t="shared" si="158"/>
        <v>168.90186968005662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0</v>
      </c>
      <c r="GM182" s="21">
        <f>EXP(-LN(2)/25)*GM181+(1-EXP(-LN(2)/25))/(LN(2)/25)*Calculateur!GH182*Calculateur!GJ182*VLOOKUP('Données projet'!$B$17,Paramètres!$A$1:$I$89,3,0)*0.475*44/12</f>
        <v>0.14828837500221101</v>
      </c>
      <c r="GN182" s="21">
        <f>EXP(-LN(2)/2)*GN181+(1-EXP(-LN(2)/2))/(LN(2)/2)*GH182*GK182*VLOOKUP('Données projet'!$B$17,Paramètres!$A$1:$I$89,3,0)*0.475*44/12</f>
        <v>4.8138444406226259E-22</v>
      </c>
      <c r="GO182" s="21">
        <f t="shared" si="187"/>
        <v>0.14828837500221101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-5.3205440053716299E-14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215.23235148064941</v>
      </c>
      <c r="T183" s="59">
        <f t="shared" si="142"/>
        <v>184.07239726900434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0.16071300714153328</v>
      </c>
      <c r="AA183" s="21">
        <f>EXP(-LN(2)/25)*AA182+(1-EXP(-LN(2)/25))/(LN(2)/25)*Calculateur!V183*Calculateur!X183*VLOOKUP('Données projet'!$B$9,Paramètres!$A$1:$I$89,3,0)*0.475*44/12</f>
        <v>0.12274163053114419</v>
      </c>
      <c r="AB183" s="21">
        <f>EXP(-LN(2)/2)*AB182+(1-EXP(-LN(2)/2))/(LN(2)/2)*V183*Y183*VLOOKUP('Données projet'!$B$9,Paramètres!$A$1:$I$89,3,0)*0.475*44/12</f>
        <v>2.6025554443842273E-22</v>
      </c>
      <c r="AC183" s="22">
        <f t="shared" si="163"/>
        <v>0.28345463767267748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5.6843418860808015E-14</v>
      </c>
      <c r="AJ183" s="13">
        <f>AI183*VLOOKUP('Données projet'!$B$10,Paramètres!$A$1:$I$89,3,0)*VLOOKUP('Données projet'!$B$10,Paramètres!$A$1:$I$89,5,0)</f>
        <v>4.1677594708744434E-14</v>
      </c>
      <c r="AK183" s="13">
        <f t="shared" si="164"/>
        <v>6.9326303456159188E-13</v>
      </c>
      <c r="AL183" s="20">
        <f t="shared" si="165"/>
        <v>1.2800215959791691E-12</v>
      </c>
      <c r="AM183" s="59">
        <f t="shared" si="113"/>
        <v>293.33333333333462</v>
      </c>
      <c r="AN183" s="59">
        <f ca="1">AVERAGE(OFFSET($AM$3,0,0,'Données projet'!$E$10+1,1))-AVERAGE(OFFSET($H$3,0,0,'Données projet'!$E$10+1,1))</f>
        <v>178.12968684094687</v>
      </c>
      <c r="AO183" s="59">
        <f t="shared" si="144"/>
        <v>219.36004077210373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0.120132118506528</v>
      </c>
      <c r="AW183" s="21">
        <f>EXP(-LN(2)/2)*AW182+(1-EXP(-LN(2)/2))/(LN(2)/2)*AQ183*AT183*VLOOKUP('Données projet'!$B$10,Paramètres!$A$1:$I$89,3,0)*0.475*44/12</f>
        <v>2.6251442559702983E-22</v>
      </c>
      <c r="AX183" s="21">
        <f t="shared" si="166"/>
        <v>0.120132118506528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-5.6843418860808015E-14</v>
      </c>
      <c r="BE183" s="13">
        <f>BD183*VLOOKUP('Données projet'!$B$11,Paramètres!$A$1:$I$89,3,0)*VLOOKUP('Données projet'!$B$11,Paramètres!$A$1:$I$89,5,0)</f>
        <v>-4.9658410716801891E-14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114.02623091248347</v>
      </c>
      <c r="BJ183" s="59">
        <f t="shared" si="146"/>
        <v>185.51554083721635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0.10006852454969167</v>
      </c>
      <c r="BQ183" s="21">
        <f>EXP(-LN(2)/25)*BQ182+(1-EXP(-LN(2)/25))/(LN(2)/25)*Calculateur!BL183*Calculateur!BN183*VLOOKUP('Données projet'!$B$11,Paramètres!$A$1:$I$89,3,0)*0.475*44/12</f>
        <v>0.1758770394857109</v>
      </c>
      <c r="BR183" s="21">
        <f>EXP(-LN(2)/2)*BR182+(1-EXP(-LN(2)/2))/(LN(2)/2)*BL183*BO183*VLOOKUP('Données projet'!$B$11,Paramètres!$A$1:$I$89,3,0)*0.475*44/12</f>
        <v>4.6690767948682818E-22</v>
      </c>
      <c r="BS183" s="22">
        <f t="shared" si="169"/>
        <v>0.2759455640354026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-1.1368683772161603E-13</v>
      </c>
      <c r="BZ183" s="13">
        <f>BY183*VLOOKUP('Données projet'!$B$12,Paramètres!$A$1:$I$89,3,0)*VLOOKUP('Données projet'!$B$12,Paramètres!$A$1:$I$89,5,0)</f>
        <v>-1.0286385077051818E-13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237.22177246688199</v>
      </c>
      <c r="CE183" s="59">
        <f t="shared" si="148"/>
        <v>149.27472147904302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4.8530283945154948E-2</v>
      </c>
      <c r="CM183" s="21">
        <f>EXP(-LN(2)/2)*CM182+(1-EXP(-LN(2)/2))/(LN(2)/2)*CG183*CJ183*VLOOKUP('Données projet'!$B$12,Paramètres!$A$1:$I$89,3,0)*0.475*44/12</f>
        <v>1.6383067358495597E-22</v>
      </c>
      <c r="CN183" s="22">
        <f t="shared" si="172"/>
        <v>4.8530283945154948E-2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-5.6843418860808015E-13</v>
      </c>
      <c r="CU183" s="17">
        <f>CT183*VLOOKUP('Données projet'!$B$13,Paramètres!$A$1:$I$89,3,0)*VLOOKUP('Données projet'!$B$13,Paramètres!$A$1:$I$89,5,0)</f>
        <v>-3.177547114319168E-13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326.31232746914907</v>
      </c>
      <c r="CZ183" s="59">
        <f t="shared" si="150"/>
        <v>330.17137761430297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0.23420292979715085</v>
      </c>
      <c r="DG183" s="21">
        <f>EXP(-LN(2)/25)*DG182+(1-EXP(-LN(2)/25))/(LN(2)/25)*Calculateur!DB183*Calculateur!DD183*VLOOKUP('Données projet'!$B$13,Paramètres!$A$1:$I$89,3,0)*0.475*44/12</f>
        <v>0.47145231669587057</v>
      </c>
      <c r="DH183" s="21">
        <f>EXP(-LN(2)/2)*DH182+(1-EXP(-LN(2)/2))/(LN(2)/2)*DB183*DE183*VLOOKUP('Données projet'!$B$13,Paramètres!$A$1:$I$89,3,0)*0.475*44/12</f>
        <v>8.6085251135233027E-22</v>
      </c>
      <c r="DI183" s="22">
        <f t="shared" si="175"/>
        <v>0.70565524649302147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6.2527760746888816E-13</v>
      </c>
      <c r="DP183" s="17">
        <f>DO183*VLOOKUP('Données projet'!$B$14,Paramètres!$A$1:$I$89,3,0)*VLOOKUP('Données projet'!$B$14,Paramètres!$A$1:$I$89,5,0)</f>
        <v>3.9017322706058616E-13</v>
      </c>
      <c r="DQ183" s="13">
        <f t="shared" si="176"/>
        <v>5.0025007393608908E-12</v>
      </c>
      <c r="DR183" s="20">
        <f t="shared" si="177"/>
        <v>9.3922404915174053E-12</v>
      </c>
      <c r="DS183" s="59">
        <f t="shared" si="125"/>
        <v>293.33333333334269</v>
      </c>
      <c r="DT183" s="59">
        <f ca="1">AVERAGE(OFFSET($DS$3,0,0,'Données projet'!$E$14+1,1))-AVERAGE(OFFSET($H$3,0,0,'Données projet'!$E$14+1,1))</f>
        <v>209.93608079129638</v>
      </c>
      <c r="DU183" s="59">
        <f t="shared" si="152"/>
        <v>240.15652428700969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0.35650340265105407</v>
      </c>
      <c r="EB183" s="21">
        <f>EXP(-LN(2)/25)*EB182+(1-EXP(-LN(2)/25))/(LN(2)/25)*Calculateur!DW183*Calculateur!DY183*VLOOKUP('Données projet'!$B$14,Paramètres!$A$1:$I$89,3,0)*0.475*44/12</f>
        <v>0.32481106965376427</v>
      </c>
      <c r="EC183" s="21">
        <f>EXP(-LN(2)/2)*EC182+(1-EXP(-LN(2)/2))/(LN(2)/2)*DW183*DZ183*VLOOKUP('Données projet'!$B$14,Paramètres!$A$1:$I$89,3,0)*0.475*44/12</f>
        <v>5.3444643636186329E-22</v>
      </c>
      <c r="ED183" s="22">
        <f t="shared" si="178"/>
        <v>0.68131447230481834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-4.5474735088646412E-13</v>
      </c>
      <c r="EK183" s="17">
        <f>EJ183*VLOOKUP('Données projet'!$B$15,Paramètres!$A$1:$I$89,3,0)*VLOOKUP('Données projet'!$B$15,Paramètres!$A$1:$I$89,5,0)</f>
        <v>-2.7193891583010558E-13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216.94426559495264</v>
      </c>
      <c r="EP183" s="59">
        <f t="shared" si="154"/>
        <v>225.33715877618704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</v>
      </c>
      <c r="EW183" s="21">
        <f>EXP(-LN(2)/25)*EW182+(1-EXP(-LN(2)/25))/(LN(2)/25)*Calculateur!ER183*Calculateur!ET183*VLOOKUP('Données projet'!$B$15,Paramètres!$A$1:$I$89,3,0)*0.475*44/12</f>
        <v>0.20076974299766015</v>
      </c>
      <c r="EX183" s="21">
        <f>EXP(-LN(2)/2)*EX182+(1-EXP(-LN(2)/2))/(LN(2)/2)*ER183*EU183*VLOOKUP('Données projet'!$B$15,Paramètres!$A$1:$I$89,3,0)*0.475*44/12</f>
        <v>6.2811092594933799E-22</v>
      </c>
      <c r="EY183" s="22">
        <f t="shared" si="181"/>
        <v>0.20076974299766015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>
        <f>FE183*VLOOKUP('Données projet'!$B$16,Paramètres!$A$1:$I$89,3,0)*VLOOKUP('Données projet'!$B$16,Paramètres!$A$1:$I$89,5,0)</f>
        <v>0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168.08890945052406</v>
      </c>
      <c r="FK183" s="59">
        <f t="shared" si="156"/>
        <v>182.52462557642343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0.31850874813037938</v>
      </c>
      <c r="FR183" s="21">
        <f>EXP(-LN(2)/25)*FR182+(1-EXP(-LN(2)/25))/(LN(2)/25)*Calculateur!FM183*Calculateur!FO183*VLOOKUP('Données projet'!$B$16,Paramètres!$A$1:$I$89,3,0)*0.475*44/12</f>
        <v>0.19267003518680967</v>
      </c>
      <c r="FS183" s="21">
        <f>EXP(-LN(2)/2)*FS182+(1-EXP(-LN(2)/2))/(LN(2)/2)*FM183*FP183*VLOOKUP('Données projet'!$B$16,Paramètres!$A$1:$I$89,3,0)*0.475*44/12</f>
        <v>1.4414627692038478E-22</v>
      </c>
      <c r="FT183" s="22">
        <f t="shared" si="184"/>
        <v>0.51117878331718902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-5.6843418860808015E-14</v>
      </c>
      <c r="GA183" s="17">
        <f>FZ183*VLOOKUP('Données projet'!$B$17,Paramètres!$A$1:$I$89,3,0)*VLOOKUP('Données projet'!$B$17,Paramètres!$A$1:$I$89,5,0)</f>
        <v>-3.2514435588382188E-14</v>
      </c>
      <c r="GB183" s="13" t="e">
        <f t="shared" si="185"/>
        <v>#NUM!</v>
      </c>
      <c r="GC183" s="20" t="e">
        <f t="shared" si="186"/>
        <v>#NUM!</v>
      </c>
      <c r="GD183" s="59" t="e">
        <f t="shared" si="134"/>
        <v>#NUM!</v>
      </c>
      <c r="GE183" s="59">
        <f ca="1">AVERAGE(OFFSET($GD$3,0,0,'Données projet'!$E$17+1,1))-AVERAGE(OFFSET($H$3,0,0,'Données projet'!$E$17+1,1))</f>
        <v>196.95560009657527</v>
      </c>
      <c r="GF183" s="59">
        <f t="shared" si="158"/>
        <v>168.90186968005662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0</v>
      </c>
      <c r="GM183" s="21">
        <f>EXP(-LN(2)/25)*GM182+(1-EXP(-LN(2)/25))/(LN(2)/25)*Calculateur!GH183*Calculateur!GJ183*VLOOKUP('Données projet'!$B$17,Paramètres!$A$1:$I$89,3,0)*0.475*44/12</f>
        <v>0.14423342158962882</v>
      </c>
      <c r="GN183" s="21">
        <f>EXP(-LN(2)/2)*GN182+(1-EXP(-LN(2)/2))/(LN(2)/2)*GH183*GK183*VLOOKUP('Données projet'!$B$17,Paramètres!$A$1:$I$89,3,0)*0.475*44/12</f>
        <v>3.4039020475414214E-22</v>
      </c>
      <c r="GO183" s="21">
        <f t="shared" si="187"/>
        <v>0.14423342158962882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-5.3205440053716299E-14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215.23235148064941</v>
      </c>
      <c r="T184" s="59">
        <f t="shared" si="142"/>
        <v>184.07239726900434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0.15756152309674298</v>
      </c>
      <c r="AA184" s="21">
        <f>EXP(-LN(2)/25)*AA183+(1-EXP(-LN(2)/25))/(LN(2)/25)*Calculateur!V184*Calculateur!X184*VLOOKUP('Données projet'!$B$9,Paramètres!$A$1:$I$89,3,0)*0.475*44/12</f>
        <v>0.11938525418956823</v>
      </c>
      <c r="AB184" s="21">
        <f>EXP(-LN(2)/2)*AB183+(1-EXP(-LN(2)/2))/(LN(2)/2)*V184*Y184*VLOOKUP('Données projet'!$B$9,Paramètres!$A$1:$I$89,3,0)*0.475*44/12</f>
        <v>1.8402846031380558E-22</v>
      </c>
      <c r="AC184" s="22">
        <f t="shared" si="163"/>
        <v>0.27694677728631123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5.6843418860808015E-14</v>
      </c>
      <c r="AJ184" s="13">
        <f>AI184*VLOOKUP('Données projet'!$B$10,Paramètres!$A$1:$I$89,3,0)*VLOOKUP('Données projet'!$B$10,Paramètres!$A$1:$I$89,5,0)</f>
        <v>4.1677594708744434E-14</v>
      </c>
      <c r="AK184" s="13">
        <f t="shared" si="164"/>
        <v>6.9326303456159188E-13</v>
      </c>
      <c r="AL184" s="20">
        <f t="shared" si="165"/>
        <v>1.2800215959791691E-12</v>
      </c>
      <c r="AM184" s="59">
        <f t="shared" si="113"/>
        <v>293.33333333333462</v>
      </c>
      <c r="AN184" s="59">
        <f ca="1">AVERAGE(OFFSET($AM$3,0,0,'Données projet'!$E$10+1,1))-AVERAGE(OFFSET($H$3,0,0,'Données projet'!$E$10+1,1))</f>
        <v>178.12968684094687</v>
      </c>
      <c r="AO184" s="59">
        <f t="shared" si="144"/>
        <v>219.36004077210373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0.11684709940849344</v>
      </c>
      <c r="AW184" s="21">
        <f>EXP(-LN(2)/2)*AW183+(1-EXP(-LN(2)/2))/(LN(2)/2)*AQ184*AT184*VLOOKUP('Données projet'!$B$10,Paramètres!$A$1:$I$89,3,0)*0.475*44/12</f>
        <v>1.8562573049895118E-22</v>
      </c>
      <c r="AX184" s="21">
        <f t="shared" si="166"/>
        <v>0.11684709940849344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-5.6843418860808015E-14</v>
      </c>
      <c r="BE184" s="13">
        <f>BD184*VLOOKUP('Données projet'!$B$11,Paramètres!$A$1:$I$89,3,0)*VLOOKUP('Données projet'!$B$11,Paramètres!$A$1:$I$89,5,0)</f>
        <v>-4.9658410716801891E-14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114.02623091248347</v>
      </c>
      <c r="BJ184" s="59">
        <f t="shared" si="146"/>
        <v>185.51554083721635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9.8106241819045412E-2</v>
      </c>
      <c r="BQ184" s="21">
        <f>EXP(-LN(2)/25)*BQ183+(1-EXP(-LN(2)/25))/(LN(2)/25)*Calculateur!BL184*Calculateur!BN184*VLOOKUP('Données projet'!$B$11,Paramètres!$A$1:$I$89,3,0)*0.475*44/12</f>
        <v>0.17106767259200259</v>
      </c>
      <c r="BR184" s="21">
        <f>EXP(-LN(2)/2)*BR183+(1-EXP(-LN(2)/2))/(LN(2)/2)*BL184*BO184*VLOOKUP('Données projet'!$B$11,Paramètres!$A$1:$I$89,3,0)*0.475*44/12</f>
        <v>3.3015358635321128E-22</v>
      </c>
      <c r="BS184" s="22">
        <f t="shared" si="169"/>
        <v>0.26917391441104799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-1.1368683772161603E-13</v>
      </c>
      <c r="BZ184" s="13">
        <f>BY184*VLOOKUP('Données projet'!$B$12,Paramètres!$A$1:$I$89,3,0)*VLOOKUP('Données projet'!$B$12,Paramètres!$A$1:$I$89,5,0)</f>
        <v>-1.0286385077051818E-13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237.22177246688199</v>
      </c>
      <c r="CE184" s="59">
        <f t="shared" si="148"/>
        <v>149.27472147904302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4.720322077857797E-2</v>
      </c>
      <c r="CM184" s="21">
        <f>EXP(-LN(2)/2)*CM183+(1-EXP(-LN(2)/2))/(LN(2)/2)*CG184*CJ184*VLOOKUP('Données projet'!$B$12,Paramètres!$A$1:$I$89,3,0)*0.475*44/12</f>
        <v>1.1584578025828215E-22</v>
      </c>
      <c r="CN184" s="22">
        <f t="shared" si="172"/>
        <v>4.720322077857797E-2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-5.6843418860808015E-13</v>
      </c>
      <c r="CU184" s="17">
        <f>CT184*VLOOKUP('Données projet'!$B$13,Paramètres!$A$1:$I$89,3,0)*VLOOKUP('Données projet'!$B$13,Paramètres!$A$1:$I$89,5,0)</f>
        <v>-3.177547114319168E-13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326.31232746914907</v>
      </c>
      <c r="CZ184" s="59">
        <f t="shared" si="150"/>
        <v>330.17137761430297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0.22961035319351067</v>
      </c>
      <c r="DG184" s="21">
        <f>EXP(-LN(2)/25)*DG183+(1-EXP(-LN(2)/25))/(LN(2)/25)*Calculateur!DB184*Calculateur!DD184*VLOOKUP('Données projet'!$B$13,Paramètres!$A$1:$I$89,3,0)*0.475*44/12</f>
        <v>0.45856042830322219</v>
      </c>
      <c r="DH184" s="21">
        <f>EXP(-LN(2)/2)*DH183+(1-EXP(-LN(2)/2))/(LN(2)/2)*DB184*DE184*VLOOKUP('Données projet'!$B$13,Paramètres!$A$1:$I$89,3,0)*0.475*44/12</f>
        <v>6.0871464837870211E-22</v>
      </c>
      <c r="DI184" s="22">
        <f t="shared" si="175"/>
        <v>0.68817078149673283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6.2527760746888816E-13</v>
      </c>
      <c r="DP184" s="17">
        <f>DO184*VLOOKUP('Données projet'!$B$14,Paramètres!$A$1:$I$89,3,0)*VLOOKUP('Données projet'!$B$14,Paramètres!$A$1:$I$89,5,0)</f>
        <v>3.9017322706058616E-13</v>
      </c>
      <c r="DQ184" s="13">
        <f t="shared" si="176"/>
        <v>5.0025007393608908E-12</v>
      </c>
      <c r="DR184" s="20">
        <f t="shared" si="177"/>
        <v>9.3922404915174053E-12</v>
      </c>
      <c r="DS184" s="59">
        <f t="shared" si="125"/>
        <v>293.33333333334269</v>
      </c>
      <c r="DT184" s="59">
        <f ca="1">AVERAGE(OFFSET($DS$3,0,0,'Données projet'!$E$14+1,1))-AVERAGE(OFFSET($H$3,0,0,'Données projet'!$E$14+1,1))</f>
        <v>209.93608079129638</v>
      </c>
      <c r="DU184" s="59">
        <f t="shared" si="152"/>
        <v>240.15652428700969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0.34951258837067156</v>
      </c>
      <c r="EB184" s="21">
        <f>EXP(-LN(2)/25)*EB183+(1-EXP(-LN(2)/25))/(LN(2)/25)*Calculateur!DW184*Calculateur!DY184*VLOOKUP('Données projet'!$B$14,Paramètres!$A$1:$I$89,3,0)*0.475*44/12</f>
        <v>0.31592909387301032</v>
      </c>
      <c r="EC184" s="21">
        <f>EXP(-LN(2)/2)*EC183+(1-EXP(-LN(2)/2))/(LN(2)/2)*DW184*DZ184*VLOOKUP('Données projet'!$B$14,Paramètres!$A$1:$I$89,3,0)*0.475*44/12</f>
        <v>3.7791069933245817E-22</v>
      </c>
      <c r="ED184" s="22">
        <f t="shared" si="178"/>
        <v>0.66544168224368194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-4.5474735088646412E-13</v>
      </c>
      <c r="EK184" s="17">
        <f>EJ184*VLOOKUP('Données projet'!$B$15,Paramètres!$A$1:$I$89,3,0)*VLOOKUP('Données projet'!$B$15,Paramètres!$A$1:$I$89,5,0)</f>
        <v>-2.7193891583010558E-13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216.94426559495264</v>
      </c>
      <c r="EP184" s="59">
        <f t="shared" si="154"/>
        <v>225.33715877618704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</v>
      </c>
      <c r="EW184" s="21">
        <f>EXP(-LN(2)/25)*EW183+(1-EXP(-LN(2)/25))/(LN(2)/25)*Calculateur!ER184*Calculateur!ET184*VLOOKUP('Données projet'!$B$15,Paramètres!$A$1:$I$89,3,0)*0.475*44/12</f>
        <v>0.19527968381736721</v>
      </c>
      <c r="EX184" s="21">
        <f>EXP(-LN(2)/2)*EX183+(1-EXP(-LN(2)/2))/(LN(2)/2)*ER184*EU184*VLOOKUP('Données projet'!$B$15,Paramètres!$A$1:$I$89,3,0)*0.475*44/12</f>
        <v>4.4414149507613829E-22</v>
      </c>
      <c r="EY184" s="22">
        <f t="shared" si="181"/>
        <v>0.19527968381736721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>
        <f>FE184*VLOOKUP('Données projet'!$B$16,Paramètres!$A$1:$I$89,3,0)*VLOOKUP('Données projet'!$B$16,Paramètres!$A$1:$I$89,5,0)</f>
        <v>0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168.08890945052406</v>
      </c>
      <c r="FK184" s="59">
        <f t="shared" si="156"/>
        <v>182.52462557642343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0.31226298585069634</v>
      </c>
      <c r="FR184" s="21">
        <f>EXP(-LN(2)/25)*FR183+(1-EXP(-LN(2)/25))/(LN(2)/25)*Calculateur!FM184*Calculateur!FO184*VLOOKUP('Données projet'!$B$16,Paramètres!$A$1:$I$89,3,0)*0.475*44/12</f>
        <v>0.18740146294254956</v>
      </c>
      <c r="FS184" s="21">
        <f>EXP(-LN(2)/2)*FS183+(1-EXP(-LN(2)/2))/(LN(2)/2)*FM184*FP184*VLOOKUP('Données projet'!$B$16,Paramètres!$A$1:$I$89,3,0)*0.475*44/12</f>
        <v>1.01926809893198E-22</v>
      </c>
      <c r="FT184" s="22">
        <f t="shared" si="184"/>
        <v>0.4996644487932459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-5.6843418860808015E-14</v>
      </c>
      <c r="GA184" s="17">
        <f>FZ184*VLOOKUP('Données projet'!$B$17,Paramètres!$A$1:$I$89,3,0)*VLOOKUP('Données projet'!$B$17,Paramètres!$A$1:$I$89,5,0)</f>
        <v>-3.2514435588382188E-14</v>
      </c>
      <c r="GB184" s="13" t="e">
        <f t="shared" si="185"/>
        <v>#NUM!</v>
      </c>
      <c r="GC184" s="20" t="e">
        <f t="shared" si="186"/>
        <v>#NUM!</v>
      </c>
      <c r="GD184" s="59" t="e">
        <f t="shared" si="134"/>
        <v>#NUM!</v>
      </c>
      <c r="GE184" s="59">
        <f ca="1">AVERAGE(OFFSET($GD$3,0,0,'Données projet'!$E$17+1,1))-AVERAGE(OFFSET($H$3,0,0,'Données projet'!$E$17+1,1))</f>
        <v>196.95560009657527</v>
      </c>
      <c r="GF184" s="59">
        <f t="shared" si="158"/>
        <v>168.90186968005662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0</v>
      </c>
      <c r="GM184" s="21">
        <f>EXP(-LN(2)/25)*GM183+(1-EXP(-LN(2)/25))/(LN(2)/25)*Calculateur!GH184*Calculateur!GJ184*VLOOKUP('Données projet'!$B$17,Paramètres!$A$1:$I$89,3,0)*0.475*44/12</f>
        <v>0.14028935109135443</v>
      </c>
      <c r="GN184" s="21">
        <f>EXP(-LN(2)/2)*GN183+(1-EXP(-LN(2)/2))/(LN(2)/2)*GH184*GK184*VLOOKUP('Données projet'!$B$17,Paramètres!$A$1:$I$89,3,0)*0.475*44/12</f>
        <v>2.406922220311313E-22</v>
      </c>
      <c r="GO184" s="21">
        <f t="shared" si="187"/>
        <v>0.14028935109135443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-5.3205440053716299E-14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215.23235148064941</v>
      </c>
      <c r="T185" s="59">
        <f t="shared" si="142"/>
        <v>184.07239726900434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0.15447183773185555</v>
      </c>
      <c r="AA185" s="21">
        <f>EXP(-LN(2)/25)*AA184+(1-EXP(-LN(2)/25))/(LN(2)/25)*Calculateur!V185*Calculateur!X185*VLOOKUP('Données projet'!$B$9,Paramètres!$A$1:$I$89,3,0)*0.475*44/12</f>
        <v>0.11612065813555683</v>
      </c>
      <c r="AB185" s="21">
        <f>EXP(-LN(2)/2)*AB184+(1-EXP(-LN(2)/2))/(LN(2)/2)*V185*Y185*VLOOKUP('Données projet'!$B$9,Paramètres!$A$1:$I$89,3,0)*0.475*44/12</f>
        <v>1.3012777221921136E-22</v>
      </c>
      <c r="AC185" s="22">
        <f t="shared" si="163"/>
        <v>0.27059249586741241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5.6843418860808015E-14</v>
      </c>
      <c r="AJ185" s="13">
        <f>AI185*VLOOKUP('Données projet'!$B$10,Paramètres!$A$1:$I$89,3,0)*VLOOKUP('Données projet'!$B$10,Paramètres!$A$1:$I$89,5,0)</f>
        <v>4.1677594708744434E-14</v>
      </c>
      <c r="AK185" s="13">
        <f t="shared" si="164"/>
        <v>6.9326303456159188E-13</v>
      </c>
      <c r="AL185" s="20">
        <f t="shared" si="165"/>
        <v>1.2800215959791691E-12</v>
      </c>
      <c r="AM185" s="59">
        <f t="shared" si="113"/>
        <v>293.33333333333462</v>
      </c>
      <c r="AN185" s="59">
        <f ca="1">AVERAGE(OFFSET($AM$3,0,0,'Données projet'!$E$10+1,1))-AVERAGE(OFFSET($H$3,0,0,'Données projet'!$E$10+1,1))</f>
        <v>178.12968684094687</v>
      </c>
      <c r="AO185" s="59">
        <f t="shared" si="144"/>
        <v>219.36004077210373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0.11365190933044629</v>
      </c>
      <c r="AW185" s="21">
        <f>EXP(-LN(2)/2)*AW184+(1-EXP(-LN(2)/2))/(LN(2)/2)*AQ185*AT185*VLOOKUP('Données projet'!$B$10,Paramètres!$A$1:$I$89,3,0)*0.475*44/12</f>
        <v>1.3125721279851491E-22</v>
      </c>
      <c r="AX185" s="21">
        <f t="shared" si="166"/>
        <v>0.11365190933044629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-5.6843418860808015E-14</v>
      </c>
      <c r="BE185" s="13">
        <f>BD185*VLOOKUP('Données projet'!$B$11,Paramètres!$A$1:$I$89,3,0)*VLOOKUP('Données projet'!$B$11,Paramètres!$A$1:$I$89,5,0)</f>
        <v>-4.9658410716801891E-14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114.02623091248347</v>
      </c>
      <c r="BJ185" s="59">
        <f t="shared" si="146"/>
        <v>185.51554083721635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9.6182438255872846E-2</v>
      </c>
      <c r="BQ185" s="21">
        <f>EXP(-LN(2)/25)*BQ184+(1-EXP(-LN(2)/25))/(LN(2)/25)*Calculateur!BL185*Calculateur!BN185*VLOOKUP('Données projet'!$B$11,Paramètres!$A$1:$I$89,3,0)*0.475*44/12</f>
        <v>0.16638981808891637</v>
      </c>
      <c r="BR185" s="21">
        <f>EXP(-LN(2)/2)*BR184+(1-EXP(-LN(2)/2))/(LN(2)/2)*BL185*BO185*VLOOKUP('Données projet'!$B$11,Paramètres!$A$1:$I$89,3,0)*0.475*44/12</f>
        <v>2.3345383974341409E-22</v>
      </c>
      <c r="BS185" s="22">
        <f t="shared" si="169"/>
        <v>0.2625722563447892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-1.1368683772161603E-13</v>
      </c>
      <c r="BZ185" s="13">
        <f>BY185*VLOOKUP('Données projet'!$B$12,Paramètres!$A$1:$I$89,3,0)*VLOOKUP('Données projet'!$B$12,Paramètres!$A$1:$I$89,5,0)</f>
        <v>-1.0286385077051818E-13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237.22177246688199</v>
      </c>
      <c r="CE185" s="59">
        <f t="shared" si="148"/>
        <v>149.27472147904302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4.5912446224078259E-2</v>
      </c>
      <c r="CM185" s="21">
        <f>EXP(-LN(2)/2)*CM184+(1-EXP(-LN(2)/2))/(LN(2)/2)*CG185*CJ185*VLOOKUP('Données projet'!$B$12,Paramètres!$A$1:$I$89,3,0)*0.475*44/12</f>
        <v>8.1915336792477985E-23</v>
      </c>
      <c r="CN185" s="22">
        <f t="shared" si="172"/>
        <v>4.5912446224078259E-2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-5.6843418860808015E-13</v>
      </c>
      <c r="CU185" s="17">
        <f>CT185*VLOOKUP('Données projet'!$B$13,Paramètres!$A$1:$I$89,3,0)*VLOOKUP('Données projet'!$B$13,Paramètres!$A$1:$I$89,5,0)</f>
        <v>-3.177547114319168E-13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326.31232746914907</v>
      </c>
      <c r="CZ185" s="59">
        <f t="shared" si="150"/>
        <v>330.17137761430297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0.22510783421587274</v>
      </c>
      <c r="DG185" s="21">
        <f>EXP(-LN(2)/25)*DG184+(1-EXP(-LN(2)/25))/(LN(2)/25)*Calculateur!DB185*Calculateur!DD185*VLOOKUP('Données projet'!$B$13,Paramètres!$A$1:$I$89,3,0)*0.475*44/12</f>
        <v>0.44602106927662571</v>
      </c>
      <c r="DH185" s="21">
        <f>EXP(-LN(2)/2)*DH184+(1-EXP(-LN(2)/2))/(LN(2)/2)*DB185*DE185*VLOOKUP('Données projet'!$B$13,Paramètres!$A$1:$I$89,3,0)*0.475*44/12</f>
        <v>4.3042625567616513E-22</v>
      </c>
      <c r="DI185" s="22">
        <f t="shared" si="175"/>
        <v>0.67112890349249843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6.2527760746888816E-13</v>
      </c>
      <c r="DP185" s="17">
        <f>DO185*VLOOKUP('Données projet'!$B$14,Paramètres!$A$1:$I$89,3,0)*VLOOKUP('Données projet'!$B$14,Paramètres!$A$1:$I$89,5,0)</f>
        <v>3.9017322706058616E-13</v>
      </c>
      <c r="DQ185" s="13">
        <f t="shared" si="176"/>
        <v>5.0025007393608908E-12</v>
      </c>
      <c r="DR185" s="20">
        <f t="shared" si="177"/>
        <v>9.3922404915174053E-12</v>
      </c>
      <c r="DS185" s="59">
        <f t="shared" si="125"/>
        <v>293.33333333334269</v>
      </c>
      <c r="DT185" s="59">
        <f ca="1">AVERAGE(OFFSET($DS$3,0,0,'Données projet'!$E$14+1,1))-AVERAGE(OFFSET($H$3,0,0,'Données projet'!$E$14+1,1))</f>
        <v>209.93608079129638</v>
      </c>
      <c r="DU185" s="59">
        <f t="shared" si="152"/>
        <v>240.15652428700969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0.34265885969435167</v>
      </c>
      <c r="EB185" s="21">
        <f>EXP(-LN(2)/25)*EB184+(1-EXP(-LN(2)/25))/(LN(2)/25)*Calculateur!DW185*Calculateur!DY185*VLOOKUP('Données projet'!$B$14,Paramètres!$A$1:$I$89,3,0)*0.475*44/12</f>
        <v>0.30728999618706387</v>
      </c>
      <c r="EC185" s="21">
        <f>EXP(-LN(2)/2)*EC184+(1-EXP(-LN(2)/2))/(LN(2)/2)*DW185*DZ185*VLOOKUP('Données projet'!$B$14,Paramètres!$A$1:$I$89,3,0)*0.475*44/12</f>
        <v>2.6722321818093164E-22</v>
      </c>
      <c r="ED185" s="22">
        <f t="shared" si="178"/>
        <v>0.64994885588141549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-4.5474735088646412E-13</v>
      </c>
      <c r="EK185" s="17">
        <f>EJ185*VLOOKUP('Données projet'!$B$15,Paramètres!$A$1:$I$89,3,0)*VLOOKUP('Données projet'!$B$15,Paramètres!$A$1:$I$89,5,0)</f>
        <v>-2.7193891583010558E-13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216.94426559495264</v>
      </c>
      <c r="EP185" s="59">
        <f t="shared" si="154"/>
        <v>225.33715877618704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</v>
      </c>
      <c r="EW185" s="21">
        <f>EXP(-LN(2)/25)*EW184+(1-EXP(-LN(2)/25))/(LN(2)/25)*Calculateur!ER185*Calculateur!ET185*VLOOKUP('Données projet'!$B$15,Paramètres!$A$1:$I$89,3,0)*0.475*44/12</f>
        <v>0.18993975059406906</v>
      </c>
      <c r="EX185" s="21">
        <f>EXP(-LN(2)/2)*EX184+(1-EXP(-LN(2)/2))/(LN(2)/2)*ER185*EU185*VLOOKUP('Données projet'!$B$15,Paramètres!$A$1:$I$89,3,0)*0.475*44/12</f>
        <v>3.14055462974669E-22</v>
      </c>
      <c r="EY185" s="22">
        <f t="shared" si="181"/>
        <v>0.18993975059406906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>
        <f>FE185*VLOOKUP('Données projet'!$B$16,Paramètres!$A$1:$I$89,3,0)*VLOOKUP('Données projet'!$B$16,Paramètres!$A$1:$I$89,5,0)</f>
        <v>0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168.08890945052406</v>
      </c>
      <c r="FK185" s="59">
        <f t="shared" si="156"/>
        <v>182.52462557642343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0.30613969915977901</v>
      </c>
      <c r="FR185" s="21">
        <f>EXP(-LN(2)/25)*FR184+(1-EXP(-LN(2)/25))/(LN(2)/25)*Calculateur!FM185*Calculateur!FO185*VLOOKUP('Données projet'!$B$16,Paramètres!$A$1:$I$89,3,0)*0.475*44/12</f>
        <v>0.18227696008337091</v>
      </c>
      <c r="FS185" s="21">
        <f>EXP(-LN(2)/2)*FS184+(1-EXP(-LN(2)/2))/(LN(2)/2)*FM185*FP185*VLOOKUP('Données projet'!$B$16,Paramètres!$A$1:$I$89,3,0)*0.475*44/12</f>
        <v>7.2073138460192388E-23</v>
      </c>
      <c r="FT185" s="22">
        <f t="shared" si="184"/>
        <v>0.48841665924314992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-5.6843418860808015E-14</v>
      </c>
      <c r="GA185" s="17">
        <f>FZ185*VLOOKUP('Données projet'!$B$17,Paramètres!$A$1:$I$89,3,0)*VLOOKUP('Données projet'!$B$17,Paramètres!$A$1:$I$89,5,0)</f>
        <v>-3.2514435588382188E-14</v>
      </c>
      <c r="GB185" s="13" t="e">
        <f t="shared" si="185"/>
        <v>#NUM!</v>
      </c>
      <c r="GC185" s="20" t="e">
        <f t="shared" si="186"/>
        <v>#NUM!</v>
      </c>
      <c r="GD185" s="59" t="e">
        <f t="shared" si="134"/>
        <v>#NUM!</v>
      </c>
      <c r="GE185" s="59">
        <f ca="1">AVERAGE(OFFSET($GD$3,0,0,'Données projet'!$E$17+1,1))-AVERAGE(OFFSET($H$3,0,0,'Données projet'!$E$17+1,1))</f>
        <v>196.95560009657527</v>
      </c>
      <c r="GF185" s="59">
        <f t="shared" si="158"/>
        <v>168.90186968005662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0</v>
      </c>
      <c r="GM185" s="21">
        <f>EXP(-LN(2)/25)*GM184+(1-EXP(-LN(2)/25))/(LN(2)/25)*Calculateur!GH185*Calculateur!GJ185*VLOOKUP('Données projet'!$B$17,Paramètres!$A$1:$I$89,3,0)*0.475*44/12</f>
        <v>0.13645313140826501</v>
      </c>
      <c r="GN185" s="21">
        <f>EXP(-LN(2)/2)*GN184+(1-EXP(-LN(2)/2))/(LN(2)/2)*GH185*GK185*VLOOKUP('Données projet'!$B$17,Paramètres!$A$1:$I$89,3,0)*0.475*44/12</f>
        <v>1.7019510237707107E-22</v>
      </c>
      <c r="GO185" s="21">
        <f t="shared" si="187"/>
        <v>0.13645313140826501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-5.3205440053716299E-14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215.23235148064941</v>
      </c>
      <c r="T186" s="59">
        <f t="shared" si="142"/>
        <v>184.07239726900434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0.15144273921245158</v>
      </c>
      <c r="AA186" s="21">
        <f>EXP(-LN(2)/25)*AA185+(1-EXP(-LN(2)/25))/(LN(2)/25)*Calculateur!V186*Calculateur!X186*VLOOKUP('Données projet'!$B$9,Paramètres!$A$1:$I$89,3,0)*0.475*44/12</f>
        <v>0.11294533263232001</v>
      </c>
      <c r="AB186" s="21">
        <f>EXP(-LN(2)/2)*AB185+(1-EXP(-LN(2)/2))/(LN(2)/2)*V186*Y186*VLOOKUP('Données projet'!$B$9,Paramètres!$A$1:$I$89,3,0)*0.475*44/12</f>
        <v>9.2014230156902789E-23</v>
      </c>
      <c r="AC186" s="22">
        <f t="shared" si="163"/>
        <v>0.26438807184477159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5.6843418860808015E-14</v>
      </c>
      <c r="AJ186" s="13">
        <f>AI186*VLOOKUP('Données projet'!$B$10,Paramètres!$A$1:$I$89,3,0)*VLOOKUP('Données projet'!$B$10,Paramètres!$A$1:$I$89,5,0)</f>
        <v>4.1677594708744434E-14</v>
      </c>
      <c r="AK186" s="13">
        <f t="shared" si="164"/>
        <v>6.9326303456159188E-13</v>
      </c>
      <c r="AL186" s="20">
        <f t="shared" si="165"/>
        <v>1.2800215959791691E-12</v>
      </c>
      <c r="AM186" s="59">
        <f t="shared" si="113"/>
        <v>293.33333333333462</v>
      </c>
      <c r="AN186" s="59">
        <f ca="1">AVERAGE(OFFSET($AM$3,0,0,'Données projet'!$E$10+1,1))-AVERAGE(OFFSET($H$3,0,0,'Données projet'!$E$10+1,1))</f>
        <v>178.12968684094687</v>
      </c>
      <c r="AO186" s="59">
        <f t="shared" si="144"/>
        <v>219.36004077210373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0.11054409189311108</v>
      </c>
      <c r="AW186" s="21">
        <f>EXP(-LN(2)/2)*AW185+(1-EXP(-LN(2)/2))/(LN(2)/2)*AQ186*AT186*VLOOKUP('Données projet'!$B$10,Paramètres!$A$1:$I$89,3,0)*0.475*44/12</f>
        <v>9.2812865249475591E-23</v>
      </c>
      <c r="AX186" s="21">
        <f t="shared" si="166"/>
        <v>0.11054409189311108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-5.6843418860808015E-14</v>
      </c>
      <c r="BE186" s="13">
        <f>BD186*VLOOKUP('Données projet'!$B$11,Paramètres!$A$1:$I$89,3,0)*VLOOKUP('Données projet'!$B$11,Paramètres!$A$1:$I$89,5,0)</f>
        <v>-4.9658410716801891E-14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114.02623091248347</v>
      </c>
      <c r="BJ186" s="59">
        <f t="shared" si="146"/>
        <v>185.51554083721635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9.4296359307169772E-2</v>
      </c>
      <c r="BQ186" s="21">
        <f>EXP(-LN(2)/25)*BQ185+(1-EXP(-LN(2)/25))/(LN(2)/25)*Calculateur!BL186*Calculateur!BN186*VLOOKUP('Données projet'!$B$11,Paramètres!$A$1:$I$89,3,0)*0.475*44/12</f>
        <v>0.16183987976321471</v>
      </c>
      <c r="BR186" s="21">
        <f>EXP(-LN(2)/2)*BR185+(1-EXP(-LN(2)/2))/(LN(2)/2)*BL186*BO186*VLOOKUP('Données projet'!$B$11,Paramètres!$A$1:$I$89,3,0)*0.475*44/12</f>
        <v>1.6507679317660564E-22</v>
      </c>
      <c r="BS186" s="22">
        <f t="shared" si="169"/>
        <v>0.25613623907038446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-1.1368683772161603E-13</v>
      </c>
      <c r="BZ186" s="13">
        <f>BY186*VLOOKUP('Données projet'!$B$12,Paramètres!$A$1:$I$89,3,0)*VLOOKUP('Données projet'!$B$12,Paramètres!$A$1:$I$89,5,0)</f>
        <v>-1.0286385077051818E-13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237.22177246688199</v>
      </c>
      <c r="CE186" s="59">
        <f t="shared" si="148"/>
        <v>149.27472147904302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4.4656967967650223E-2</v>
      </c>
      <c r="CM186" s="21">
        <f>EXP(-LN(2)/2)*CM185+(1-EXP(-LN(2)/2))/(LN(2)/2)*CG186*CJ186*VLOOKUP('Données projet'!$B$12,Paramètres!$A$1:$I$89,3,0)*0.475*44/12</f>
        <v>5.7922890129141075E-23</v>
      </c>
      <c r="CN186" s="22">
        <f t="shared" si="172"/>
        <v>4.4656967967650223E-2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-5.6843418860808015E-13</v>
      </c>
      <c r="CU186" s="17">
        <f>CT186*VLOOKUP('Données projet'!$B$13,Paramètres!$A$1:$I$89,3,0)*VLOOKUP('Données projet'!$B$13,Paramètres!$A$1:$I$89,5,0)</f>
        <v>-3.177547114319168E-13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326.31232746914907</v>
      </c>
      <c r="CZ186" s="59">
        <f t="shared" si="150"/>
        <v>330.17137761430297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0.22069360688912087</v>
      </c>
      <c r="DG186" s="21">
        <f>EXP(-LN(2)/25)*DG185+(1-EXP(-LN(2)/25))/(LN(2)/25)*Calculateur!DB186*Calculateur!DD186*VLOOKUP('Données projet'!$B$13,Paramètres!$A$1:$I$89,3,0)*0.475*44/12</f>
        <v>0.43382459968202775</v>
      </c>
      <c r="DH186" s="21">
        <f>EXP(-LN(2)/2)*DH185+(1-EXP(-LN(2)/2))/(LN(2)/2)*DB186*DE186*VLOOKUP('Données projet'!$B$13,Paramètres!$A$1:$I$89,3,0)*0.475*44/12</f>
        <v>3.0435732418935106E-22</v>
      </c>
      <c r="DI186" s="22">
        <f t="shared" si="175"/>
        <v>0.65451820657114856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6.2527760746888816E-13</v>
      </c>
      <c r="DP186" s="17">
        <f>DO186*VLOOKUP('Données projet'!$B$14,Paramètres!$A$1:$I$89,3,0)*VLOOKUP('Données projet'!$B$14,Paramètres!$A$1:$I$89,5,0)</f>
        <v>3.9017322706058616E-13</v>
      </c>
      <c r="DQ186" s="13">
        <f t="shared" si="176"/>
        <v>5.0025007393608908E-12</v>
      </c>
      <c r="DR186" s="20">
        <f t="shared" si="177"/>
        <v>9.3922404915174053E-12</v>
      </c>
      <c r="DS186" s="59">
        <f t="shared" si="125"/>
        <v>293.33333333334269</v>
      </c>
      <c r="DT186" s="59">
        <f ca="1">AVERAGE(OFFSET($DS$3,0,0,'Données projet'!$E$14+1,1))-AVERAGE(OFFSET($H$3,0,0,'Données projet'!$E$14+1,1))</f>
        <v>209.93608079129638</v>
      </c>
      <c r="DU186" s="59">
        <f t="shared" si="152"/>
        <v>240.15652428700969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0.33593952845701269</v>
      </c>
      <c r="EB186" s="21">
        <f>EXP(-LN(2)/25)*EB185+(1-EXP(-LN(2)/25))/(LN(2)/25)*Calculateur!DW186*Calculateur!DY186*VLOOKUP('Données projet'!$B$14,Paramètres!$A$1:$I$89,3,0)*0.475*44/12</f>
        <v>0.29888713508165005</v>
      </c>
      <c r="EC186" s="21">
        <f>EXP(-LN(2)/2)*EC185+(1-EXP(-LN(2)/2))/(LN(2)/2)*DW186*DZ186*VLOOKUP('Données projet'!$B$14,Paramètres!$A$1:$I$89,3,0)*0.475*44/12</f>
        <v>1.8895534966622908E-22</v>
      </c>
      <c r="ED186" s="22">
        <f t="shared" si="178"/>
        <v>0.63482666353866279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-4.5474735088646412E-13</v>
      </c>
      <c r="EK186" s="17">
        <f>EJ186*VLOOKUP('Données projet'!$B$15,Paramètres!$A$1:$I$89,3,0)*VLOOKUP('Données projet'!$B$15,Paramètres!$A$1:$I$89,5,0)</f>
        <v>-2.7193891583010558E-13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216.94426559495264</v>
      </c>
      <c r="EP186" s="59">
        <f t="shared" si="154"/>
        <v>225.33715877618704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</v>
      </c>
      <c r="EW186" s="21">
        <f>EXP(-LN(2)/25)*EW185+(1-EXP(-LN(2)/25))/(LN(2)/25)*Calculateur!ER186*Calculateur!ET186*VLOOKUP('Données projet'!$B$15,Paramètres!$A$1:$I$89,3,0)*0.475*44/12</f>
        <v>0.18474583812557688</v>
      </c>
      <c r="EX186" s="21">
        <f>EXP(-LN(2)/2)*EX185+(1-EXP(-LN(2)/2))/(LN(2)/2)*ER186*EU186*VLOOKUP('Données projet'!$B$15,Paramètres!$A$1:$I$89,3,0)*0.475*44/12</f>
        <v>2.2207074753806914E-22</v>
      </c>
      <c r="EY186" s="22">
        <f t="shared" si="181"/>
        <v>0.18474583812557688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>
        <f>FE186*VLOOKUP('Données projet'!$B$16,Paramètres!$A$1:$I$89,3,0)*VLOOKUP('Données projet'!$B$16,Paramètres!$A$1:$I$89,5,0)</f>
        <v>0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168.08890945052406</v>
      </c>
      <c r="FK186" s="59">
        <f t="shared" si="156"/>
        <v>182.52462557642343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0.30013648638603452</v>
      </c>
      <c r="FR186" s="21">
        <f>EXP(-LN(2)/25)*FR185+(1-EXP(-LN(2)/25))/(LN(2)/25)*Calculateur!FM186*Calculateur!FO186*VLOOKUP('Données projet'!$B$16,Paramètres!$A$1:$I$89,3,0)*0.475*44/12</f>
        <v>0.1772925870243624</v>
      </c>
      <c r="FS186" s="21">
        <f>EXP(-LN(2)/2)*FS185+(1-EXP(-LN(2)/2))/(LN(2)/2)*FM186*FP186*VLOOKUP('Données projet'!$B$16,Paramètres!$A$1:$I$89,3,0)*0.475*44/12</f>
        <v>5.0963404946599002E-23</v>
      </c>
      <c r="FT186" s="22">
        <f t="shared" si="184"/>
        <v>0.47742907341039692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-5.6843418860808015E-14</v>
      </c>
      <c r="GA186" s="17">
        <f>FZ186*VLOOKUP('Données projet'!$B$17,Paramètres!$A$1:$I$89,3,0)*VLOOKUP('Données projet'!$B$17,Paramètres!$A$1:$I$89,5,0)</f>
        <v>-3.2514435588382188E-14</v>
      </c>
      <c r="GB186" s="13" t="e">
        <f t="shared" si="185"/>
        <v>#NUM!</v>
      </c>
      <c r="GC186" s="20" t="e">
        <f t="shared" si="186"/>
        <v>#NUM!</v>
      </c>
      <c r="GD186" s="59" t="e">
        <f t="shared" si="134"/>
        <v>#NUM!</v>
      </c>
      <c r="GE186" s="59">
        <f ca="1">AVERAGE(OFFSET($GD$3,0,0,'Données projet'!$E$17+1,1))-AVERAGE(OFFSET($H$3,0,0,'Données projet'!$E$17+1,1))</f>
        <v>196.95560009657527</v>
      </c>
      <c r="GF186" s="59">
        <f t="shared" si="158"/>
        <v>168.90186968005662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0</v>
      </c>
      <c r="GM186" s="21">
        <f>EXP(-LN(2)/25)*GM185+(1-EXP(-LN(2)/25))/(LN(2)/25)*Calculateur!GH186*Calculateur!GJ186*VLOOKUP('Données projet'!$B$17,Paramètres!$A$1:$I$89,3,0)*0.475*44/12</f>
        <v>0.13272181335414768</v>
      </c>
      <c r="GN186" s="21">
        <f>EXP(-LN(2)/2)*GN185+(1-EXP(-LN(2)/2))/(LN(2)/2)*GH186*GK186*VLOOKUP('Données projet'!$B$17,Paramètres!$A$1:$I$89,3,0)*0.475*44/12</f>
        <v>1.2034611101556565E-22</v>
      </c>
      <c r="GO186" s="21">
        <f t="shared" si="187"/>
        <v>0.13272181335414768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-5.3205440053716299E-14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215.23235148064941</v>
      </c>
      <c r="T187" s="59">
        <f t="shared" si="142"/>
        <v>184.07239726900434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0.14847303946744544</v>
      </c>
      <c r="AA187" s="21">
        <f>EXP(-LN(2)/25)*AA186+(1-EXP(-LN(2)/25))/(LN(2)/25)*Calculateur!V187*Calculateur!X187*VLOOKUP('Données projet'!$B$9,Paramètres!$A$1:$I$89,3,0)*0.475*44/12</f>
        <v>0.10985683657195232</v>
      </c>
      <c r="AB187" s="21">
        <f>EXP(-LN(2)/2)*AB186+(1-EXP(-LN(2)/2))/(LN(2)/2)*V187*Y187*VLOOKUP('Données projet'!$B$9,Paramètres!$A$1:$I$89,3,0)*0.475*44/12</f>
        <v>6.5063886109605682E-23</v>
      </c>
      <c r="AC187" s="22">
        <f t="shared" si="163"/>
        <v>0.25832987603939778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5.6843418860808015E-14</v>
      </c>
      <c r="AJ187" s="13">
        <f>AI187*VLOOKUP('Données projet'!$B$10,Paramètres!$A$1:$I$89,3,0)*VLOOKUP('Données projet'!$B$10,Paramètres!$A$1:$I$89,5,0)</f>
        <v>4.1677594708744434E-14</v>
      </c>
      <c r="AK187" s="13">
        <f t="shared" si="164"/>
        <v>6.9326303456159188E-13</v>
      </c>
      <c r="AL187" s="20">
        <f t="shared" si="165"/>
        <v>1.2800215959791691E-12</v>
      </c>
      <c r="AM187" s="59">
        <f t="shared" si="113"/>
        <v>293.33333333333462</v>
      </c>
      <c r="AN187" s="59">
        <f ca="1">AVERAGE(OFFSET($AM$3,0,0,'Données projet'!$E$10+1,1))-AVERAGE(OFFSET($H$3,0,0,'Données projet'!$E$10+1,1))</f>
        <v>178.12968684094687</v>
      </c>
      <c r="AO187" s="59">
        <f t="shared" si="144"/>
        <v>219.36004077210373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0.10752125788703282</v>
      </c>
      <c r="AW187" s="21">
        <f>EXP(-LN(2)/2)*AW186+(1-EXP(-LN(2)/2))/(LN(2)/2)*AQ187*AT187*VLOOKUP('Données projet'!$B$10,Paramètres!$A$1:$I$89,3,0)*0.475*44/12</f>
        <v>6.5628606399257457E-23</v>
      </c>
      <c r="AX187" s="21">
        <f t="shared" si="166"/>
        <v>0.10752125788703282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-5.6843418860808015E-14</v>
      </c>
      <c r="BE187" s="13">
        <f>BD187*VLOOKUP('Données projet'!$B$11,Paramètres!$A$1:$I$89,3,0)*VLOOKUP('Données projet'!$B$11,Paramètres!$A$1:$I$89,5,0)</f>
        <v>-4.9658410716801891E-14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114.02623091248347</v>
      </c>
      <c r="BJ187" s="59">
        <f t="shared" si="146"/>
        <v>185.51554083721635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9.2447265216256208E-2</v>
      </c>
      <c r="BQ187" s="21">
        <f>EXP(-LN(2)/25)*BQ186+(1-EXP(-LN(2)/25))/(LN(2)/25)*Calculateur!BL187*Calculateur!BN187*VLOOKUP('Données projet'!$B$11,Paramètres!$A$1:$I$89,3,0)*0.475*44/12</f>
        <v>0.15741435974030021</v>
      </c>
      <c r="BR187" s="21">
        <f>EXP(-LN(2)/2)*BR186+(1-EXP(-LN(2)/2))/(LN(2)/2)*BL187*BO187*VLOOKUP('Données projet'!$B$11,Paramètres!$A$1:$I$89,3,0)*0.475*44/12</f>
        <v>1.1672691987170705E-22</v>
      </c>
      <c r="BS187" s="22">
        <f t="shared" si="169"/>
        <v>0.24986162495655642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-1.1368683772161603E-13</v>
      </c>
      <c r="BZ187" s="13">
        <f>BY187*VLOOKUP('Données projet'!$B$12,Paramètres!$A$1:$I$89,3,0)*VLOOKUP('Données projet'!$B$12,Paramètres!$A$1:$I$89,5,0)</f>
        <v>-1.0286385077051818E-13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237.22177246688199</v>
      </c>
      <c r="CE187" s="59">
        <f t="shared" si="148"/>
        <v>149.27472147904302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4.3435820830166949E-2</v>
      </c>
      <c r="CM187" s="21">
        <f>EXP(-LN(2)/2)*CM186+(1-EXP(-LN(2)/2))/(LN(2)/2)*CG187*CJ187*VLOOKUP('Données projet'!$B$12,Paramètres!$A$1:$I$89,3,0)*0.475*44/12</f>
        <v>4.0957668396238992E-23</v>
      </c>
      <c r="CN187" s="22">
        <f t="shared" si="172"/>
        <v>4.3435820830166949E-2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-5.6843418860808015E-13</v>
      </c>
      <c r="CU187" s="17">
        <f>CT187*VLOOKUP('Données projet'!$B$13,Paramètres!$A$1:$I$89,3,0)*VLOOKUP('Données projet'!$B$13,Paramètres!$A$1:$I$89,5,0)</f>
        <v>-3.177547114319168E-13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326.31232746914907</v>
      </c>
      <c r="CZ187" s="59">
        <f t="shared" si="150"/>
        <v>330.17137761430297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0.21636593986783381</v>
      </c>
      <c r="DG187" s="21">
        <f>EXP(-LN(2)/25)*DG186+(1-EXP(-LN(2)/25))/(LN(2)/25)*Calculateur!DB187*Calculateur!DD187*VLOOKUP('Données projet'!$B$13,Paramètres!$A$1:$I$89,3,0)*0.475*44/12</f>
        <v>0.4219616431898785</v>
      </c>
      <c r="DH187" s="21">
        <f>EXP(-LN(2)/2)*DH186+(1-EXP(-LN(2)/2))/(LN(2)/2)*DB187*DE187*VLOOKUP('Données projet'!$B$13,Paramètres!$A$1:$I$89,3,0)*0.475*44/12</f>
        <v>2.1521312783808257E-22</v>
      </c>
      <c r="DI187" s="22">
        <f t="shared" si="175"/>
        <v>0.63832758305771231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6.2527760746888816E-13</v>
      </c>
      <c r="DP187" s="17">
        <f>DO187*VLOOKUP('Données projet'!$B$14,Paramètres!$A$1:$I$89,3,0)*VLOOKUP('Données projet'!$B$14,Paramètres!$A$1:$I$89,5,0)</f>
        <v>3.9017322706058616E-13</v>
      </c>
      <c r="DQ187" s="13">
        <f t="shared" si="176"/>
        <v>5.0025007393608908E-12</v>
      </c>
      <c r="DR187" s="20">
        <f t="shared" si="177"/>
        <v>9.3922404915174053E-12</v>
      </c>
      <c r="DS187" s="59">
        <f t="shared" si="125"/>
        <v>293.33333333334269</v>
      </c>
      <c r="DT187" s="59">
        <f ca="1">AVERAGE(OFFSET($DS$3,0,0,'Données projet'!$E$14+1,1))-AVERAGE(OFFSET($H$3,0,0,'Données projet'!$E$14+1,1))</f>
        <v>209.93608079129638</v>
      </c>
      <c r="DU187" s="59">
        <f t="shared" si="152"/>
        <v>240.15652428700969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0.32935195920685056</v>
      </c>
      <c r="EB187" s="21">
        <f>EXP(-LN(2)/25)*EB186+(1-EXP(-LN(2)/25))/(LN(2)/25)*Calculateur!DW187*Calculateur!DY187*VLOOKUP('Données projet'!$B$14,Paramètres!$A$1:$I$89,3,0)*0.475*44/12</f>
        <v>0.29071405065505102</v>
      </c>
      <c r="EC187" s="21">
        <f>EXP(-LN(2)/2)*EC186+(1-EXP(-LN(2)/2))/(LN(2)/2)*DW187*DZ187*VLOOKUP('Données projet'!$B$14,Paramètres!$A$1:$I$89,3,0)*0.475*44/12</f>
        <v>1.3361160909046582E-22</v>
      </c>
      <c r="ED187" s="22">
        <f t="shared" si="178"/>
        <v>0.62006600986190152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-4.5474735088646412E-13</v>
      </c>
      <c r="EK187" s="17">
        <f>EJ187*VLOOKUP('Données projet'!$B$15,Paramètres!$A$1:$I$89,3,0)*VLOOKUP('Données projet'!$B$15,Paramètres!$A$1:$I$89,5,0)</f>
        <v>-2.7193891583010558E-13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216.94426559495264</v>
      </c>
      <c r="EP187" s="59">
        <f t="shared" si="154"/>
        <v>225.33715877618704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</v>
      </c>
      <c r="EW187" s="21">
        <f>EXP(-LN(2)/25)*EW186+(1-EXP(-LN(2)/25))/(LN(2)/25)*Calculateur!ER187*Calculateur!ET187*VLOOKUP('Données projet'!$B$15,Paramètres!$A$1:$I$89,3,0)*0.475*44/12</f>
        <v>0.17969395346667158</v>
      </c>
      <c r="EX187" s="21">
        <f>EXP(-LN(2)/2)*EX186+(1-EXP(-LN(2)/2))/(LN(2)/2)*ER187*EU187*VLOOKUP('Données projet'!$B$15,Paramètres!$A$1:$I$89,3,0)*0.475*44/12</f>
        <v>1.570277314873345E-22</v>
      </c>
      <c r="EY187" s="22">
        <f t="shared" si="181"/>
        <v>0.17969395346667158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>
        <f>FE187*VLOOKUP('Données projet'!$B$16,Paramètres!$A$1:$I$89,3,0)*VLOOKUP('Données projet'!$B$16,Paramètres!$A$1:$I$89,5,0)</f>
        <v>0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168.08890945052406</v>
      </c>
      <c r="FK187" s="59">
        <f t="shared" si="156"/>
        <v>182.52462557642343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0.29425099295318491</v>
      </c>
      <c r="FR187" s="21">
        <f>EXP(-LN(2)/25)*FR186+(1-EXP(-LN(2)/25))/(LN(2)/25)*Calculateur!FM187*Calculateur!FO187*VLOOKUP('Données projet'!$B$16,Paramètres!$A$1:$I$89,3,0)*0.475*44/12</f>
        <v>0.17244451190876928</v>
      </c>
      <c r="FS187" s="21">
        <f>EXP(-LN(2)/2)*FS186+(1-EXP(-LN(2)/2))/(LN(2)/2)*FM187*FP187*VLOOKUP('Données projet'!$B$16,Paramètres!$A$1:$I$89,3,0)*0.475*44/12</f>
        <v>3.6036569230096194E-23</v>
      </c>
      <c r="FT187" s="22">
        <f t="shared" si="184"/>
        <v>0.46669550486195421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-5.6843418860808015E-14</v>
      </c>
      <c r="GA187" s="17">
        <f>FZ187*VLOOKUP('Données projet'!$B$17,Paramètres!$A$1:$I$89,3,0)*VLOOKUP('Données projet'!$B$17,Paramètres!$A$1:$I$89,5,0)</f>
        <v>-3.2514435588382188E-14</v>
      </c>
      <c r="GB187" s="13" t="e">
        <f t="shared" si="185"/>
        <v>#NUM!</v>
      </c>
      <c r="GC187" s="20" t="e">
        <f t="shared" si="186"/>
        <v>#NUM!</v>
      </c>
      <c r="GD187" s="59" t="e">
        <f t="shared" si="134"/>
        <v>#NUM!</v>
      </c>
      <c r="GE187" s="59">
        <f ca="1">AVERAGE(OFFSET($GD$3,0,0,'Données projet'!$E$17+1,1))-AVERAGE(OFFSET($H$3,0,0,'Données projet'!$E$17+1,1))</f>
        <v>196.95560009657527</v>
      </c>
      <c r="GF187" s="59">
        <f t="shared" si="158"/>
        <v>168.90186968005662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0</v>
      </c>
      <c r="GM187" s="21">
        <f>EXP(-LN(2)/25)*GM186+(1-EXP(-LN(2)/25))/(LN(2)/25)*Calculateur!GH187*Calculateur!GJ187*VLOOKUP('Données projet'!$B$17,Paramètres!$A$1:$I$89,3,0)*0.475*44/12</f>
        <v>0.12909252838844168</v>
      </c>
      <c r="GN187" s="21">
        <f>EXP(-LN(2)/2)*GN186+(1-EXP(-LN(2)/2))/(LN(2)/2)*GH187*GK187*VLOOKUP('Données projet'!$B$17,Paramètres!$A$1:$I$89,3,0)*0.475*44/12</f>
        <v>8.5097551188535535E-23</v>
      </c>
      <c r="GO187" s="21">
        <f t="shared" si="187"/>
        <v>0.12909252838844168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-5.3205440053716299E-14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215.23235148064941</v>
      </c>
      <c r="T188" s="59">
        <f t="shared" si="142"/>
        <v>184.07239726900434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0.14556157372310088</v>
      </c>
      <c r="AA188" s="21">
        <f>EXP(-LN(2)/25)*AA187+(1-EXP(-LN(2)/25))/(LN(2)/25)*Calculateur!V188*Calculateur!X188*VLOOKUP('Données projet'!$B$9,Paramètres!$A$1:$I$89,3,0)*0.475*44/12</f>
        <v>0.10685279559877232</v>
      </c>
      <c r="AB188" s="21">
        <f>EXP(-LN(2)/2)*AB187+(1-EXP(-LN(2)/2))/(LN(2)/2)*V188*Y188*VLOOKUP('Données projet'!$B$9,Paramètres!$A$1:$I$89,3,0)*0.475*44/12</f>
        <v>4.6007115078451394E-23</v>
      </c>
      <c r="AC188" s="22">
        <f t="shared" si="163"/>
        <v>0.25241436932187322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5.6843418860808015E-14</v>
      </c>
      <c r="AJ188" s="13">
        <f>AI188*VLOOKUP('Données projet'!$B$10,Paramètres!$A$1:$I$89,3,0)*VLOOKUP('Données projet'!$B$10,Paramètres!$A$1:$I$89,5,0)</f>
        <v>4.1677594708744434E-14</v>
      </c>
      <c r="AK188" s="13">
        <f t="shared" si="164"/>
        <v>6.9326303456159188E-13</v>
      </c>
      <c r="AL188" s="20">
        <f t="shared" si="165"/>
        <v>1.2800215959791691E-12</v>
      </c>
      <c r="AM188" s="59">
        <f t="shared" si="113"/>
        <v>293.33333333333462</v>
      </c>
      <c r="AN188" s="59">
        <f ca="1">AVERAGE(OFFSET($AM$3,0,0,'Données projet'!$E$10+1,1))-AVERAGE(OFFSET($H$3,0,0,'Données projet'!$E$10+1,1))</f>
        <v>178.12968684094687</v>
      </c>
      <c r="AO188" s="59">
        <f t="shared" si="144"/>
        <v>219.36004077210373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0.1045810834358147</v>
      </c>
      <c r="AW188" s="21">
        <f>EXP(-LN(2)/2)*AW187+(1-EXP(-LN(2)/2))/(LN(2)/2)*AQ188*AT188*VLOOKUP('Données projet'!$B$10,Paramètres!$A$1:$I$89,3,0)*0.475*44/12</f>
        <v>4.6406432624737796E-23</v>
      </c>
      <c r="AX188" s="21">
        <f t="shared" si="166"/>
        <v>0.1045810834358147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-5.6843418860808015E-14</v>
      </c>
      <c r="BE188" s="13">
        <f>BD188*VLOOKUP('Données projet'!$B$11,Paramètres!$A$1:$I$89,3,0)*VLOOKUP('Données projet'!$B$11,Paramètres!$A$1:$I$89,5,0)</f>
        <v>-4.9658410716801891E-14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114.02623091248347</v>
      </c>
      <c r="BJ188" s="59">
        <f t="shared" si="146"/>
        <v>185.51554083721635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9.0634430732629431E-2</v>
      </c>
      <c r="BQ188" s="21">
        <f>EXP(-LN(2)/25)*BQ187+(1-EXP(-LN(2)/25))/(LN(2)/25)*Calculateur!BL188*Calculateur!BN188*VLOOKUP('Données projet'!$B$11,Paramètres!$A$1:$I$89,3,0)*0.475*44/12</f>
        <v>0.1531098557951403</v>
      </c>
      <c r="BR188" s="21">
        <f>EXP(-LN(2)/2)*BR187+(1-EXP(-LN(2)/2))/(LN(2)/2)*BL188*BO188*VLOOKUP('Données projet'!$B$11,Paramètres!$A$1:$I$89,3,0)*0.475*44/12</f>
        <v>8.2538396588302821E-23</v>
      </c>
      <c r="BS188" s="22">
        <f t="shared" si="169"/>
        <v>0.24374428652776975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-1.1368683772161603E-13</v>
      </c>
      <c r="BZ188" s="13">
        <f>BY188*VLOOKUP('Données projet'!$B$12,Paramètres!$A$1:$I$89,3,0)*VLOOKUP('Données projet'!$B$12,Paramètres!$A$1:$I$89,5,0)</f>
        <v>-1.0286385077051818E-13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237.22177246688199</v>
      </c>
      <c r="CE188" s="59">
        <f t="shared" si="148"/>
        <v>149.27472147904302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4.2248066025375487E-2</v>
      </c>
      <c r="CM188" s="21">
        <f>EXP(-LN(2)/2)*CM187+(1-EXP(-LN(2)/2))/(LN(2)/2)*CG188*CJ188*VLOOKUP('Données projet'!$B$12,Paramètres!$A$1:$I$89,3,0)*0.475*44/12</f>
        <v>2.8961445064570538E-23</v>
      </c>
      <c r="CN188" s="22">
        <f t="shared" si="172"/>
        <v>4.2248066025375487E-2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-5.6843418860808015E-13</v>
      </c>
      <c r="CU188" s="17">
        <f>CT188*VLOOKUP('Données projet'!$B$13,Paramètres!$A$1:$I$89,3,0)*VLOOKUP('Données projet'!$B$13,Paramètres!$A$1:$I$89,5,0)</f>
        <v>-3.177547114319168E-13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326.31232746914907</v>
      </c>
      <c r="CZ188" s="59">
        <f t="shared" si="150"/>
        <v>330.17137761430297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0.21212313575721795</v>
      </c>
      <c r="DG188" s="21">
        <f>EXP(-LN(2)/25)*DG187+(1-EXP(-LN(2)/25))/(LN(2)/25)*Calculateur!DB188*Calculateur!DD188*VLOOKUP('Données projet'!$B$13,Paramètres!$A$1:$I$89,3,0)*0.475*44/12</f>
        <v>0.41042307986685284</v>
      </c>
      <c r="DH188" s="21">
        <f>EXP(-LN(2)/2)*DH187+(1-EXP(-LN(2)/2))/(LN(2)/2)*DB188*DE188*VLOOKUP('Données projet'!$B$13,Paramètres!$A$1:$I$89,3,0)*0.475*44/12</f>
        <v>1.5217866209467553E-22</v>
      </c>
      <c r="DI188" s="22">
        <f t="shared" si="175"/>
        <v>0.62254621562407075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6.2527760746888816E-13</v>
      </c>
      <c r="DP188" s="17">
        <f>DO188*VLOOKUP('Données projet'!$B$14,Paramètres!$A$1:$I$89,3,0)*VLOOKUP('Données projet'!$B$14,Paramètres!$A$1:$I$89,5,0)</f>
        <v>3.9017322706058616E-13</v>
      </c>
      <c r="DQ188" s="13">
        <f t="shared" si="176"/>
        <v>5.0025007393608908E-12</v>
      </c>
      <c r="DR188" s="20">
        <f t="shared" si="177"/>
        <v>9.3922404915174053E-12</v>
      </c>
      <c r="DS188" s="59">
        <f t="shared" si="125"/>
        <v>293.33333333334269</v>
      </c>
      <c r="DT188" s="59">
        <f ca="1">AVERAGE(OFFSET($DS$3,0,0,'Données projet'!$E$14+1,1))-AVERAGE(OFFSET($H$3,0,0,'Données projet'!$E$14+1,1))</f>
        <v>209.93608079129638</v>
      </c>
      <c r="DU188" s="59">
        <f t="shared" si="152"/>
        <v>240.15652428700969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0.32289356817166359</v>
      </c>
      <c r="EB188" s="21">
        <f>EXP(-LN(2)/25)*EB187+(1-EXP(-LN(2)/25))/(LN(2)/25)*Calculateur!DW188*Calculateur!DY188*VLOOKUP('Données projet'!$B$14,Paramètres!$A$1:$I$89,3,0)*0.475*44/12</f>
        <v>0.28276445965190117</v>
      </c>
      <c r="EC188" s="21">
        <f>EXP(-LN(2)/2)*EC187+(1-EXP(-LN(2)/2))/(LN(2)/2)*DW188*DZ188*VLOOKUP('Données projet'!$B$14,Paramètres!$A$1:$I$89,3,0)*0.475*44/12</f>
        <v>9.4477674833114541E-23</v>
      </c>
      <c r="ED188" s="22">
        <f t="shared" si="178"/>
        <v>0.60565802782356482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-4.5474735088646412E-13</v>
      </c>
      <c r="EK188" s="17">
        <f>EJ188*VLOOKUP('Données projet'!$B$15,Paramètres!$A$1:$I$89,3,0)*VLOOKUP('Données projet'!$B$15,Paramètres!$A$1:$I$89,5,0)</f>
        <v>-2.7193891583010558E-13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216.94426559495264</v>
      </c>
      <c r="EP188" s="59">
        <f t="shared" si="154"/>
        <v>225.33715877618704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</v>
      </c>
      <c r="EW188" s="21">
        <f>EXP(-LN(2)/25)*EW187+(1-EXP(-LN(2)/25))/(LN(2)/25)*Calculateur!ER188*Calculateur!ET188*VLOOKUP('Données projet'!$B$15,Paramètres!$A$1:$I$89,3,0)*0.475*44/12</f>
        <v>0.17478021285943113</v>
      </c>
      <c r="EX188" s="21">
        <f>EXP(-LN(2)/2)*EX187+(1-EXP(-LN(2)/2))/(LN(2)/2)*ER188*EU188*VLOOKUP('Données projet'!$B$15,Paramètres!$A$1:$I$89,3,0)*0.475*44/12</f>
        <v>1.1103537376903457E-22</v>
      </c>
      <c r="EY188" s="22">
        <f t="shared" si="181"/>
        <v>0.17478021285943113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>
        <f>FE188*VLOOKUP('Données projet'!$B$16,Paramètres!$A$1:$I$89,3,0)*VLOOKUP('Données projet'!$B$16,Paramètres!$A$1:$I$89,5,0)</f>
        <v>0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168.08890945052406</v>
      </c>
      <c r="FK188" s="59">
        <f t="shared" si="156"/>
        <v>182.52462557642343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0.28848091045675694</v>
      </c>
      <c r="FR188" s="21">
        <f>EXP(-LN(2)/25)*FR187+(1-EXP(-LN(2)/25))/(LN(2)/25)*Calculateur!FM188*Calculateur!FO188*VLOOKUP('Données projet'!$B$16,Paramètres!$A$1:$I$89,3,0)*0.475*44/12</f>
        <v>0.16772900766216123</v>
      </c>
      <c r="FS188" s="21">
        <f>EXP(-LN(2)/2)*FS187+(1-EXP(-LN(2)/2))/(LN(2)/2)*FM188*FP188*VLOOKUP('Données projet'!$B$16,Paramètres!$A$1:$I$89,3,0)*0.475*44/12</f>
        <v>2.5481702473299501E-23</v>
      </c>
      <c r="FT188" s="22">
        <f t="shared" si="184"/>
        <v>0.4562099181189182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-5.6843418860808015E-14</v>
      </c>
      <c r="GA188" s="17">
        <f>FZ188*VLOOKUP('Données projet'!$B$17,Paramètres!$A$1:$I$89,3,0)*VLOOKUP('Données projet'!$B$17,Paramètres!$A$1:$I$89,5,0)</f>
        <v>-3.2514435588382188E-14</v>
      </c>
      <c r="GB188" s="13" t="e">
        <f t="shared" si="185"/>
        <v>#NUM!</v>
      </c>
      <c r="GC188" s="20" t="e">
        <f t="shared" si="186"/>
        <v>#NUM!</v>
      </c>
      <c r="GD188" s="59" t="e">
        <f t="shared" si="134"/>
        <v>#NUM!</v>
      </c>
      <c r="GE188" s="59">
        <f ca="1">AVERAGE(OFFSET($GD$3,0,0,'Données projet'!$E$17+1,1))-AVERAGE(OFFSET($H$3,0,0,'Données projet'!$E$17+1,1))</f>
        <v>196.95560009657527</v>
      </c>
      <c r="GF188" s="59">
        <f t="shared" si="158"/>
        <v>168.90186968005662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0</v>
      </c>
      <c r="GM188" s="21">
        <f>EXP(-LN(2)/25)*GM187+(1-EXP(-LN(2)/25))/(LN(2)/25)*Calculateur!GH188*Calculateur!GJ188*VLOOKUP('Données projet'!$B$17,Paramètres!$A$1:$I$89,3,0)*0.475*44/12</f>
        <v>0.12556248641097872</v>
      </c>
      <c r="GN188" s="21">
        <f>EXP(-LN(2)/2)*GN187+(1-EXP(-LN(2)/2))/(LN(2)/2)*GH188*GK188*VLOOKUP('Données projet'!$B$17,Paramètres!$A$1:$I$89,3,0)*0.475*44/12</f>
        <v>6.0173055507782824E-23</v>
      </c>
      <c r="GO188" s="21">
        <f t="shared" si="187"/>
        <v>0.12556248641097872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-5.3205440053716299E-14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215.23235148064941</v>
      </c>
      <c r="T189" s="59">
        <f t="shared" si="142"/>
        <v>184.07239726900434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0.14270720004618417</v>
      </c>
      <c r="AA189" s="21">
        <f>EXP(-LN(2)/25)*AA188+(1-EXP(-LN(2)/25))/(LN(2)/25)*Calculateur!V189*Calculateur!X189*VLOOKUP('Données projet'!$B$9,Paramètres!$A$1:$I$89,3,0)*0.475*44/12</f>
        <v>0.10393090028397958</v>
      </c>
      <c r="AB189" s="21">
        <f>EXP(-LN(2)/2)*AB188+(1-EXP(-LN(2)/2))/(LN(2)/2)*V189*Y189*VLOOKUP('Données projet'!$B$9,Paramètres!$A$1:$I$89,3,0)*0.475*44/12</f>
        <v>3.2531943054802841E-23</v>
      </c>
      <c r="AC189" s="22">
        <f t="shared" si="163"/>
        <v>0.24663810033016376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5.6843418860808015E-14</v>
      </c>
      <c r="AJ189" s="13">
        <f>AI189*VLOOKUP('Données projet'!$B$10,Paramètres!$A$1:$I$89,3,0)*VLOOKUP('Données projet'!$B$10,Paramètres!$A$1:$I$89,5,0)</f>
        <v>4.1677594708744434E-14</v>
      </c>
      <c r="AK189" s="13">
        <f t="shared" si="164"/>
        <v>6.9326303456159188E-13</v>
      </c>
      <c r="AL189" s="20">
        <f t="shared" si="165"/>
        <v>1.2800215959791691E-12</v>
      </c>
      <c r="AM189" s="59">
        <f t="shared" si="113"/>
        <v>293.33333333333462</v>
      </c>
      <c r="AN189" s="59">
        <f ca="1">AVERAGE(OFFSET($AM$3,0,0,'Données projet'!$E$10+1,1))-AVERAGE(OFFSET($H$3,0,0,'Données projet'!$E$10+1,1))</f>
        <v>178.12968684094687</v>
      </c>
      <c r="AO189" s="59">
        <f t="shared" si="144"/>
        <v>219.36004077210373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0.10172130820958218</v>
      </c>
      <c r="AW189" s="21">
        <f>EXP(-LN(2)/2)*AW188+(1-EXP(-LN(2)/2))/(LN(2)/2)*AQ189*AT189*VLOOKUP('Données projet'!$B$10,Paramètres!$A$1:$I$89,3,0)*0.475*44/12</f>
        <v>3.2814303199628728E-23</v>
      </c>
      <c r="AX189" s="21">
        <f t="shared" si="166"/>
        <v>0.10172130820958218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-5.6843418860808015E-14</v>
      </c>
      <c r="BE189" s="13">
        <f>BD189*VLOOKUP('Données projet'!$B$11,Paramètres!$A$1:$I$89,3,0)*VLOOKUP('Données projet'!$B$11,Paramètres!$A$1:$I$89,5,0)</f>
        <v>-4.9658410716801891E-14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114.02623091248347</v>
      </c>
      <c r="BJ189" s="59">
        <f t="shared" si="146"/>
        <v>185.51554083721635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8.8857144827506715E-2</v>
      </c>
      <c r="BQ189" s="21">
        <f>EXP(-LN(2)/25)*BQ188+(1-EXP(-LN(2)/25))/(LN(2)/25)*Calculateur!BL189*Calculateur!BN189*VLOOKUP('Données projet'!$B$11,Paramètres!$A$1:$I$89,3,0)*0.475*44/12</f>
        <v>0.14892305873672482</v>
      </c>
      <c r="BR189" s="21">
        <f>EXP(-LN(2)/2)*BR188+(1-EXP(-LN(2)/2))/(LN(2)/2)*BL189*BO189*VLOOKUP('Données projet'!$B$11,Paramètres!$A$1:$I$89,3,0)*0.475*44/12</f>
        <v>5.8363459935853523E-23</v>
      </c>
      <c r="BS189" s="22">
        <f t="shared" si="169"/>
        <v>0.23778020356423152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-1.1368683772161603E-13</v>
      </c>
      <c r="BZ189" s="13">
        <f>BY189*VLOOKUP('Données projet'!$B$12,Paramètres!$A$1:$I$89,3,0)*VLOOKUP('Données projet'!$B$12,Paramètres!$A$1:$I$89,5,0)</f>
        <v>-1.0286385077051818E-13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237.22177246688199</v>
      </c>
      <c r="CE189" s="59">
        <f t="shared" si="148"/>
        <v>149.27472147904302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4.1092790438182362E-2</v>
      </c>
      <c r="CM189" s="21">
        <f>EXP(-LN(2)/2)*CM188+(1-EXP(-LN(2)/2))/(LN(2)/2)*CG189*CJ189*VLOOKUP('Données projet'!$B$12,Paramètres!$A$1:$I$89,3,0)*0.475*44/12</f>
        <v>2.0478834198119496E-23</v>
      </c>
      <c r="CN189" s="22">
        <f t="shared" si="172"/>
        <v>4.1092790438182362E-2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-5.6843418860808015E-13</v>
      </c>
      <c r="CU189" s="17">
        <f>CT189*VLOOKUP('Données projet'!$B$13,Paramètres!$A$1:$I$89,3,0)*VLOOKUP('Données projet'!$B$13,Paramètres!$A$1:$I$89,5,0)</f>
        <v>-3.177547114319168E-13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326.31232746914907</v>
      </c>
      <c r="CZ189" s="59">
        <f t="shared" si="150"/>
        <v>330.17137761430297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0.20796353044735627</v>
      </c>
      <c r="DG189" s="21">
        <f>EXP(-LN(2)/25)*DG188+(1-EXP(-LN(2)/25))/(LN(2)/25)*Calculateur!DB189*Calculateur!DD189*VLOOKUP('Données projet'!$B$13,Paramètres!$A$1:$I$89,3,0)*0.475*44/12</f>
        <v>0.399200039164682</v>
      </c>
      <c r="DH189" s="21">
        <f>EXP(-LN(2)/2)*DH188+(1-EXP(-LN(2)/2))/(LN(2)/2)*DB189*DE189*VLOOKUP('Données projet'!$B$13,Paramètres!$A$1:$I$89,3,0)*0.475*44/12</f>
        <v>1.0760656391904128E-22</v>
      </c>
      <c r="DI189" s="22">
        <f t="shared" si="175"/>
        <v>0.60716356961203832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6.2527760746888816E-13</v>
      </c>
      <c r="DP189" s="17">
        <f>DO189*VLOOKUP('Données projet'!$B$14,Paramètres!$A$1:$I$89,3,0)*VLOOKUP('Données projet'!$B$14,Paramètres!$A$1:$I$89,5,0)</f>
        <v>3.9017322706058616E-13</v>
      </c>
      <c r="DQ189" s="13">
        <f t="shared" si="176"/>
        <v>5.0025007393608908E-12</v>
      </c>
      <c r="DR189" s="20">
        <f t="shared" si="177"/>
        <v>9.3922404915174053E-12</v>
      </c>
      <c r="DS189" s="59">
        <f t="shared" si="125"/>
        <v>293.33333333334269</v>
      </c>
      <c r="DT189" s="59">
        <f ca="1">AVERAGE(OFFSET($DS$3,0,0,'Données projet'!$E$14+1,1))-AVERAGE(OFFSET($H$3,0,0,'Données projet'!$E$14+1,1))</f>
        <v>209.93608079129638</v>
      </c>
      <c r="DU189" s="59">
        <f t="shared" si="152"/>
        <v>240.15652428700969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0.3165618222454471</v>
      </c>
      <c r="EB189" s="21">
        <f>EXP(-LN(2)/25)*EB188+(1-EXP(-LN(2)/25))/(LN(2)/25)*Calculateur!DW189*Calculateur!DY189*VLOOKUP('Données projet'!$B$14,Paramètres!$A$1:$I$89,3,0)*0.475*44/12</f>
        <v>0.27503225063278325</v>
      </c>
      <c r="EC189" s="21">
        <f>EXP(-LN(2)/2)*EC188+(1-EXP(-LN(2)/2))/(LN(2)/2)*DW189*DZ189*VLOOKUP('Données projet'!$B$14,Paramètres!$A$1:$I$89,3,0)*0.475*44/12</f>
        <v>6.6805804545232911E-23</v>
      </c>
      <c r="ED189" s="22">
        <f t="shared" si="178"/>
        <v>0.59159407287823029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-4.5474735088646412E-13</v>
      </c>
      <c r="EK189" s="17">
        <f>EJ189*VLOOKUP('Données projet'!$B$15,Paramètres!$A$1:$I$89,3,0)*VLOOKUP('Données projet'!$B$15,Paramètres!$A$1:$I$89,5,0)</f>
        <v>-2.7193891583010558E-13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216.94426559495264</v>
      </c>
      <c r="EP189" s="59">
        <f t="shared" si="154"/>
        <v>225.33715877618704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</v>
      </c>
      <c r="EW189" s="21">
        <f>EXP(-LN(2)/25)*EW188+(1-EXP(-LN(2)/25))/(LN(2)/25)*Calculateur!ER189*Calculateur!ET189*VLOOKUP('Données projet'!$B$15,Paramètres!$A$1:$I$89,3,0)*0.475*44/12</f>
        <v>0.17000083874749805</v>
      </c>
      <c r="EX189" s="21">
        <f>EXP(-LN(2)/2)*EX188+(1-EXP(-LN(2)/2))/(LN(2)/2)*ER189*EU189*VLOOKUP('Données projet'!$B$15,Paramètres!$A$1:$I$89,3,0)*0.475*44/12</f>
        <v>7.8513865743667249E-23</v>
      </c>
      <c r="EY189" s="22">
        <f t="shared" si="181"/>
        <v>0.17000083874749805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>
        <f>FE189*VLOOKUP('Données projet'!$B$16,Paramètres!$A$1:$I$89,3,0)*VLOOKUP('Données projet'!$B$16,Paramètres!$A$1:$I$89,5,0)</f>
        <v>0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168.08890945052406</v>
      </c>
      <c r="FK189" s="59">
        <f t="shared" si="156"/>
        <v>182.52462557642343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0.28282397575868112</v>
      </c>
      <c r="FR189" s="21">
        <f>EXP(-LN(2)/25)*FR188+(1-EXP(-LN(2)/25))/(LN(2)/25)*Calculateur!FM189*Calculateur!FO189*VLOOKUP('Données projet'!$B$16,Paramètres!$A$1:$I$89,3,0)*0.475*44/12</f>
        <v>0.16314244912715425</v>
      </c>
      <c r="FS189" s="21">
        <f>EXP(-LN(2)/2)*FS188+(1-EXP(-LN(2)/2))/(LN(2)/2)*FM189*FP189*VLOOKUP('Données projet'!$B$16,Paramètres!$A$1:$I$89,3,0)*0.475*44/12</f>
        <v>1.8018284615048097E-23</v>
      </c>
      <c r="FT189" s="22">
        <f t="shared" si="184"/>
        <v>0.44596642488583538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-5.6843418860808015E-14</v>
      </c>
      <c r="GA189" s="17">
        <f>FZ189*VLOOKUP('Données projet'!$B$17,Paramètres!$A$1:$I$89,3,0)*VLOOKUP('Données projet'!$B$17,Paramètres!$A$1:$I$89,5,0)</f>
        <v>-3.2514435588382188E-14</v>
      </c>
      <c r="GB189" s="13" t="e">
        <f t="shared" si="185"/>
        <v>#NUM!</v>
      </c>
      <c r="GC189" s="20" t="e">
        <f t="shared" si="186"/>
        <v>#NUM!</v>
      </c>
      <c r="GD189" s="59" t="e">
        <f t="shared" si="134"/>
        <v>#NUM!</v>
      </c>
      <c r="GE189" s="59">
        <f ca="1">AVERAGE(OFFSET($GD$3,0,0,'Données projet'!$E$17+1,1))-AVERAGE(OFFSET($H$3,0,0,'Données projet'!$E$17+1,1))</f>
        <v>196.95560009657527</v>
      </c>
      <c r="GF189" s="59">
        <f t="shared" si="158"/>
        <v>168.90186968005662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0</v>
      </c>
      <c r="GM189" s="21">
        <f>EXP(-LN(2)/25)*GM188+(1-EXP(-LN(2)/25))/(LN(2)/25)*Calculateur!GH189*Calculateur!GJ189*VLOOKUP('Données projet'!$B$17,Paramètres!$A$1:$I$89,3,0)*0.475*44/12</f>
        <v>0.12212897361702632</v>
      </c>
      <c r="GN189" s="21">
        <f>EXP(-LN(2)/2)*GN188+(1-EXP(-LN(2)/2))/(LN(2)/2)*GH189*GK189*VLOOKUP('Données projet'!$B$17,Paramètres!$A$1:$I$89,3,0)*0.475*44/12</f>
        <v>4.2548775594267768E-23</v>
      </c>
      <c r="GO189" s="21">
        <f t="shared" si="187"/>
        <v>0.12212897361702632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-5.3205440053716299E-14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215.23235148064941</v>
      </c>
      <c r="T190" s="59">
        <f t="shared" si="142"/>
        <v>184.07239726900434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0.13990879889607577</v>
      </c>
      <c r="AA190" s="21">
        <f>EXP(-LN(2)/25)*AA189+(1-EXP(-LN(2)/25))/(LN(2)/25)*Calculateur!V190*Calculateur!X190*VLOOKUP('Données projet'!$B$9,Paramètres!$A$1:$I$89,3,0)*0.475*44/12</f>
        <v>0.10108890435022565</v>
      </c>
      <c r="AB190" s="21">
        <f>EXP(-LN(2)/2)*AB189+(1-EXP(-LN(2)/2))/(LN(2)/2)*V190*Y190*VLOOKUP('Données projet'!$B$9,Paramètres!$A$1:$I$89,3,0)*0.475*44/12</f>
        <v>2.3003557539225697E-23</v>
      </c>
      <c r="AC190" s="22">
        <f t="shared" si="163"/>
        <v>0.24099770324630143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5.6843418860808015E-14</v>
      </c>
      <c r="AJ190" s="13">
        <f>AI190*VLOOKUP('Données projet'!$B$10,Paramètres!$A$1:$I$89,3,0)*VLOOKUP('Données projet'!$B$10,Paramètres!$A$1:$I$89,5,0)</f>
        <v>4.1677594708744434E-14</v>
      </c>
      <c r="AK190" s="13">
        <f t="shared" si="164"/>
        <v>6.9326303456159188E-13</v>
      </c>
      <c r="AL190" s="20">
        <f t="shared" si="165"/>
        <v>1.2800215959791691E-12</v>
      </c>
      <c r="AM190" s="59">
        <f t="shared" si="113"/>
        <v>293.33333333333462</v>
      </c>
      <c r="AN190" s="59">
        <f ca="1">AVERAGE(OFFSET($AM$3,0,0,'Données projet'!$E$10+1,1))-AVERAGE(OFFSET($H$3,0,0,'Données projet'!$E$10+1,1))</f>
        <v>178.12968684094687</v>
      </c>
      <c r="AO190" s="59">
        <f t="shared" si="144"/>
        <v>219.36004077210373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9.8939733687300038E-2</v>
      </c>
      <c r="AW190" s="21">
        <f>EXP(-LN(2)/2)*AW189+(1-EXP(-LN(2)/2))/(LN(2)/2)*AQ190*AT190*VLOOKUP('Données projet'!$B$10,Paramètres!$A$1:$I$89,3,0)*0.475*44/12</f>
        <v>2.3203216312368898E-23</v>
      </c>
      <c r="AX190" s="21">
        <f t="shared" si="166"/>
        <v>9.8939733687300038E-2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-5.6843418860808015E-14</v>
      </c>
      <c r="BE190" s="13">
        <f>BD190*VLOOKUP('Données projet'!$B$11,Paramètres!$A$1:$I$89,3,0)*VLOOKUP('Données projet'!$B$11,Paramètres!$A$1:$I$89,5,0)</f>
        <v>-4.9658410716801891E-14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114.02623091248347</v>
      </c>
      <c r="BJ190" s="59">
        <f t="shared" si="146"/>
        <v>185.51554083721635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8.7114710414946089E-2</v>
      </c>
      <c r="BQ190" s="21">
        <f>EXP(-LN(2)/25)*BQ189+(1-EXP(-LN(2)/25))/(LN(2)/25)*Calculateur!BL190*Calculateur!BN190*VLOOKUP('Données projet'!$B$11,Paramètres!$A$1:$I$89,3,0)*0.475*44/12</f>
        <v>0.14485074986404578</v>
      </c>
      <c r="BR190" s="21">
        <f>EXP(-LN(2)/2)*BR189+(1-EXP(-LN(2)/2))/(LN(2)/2)*BL190*BO190*VLOOKUP('Données projet'!$B$11,Paramètres!$A$1:$I$89,3,0)*0.475*44/12</f>
        <v>4.1269198294151411E-23</v>
      </c>
      <c r="BS190" s="22">
        <f t="shared" si="169"/>
        <v>0.23196546027899187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-1.1368683772161603E-13</v>
      </c>
      <c r="BZ190" s="13">
        <f>BY190*VLOOKUP('Données projet'!$B$12,Paramètres!$A$1:$I$89,3,0)*VLOOKUP('Données projet'!$B$12,Paramètres!$A$1:$I$89,5,0)</f>
        <v>-1.0286385077051818E-13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237.22177246688199</v>
      </c>
      <c r="CE190" s="59">
        <f t="shared" si="148"/>
        <v>149.27472147904302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3.9969105922674338E-2</v>
      </c>
      <c r="CM190" s="21">
        <f>EXP(-LN(2)/2)*CM189+(1-EXP(-LN(2)/2))/(LN(2)/2)*CG190*CJ190*VLOOKUP('Données projet'!$B$12,Paramètres!$A$1:$I$89,3,0)*0.475*44/12</f>
        <v>1.4480722532285269E-23</v>
      </c>
      <c r="CN190" s="22">
        <f t="shared" si="172"/>
        <v>3.9969105922674338E-2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-5.6843418860808015E-13</v>
      </c>
      <c r="CU190" s="17">
        <f>CT190*VLOOKUP('Données projet'!$B$13,Paramètres!$A$1:$I$89,3,0)*VLOOKUP('Données projet'!$B$13,Paramètres!$A$1:$I$89,5,0)</f>
        <v>-3.177547114319168E-13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326.31232746914907</v>
      </c>
      <c r="CZ190" s="59">
        <f t="shared" si="150"/>
        <v>330.17137761430297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0.20388549246051227</v>
      </c>
      <c r="DG190" s="21">
        <f>EXP(-LN(2)/25)*DG189+(1-EXP(-LN(2)/25))/(LN(2)/25)*Calculateur!DB190*Calculateur!DD190*VLOOKUP('Données projet'!$B$13,Paramètres!$A$1:$I$89,3,0)*0.475*44/12</f>
        <v>0.3882838931007061</v>
      </c>
      <c r="DH190" s="21">
        <f>EXP(-LN(2)/2)*DH189+(1-EXP(-LN(2)/2))/(LN(2)/2)*DB190*DE190*VLOOKUP('Données projet'!$B$13,Paramètres!$A$1:$I$89,3,0)*0.475*44/12</f>
        <v>7.6089331047337764E-23</v>
      </c>
      <c r="DI190" s="22">
        <f t="shared" si="175"/>
        <v>0.59216938556121834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6.2527760746888816E-13</v>
      </c>
      <c r="DP190" s="17">
        <f>DO190*VLOOKUP('Données projet'!$B$14,Paramètres!$A$1:$I$89,3,0)*VLOOKUP('Données projet'!$B$14,Paramètres!$A$1:$I$89,5,0)</f>
        <v>3.9017322706058616E-13</v>
      </c>
      <c r="DQ190" s="13">
        <f t="shared" si="176"/>
        <v>5.0025007393608908E-12</v>
      </c>
      <c r="DR190" s="20">
        <f t="shared" si="177"/>
        <v>9.3922404915174053E-12</v>
      </c>
      <c r="DS190" s="59">
        <f t="shared" si="125"/>
        <v>293.33333333334269</v>
      </c>
      <c r="DT190" s="59">
        <f ca="1">AVERAGE(OFFSET($DS$3,0,0,'Données projet'!$E$14+1,1))-AVERAGE(OFFSET($H$3,0,0,'Données projet'!$E$14+1,1))</f>
        <v>209.93608079129638</v>
      </c>
      <c r="DU190" s="59">
        <f t="shared" si="152"/>
        <v>240.15652428700969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0.31035423799486</v>
      </c>
      <c r="EB190" s="21">
        <f>EXP(-LN(2)/25)*EB189+(1-EXP(-LN(2)/25))/(LN(2)/25)*Calculateur!DW190*Calculateur!DY190*VLOOKUP('Données projet'!$B$14,Paramètres!$A$1:$I$89,3,0)*0.475*44/12</f>
        <v>0.26751147927591234</v>
      </c>
      <c r="EC190" s="21">
        <f>EXP(-LN(2)/2)*EC189+(1-EXP(-LN(2)/2))/(LN(2)/2)*DW190*DZ190*VLOOKUP('Données projet'!$B$14,Paramètres!$A$1:$I$89,3,0)*0.475*44/12</f>
        <v>4.7238837416557271E-23</v>
      </c>
      <c r="ED190" s="22">
        <f t="shared" si="178"/>
        <v>0.57786571727077241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-4.5474735088646412E-13</v>
      </c>
      <c r="EK190" s="17">
        <f>EJ190*VLOOKUP('Données projet'!$B$15,Paramètres!$A$1:$I$89,3,0)*VLOOKUP('Données projet'!$B$15,Paramètres!$A$1:$I$89,5,0)</f>
        <v>-2.7193891583010558E-13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216.94426559495264</v>
      </c>
      <c r="EP190" s="59">
        <f t="shared" si="154"/>
        <v>225.33715877618704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</v>
      </c>
      <c r="EW190" s="21">
        <f>EXP(-LN(2)/25)*EW189+(1-EXP(-LN(2)/25))/(LN(2)/25)*Calculateur!ER190*Calculateur!ET190*VLOOKUP('Données projet'!$B$15,Paramètres!$A$1:$I$89,3,0)*0.475*44/12</f>
        <v>0.16535215687199215</v>
      </c>
      <c r="EX190" s="21">
        <f>EXP(-LN(2)/2)*EX189+(1-EXP(-LN(2)/2))/(LN(2)/2)*ER190*EU190*VLOOKUP('Données projet'!$B$15,Paramètres!$A$1:$I$89,3,0)*0.475*44/12</f>
        <v>5.5517686884517286E-23</v>
      </c>
      <c r="EY190" s="22">
        <f t="shared" si="181"/>
        <v>0.16535215687199215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>
        <f>FE190*VLOOKUP('Données projet'!$B$16,Paramètres!$A$1:$I$89,3,0)*VLOOKUP('Données projet'!$B$16,Paramètres!$A$1:$I$89,5,0)</f>
        <v>0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168.08890945052406</v>
      </c>
      <c r="FK190" s="59">
        <f t="shared" si="156"/>
        <v>182.52462557642343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0.27727797009964511</v>
      </c>
      <c r="FR190" s="21">
        <f>EXP(-LN(2)/25)*FR189+(1-EXP(-LN(2)/25))/(LN(2)/25)*Calculateur!FM190*Calculateur!FO190*VLOOKUP('Données projet'!$B$16,Paramètres!$A$1:$I$89,3,0)*0.475*44/12</f>
        <v>0.15868131027648369</v>
      </c>
      <c r="FS190" s="21">
        <f>EXP(-LN(2)/2)*FS189+(1-EXP(-LN(2)/2))/(LN(2)/2)*FM190*FP190*VLOOKUP('Données projet'!$B$16,Paramètres!$A$1:$I$89,3,0)*0.475*44/12</f>
        <v>1.2740851236649751E-23</v>
      </c>
      <c r="FT190" s="22">
        <f t="shared" si="184"/>
        <v>0.4359592803761288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-5.6843418860808015E-14</v>
      </c>
      <c r="GA190" s="17">
        <f>FZ190*VLOOKUP('Données projet'!$B$17,Paramètres!$A$1:$I$89,3,0)*VLOOKUP('Données projet'!$B$17,Paramètres!$A$1:$I$89,5,0)</f>
        <v>-3.2514435588382188E-14</v>
      </c>
      <c r="GB190" s="13" t="e">
        <f t="shared" si="185"/>
        <v>#NUM!</v>
      </c>
      <c r="GC190" s="20" t="e">
        <f t="shared" si="186"/>
        <v>#NUM!</v>
      </c>
      <c r="GD190" s="59" t="e">
        <f t="shared" si="134"/>
        <v>#NUM!</v>
      </c>
      <c r="GE190" s="59">
        <f ca="1">AVERAGE(OFFSET($GD$3,0,0,'Données projet'!$E$17+1,1))-AVERAGE(OFFSET($H$3,0,0,'Données projet'!$E$17+1,1))</f>
        <v>196.95560009657527</v>
      </c>
      <c r="GF190" s="59">
        <f t="shared" si="158"/>
        <v>168.90186968005662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0</v>
      </c>
      <c r="GM190" s="21">
        <f>EXP(-LN(2)/25)*GM189+(1-EXP(-LN(2)/25))/(LN(2)/25)*Calculateur!GH190*Calculateur!GJ190*VLOOKUP('Données projet'!$B$17,Paramètres!$A$1:$I$89,3,0)*0.475*44/12</f>
        <v>0.11878935041098514</v>
      </c>
      <c r="GN190" s="21">
        <f>EXP(-LN(2)/2)*GN189+(1-EXP(-LN(2)/2))/(LN(2)/2)*GH190*GK190*VLOOKUP('Données projet'!$B$17,Paramètres!$A$1:$I$89,3,0)*0.475*44/12</f>
        <v>3.0086527753891412E-23</v>
      </c>
      <c r="GO190" s="21">
        <f t="shared" si="187"/>
        <v>0.11878935041098514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-5.3205440053716299E-14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215.23235148064941</v>
      </c>
      <c r="T191" s="59">
        <f t="shared" si="142"/>
        <v>184.07239726900434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0.13716527268566484</v>
      </c>
      <c r="AA191" s="21">
        <f>EXP(-LN(2)/25)*AA190+(1-EXP(-LN(2)/25))/(LN(2)/25)*Calculateur!V191*Calculateur!X191*VLOOKUP('Données projet'!$B$9,Paramètres!$A$1:$I$89,3,0)*0.475*44/12</f>
        <v>9.8324622944734291E-2</v>
      </c>
      <c r="AB191" s="21">
        <f>EXP(-LN(2)/2)*AB190+(1-EXP(-LN(2)/2))/(LN(2)/2)*V191*Y191*VLOOKUP('Données projet'!$B$9,Paramètres!$A$1:$I$89,3,0)*0.475*44/12</f>
        <v>1.626597152740142E-23</v>
      </c>
      <c r="AC191" s="22">
        <f t="shared" si="163"/>
        <v>0.23548989563039913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5.6843418860808015E-14</v>
      </c>
      <c r="AJ191" s="13">
        <f>AI191*VLOOKUP('Données projet'!$B$10,Paramètres!$A$1:$I$89,3,0)*VLOOKUP('Données projet'!$B$10,Paramètres!$A$1:$I$89,5,0)</f>
        <v>4.1677594708744434E-14</v>
      </c>
      <c r="AK191" s="13">
        <f t="shared" si="164"/>
        <v>6.9326303456159188E-13</v>
      </c>
      <c r="AL191" s="20">
        <f t="shared" si="165"/>
        <v>1.2800215959791691E-12</v>
      </c>
      <c r="AM191" s="59">
        <f t="shared" si="113"/>
        <v>293.33333333333462</v>
      </c>
      <c r="AN191" s="59">
        <f ca="1">AVERAGE(OFFSET($AM$3,0,0,'Données projet'!$E$10+1,1))-AVERAGE(OFFSET($H$3,0,0,'Données projet'!$E$10+1,1))</f>
        <v>178.12968684094687</v>
      </c>
      <c r="AO191" s="59">
        <f t="shared" si="144"/>
        <v>219.36004077210373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9.6234221466606359E-2</v>
      </c>
      <c r="AW191" s="21">
        <f>EXP(-LN(2)/2)*AW190+(1-EXP(-LN(2)/2))/(LN(2)/2)*AQ191*AT191*VLOOKUP('Données projet'!$B$10,Paramètres!$A$1:$I$89,3,0)*0.475*44/12</f>
        <v>1.6407151599814364E-23</v>
      </c>
      <c r="AX191" s="21">
        <f t="shared" si="166"/>
        <v>9.6234221466606359E-2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-5.6843418860808015E-14</v>
      </c>
      <c r="BE191" s="13">
        <f>BD191*VLOOKUP('Données projet'!$B$11,Paramètres!$A$1:$I$89,3,0)*VLOOKUP('Données projet'!$B$11,Paramètres!$A$1:$I$89,5,0)</f>
        <v>-4.9658410716801891E-14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114.02623091248347</v>
      </c>
      <c r="BJ191" s="59">
        <f t="shared" si="146"/>
        <v>185.51554083721635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8.5406444078435728E-2</v>
      </c>
      <c r="BQ191" s="21">
        <f>EXP(-LN(2)/25)*BQ190+(1-EXP(-LN(2)/25))/(LN(2)/25)*Calculateur!BL191*Calculateur!BN191*VLOOKUP('Données projet'!$B$11,Paramètres!$A$1:$I$89,3,0)*0.475*44/12</f>
        <v>0.14088979849164357</v>
      </c>
      <c r="BR191" s="21">
        <f>EXP(-LN(2)/2)*BR190+(1-EXP(-LN(2)/2))/(LN(2)/2)*BL191*BO191*VLOOKUP('Données projet'!$B$11,Paramètres!$A$1:$I$89,3,0)*0.475*44/12</f>
        <v>2.9181729967926761E-23</v>
      </c>
      <c r="BS191" s="22">
        <f t="shared" si="169"/>
        <v>0.2262962425700793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-1.1368683772161603E-13</v>
      </c>
      <c r="BZ191" s="13">
        <f>BY191*VLOOKUP('Données projet'!$B$12,Paramètres!$A$1:$I$89,3,0)*VLOOKUP('Données projet'!$B$12,Paramètres!$A$1:$I$89,5,0)</f>
        <v>-1.0286385077051818E-13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237.22177246688199</v>
      </c>
      <c r="CE191" s="59">
        <f t="shared" si="148"/>
        <v>149.27472147904302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3.8876148619334881E-2</v>
      </c>
      <c r="CM191" s="21">
        <f>EXP(-LN(2)/2)*CM190+(1-EXP(-LN(2)/2))/(LN(2)/2)*CG191*CJ191*VLOOKUP('Données projet'!$B$12,Paramètres!$A$1:$I$89,3,0)*0.475*44/12</f>
        <v>1.0239417099059748E-23</v>
      </c>
      <c r="CN191" s="22">
        <f t="shared" si="172"/>
        <v>3.8876148619334881E-2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-5.6843418860808015E-13</v>
      </c>
      <c r="CU191" s="17">
        <f>CT191*VLOOKUP('Données projet'!$B$13,Paramètres!$A$1:$I$89,3,0)*VLOOKUP('Données projet'!$B$13,Paramètres!$A$1:$I$89,5,0)</f>
        <v>-3.177547114319168E-13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326.31232746914907</v>
      </c>
      <c r="CZ191" s="59">
        <f t="shared" si="150"/>
        <v>330.17137761430297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0.19988742231123272</v>
      </c>
      <c r="DG191" s="21">
        <f>EXP(-LN(2)/25)*DG190+(1-EXP(-LN(2)/25))/(LN(2)/25)*Calculateur!DB191*Calculateur!DD191*VLOOKUP('Données projet'!$B$13,Paramètres!$A$1:$I$89,3,0)*0.475*44/12</f>
        <v>0.3776662496249048</v>
      </c>
      <c r="DH191" s="21">
        <f>EXP(-LN(2)/2)*DH190+(1-EXP(-LN(2)/2))/(LN(2)/2)*DB191*DE191*VLOOKUP('Données projet'!$B$13,Paramètres!$A$1:$I$89,3,0)*0.475*44/12</f>
        <v>5.3803281959520642E-23</v>
      </c>
      <c r="DI191" s="22">
        <f t="shared" si="175"/>
        <v>0.57755367193613749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6.2527760746888816E-13</v>
      </c>
      <c r="DP191" s="17">
        <f>DO191*VLOOKUP('Données projet'!$B$14,Paramètres!$A$1:$I$89,3,0)*VLOOKUP('Données projet'!$B$14,Paramètres!$A$1:$I$89,5,0)</f>
        <v>3.9017322706058616E-13</v>
      </c>
      <c r="DQ191" s="13">
        <f t="shared" si="176"/>
        <v>5.0025007393608908E-12</v>
      </c>
      <c r="DR191" s="20">
        <f t="shared" si="177"/>
        <v>9.3922404915174053E-12</v>
      </c>
      <c r="DS191" s="59">
        <f t="shared" si="125"/>
        <v>293.33333333334269</v>
      </c>
      <c r="DT191" s="59">
        <f ca="1">AVERAGE(OFFSET($DS$3,0,0,'Données projet'!$E$14+1,1))-AVERAGE(OFFSET($H$3,0,0,'Données projet'!$E$14+1,1))</f>
        <v>209.93608079129638</v>
      </c>
      <c r="DU191" s="59">
        <f t="shared" si="152"/>
        <v>240.15652428700969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0.30426838068517442</v>
      </c>
      <c r="EB191" s="21">
        <f>EXP(-LN(2)/25)*EB190+(1-EXP(-LN(2)/25))/(LN(2)/25)*Calculateur!DW191*Calculateur!DY191*VLOOKUP('Données projet'!$B$14,Paramètres!$A$1:$I$89,3,0)*0.475*44/12</f>
        <v>0.26019636380729522</v>
      </c>
      <c r="EC191" s="21">
        <f>EXP(-LN(2)/2)*EC190+(1-EXP(-LN(2)/2))/(LN(2)/2)*DW191*DZ191*VLOOKUP('Données projet'!$B$14,Paramètres!$A$1:$I$89,3,0)*0.475*44/12</f>
        <v>3.3402902272616456E-23</v>
      </c>
      <c r="ED191" s="22">
        <f t="shared" si="178"/>
        <v>0.56446474449246964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-4.5474735088646412E-13</v>
      </c>
      <c r="EK191" s="17">
        <f>EJ191*VLOOKUP('Données projet'!$B$15,Paramètres!$A$1:$I$89,3,0)*VLOOKUP('Données projet'!$B$15,Paramètres!$A$1:$I$89,5,0)</f>
        <v>-2.7193891583010558E-13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216.94426559495264</v>
      </c>
      <c r="EP191" s="59">
        <f t="shared" si="154"/>
        <v>225.33715877618704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</v>
      </c>
      <c r="EW191" s="21">
        <f>EXP(-LN(2)/25)*EW190+(1-EXP(-LN(2)/25))/(LN(2)/25)*Calculateur!ER191*Calculateur!ET191*VLOOKUP('Données projet'!$B$15,Paramètres!$A$1:$I$89,3,0)*0.475*44/12</f>
        <v>0.16083059344683551</v>
      </c>
      <c r="EX191" s="21">
        <f>EXP(-LN(2)/2)*EX190+(1-EXP(-LN(2)/2))/(LN(2)/2)*ER191*EU191*VLOOKUP('Données projet'!$B$15,Paramètres!$A$1:$I$89,3,0)*0.475*44/12</f>
        <v>3.9256932871833625E-23</v>
      </c>
      <c r="EY191" s="22">
        <f t="shared" si="181"/>
        <v>0.16083059344683551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>
        <f>FE191*VLOOKUP('Données projet'!$B$16,Paramètres!$A$1:$I$89,3,0)*VLOOKUP('Données projet'!$B$16,Paramètres!$A$1:$I$89,5,0)</f>
        <v>0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168.08890945052406</v>
      </c>
      <c r="FK191" s="59">
        <f t="shared" si="156"/>
        <v>182.52462557642343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0.27184071822885336</v>
      </c>
      <c r="FR191" s="21">
        <f>EXP(-LN(2)/25)*FR190+(1-EXP(-LN(2)/25))/(LN(2)/25)*Calculateur!FM191*Calculateur!FO191*VLOOKUP('Données projet'!$B$16,Paramètres!$A$1:$I$89,3,0)*0.475*44/12</f>
        <v>0.1543421615022858</v>
      </c>
      <c r="FS191" s="21">
        <f>EXP(-LN(2)/2)*FS190+(1-EXP(-LN(2)/2))/(LN(2)/2)*FM191*FP191*VLOOKUP('Données projet'!$B$16,Paramètres!$A$1:$I$89,3,0)*0.475*44/12</f>
        <v>9.0091423075240485E-24</v>
      </c>
      <c r="FT191" s="22">
        <f t="shared" si="184"/>
        <v>0.42618287973113916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-5.6843418860808015E-14</v>
      </c>
      <c r="GA191" s="17">
        <f>FZ191*VLOOKUP('Données projet'!$B$17,Paramètres!$A$1:$I$89,3,0)*VLOOKUP('Données projet'!$B$17,Paramètres!$A$1:$I$89,5,0)</f>
        <v>-3.2514435588382188E-14</v>
      </c>
      <c r="GB191" s="13" t="e">
        <f t="shared" si="185"/>
        <v>#NUM!</v>
      </c>
      <c r="GC191" s="20" t="e">
        <f t="shared" si="186"/>
        <v>#NUM!</v>
      </c>
      <c r="GD191" s="59" t="e">
        <f t="shared" si="134"/>
        <v>#NUM!</v>
      </c>
      <c r="GE191" s="59">
        <f ca="1">AVERAGE(OFFSET($GD$3,0,0,'Données projet'!$E$17+1,1))-AVERAGE(OFFSET($H$3,0,0,'Données projet'!$E$17+1,1))</f>
        <v>196.95560009657527</v>
      </c>
      <c r="GF191" s="59">
        <f t="shared" si="158"/>
        <v>168.90186968005662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0</v>
      </c>
      <c r="GM191" s="21">
        <f>EXP(-LN(2)/25)*GM190+(1-EXP(-LN(2)/25))/(LN(2)/25)*Calculateur!GH191*Calculateur!GJ191*VLOOKUP('Données projet'!$B$17,Paramètres!$A$1:$I$89,3,0)*0.475*44/12</f>
        <v>0.1155410493771363</v>
      </c>
      <c r="GN191" s="21">
        <f>EXP(-LN(2)/2)*GN190+(1-EXP(-LN(2)/2))/(LN(2)/2)*GH191*GK191*VLOOKUP('Données projet'!$B$17,Paramètres!$A$1:$I$89,3,0)*0.475*44/12</f>
        <v>2.1274387797133884E-23</v>
      </c>
      <c r="GO191" s="21">
        <f t="shared" si="187"/>
        <v>0.1155410493771363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-5.3205440053716299E-14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215.23235148064941</v>
      </c>
      <c r="T192" s="59">
        <f t="shared" si="142"/>
        <v>184.07239726900434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0.13447554535085429</v>
      </c>
      <c r="AA192" s="21">
        <f>EXP(-LN(2)/25)*AA191+(1-EXP(-LN(2)/25))/(LN(2)/25)*Calculateur!V192*Calculateur!X192*VLOOKUP('Données projet'!$B$9,Paramètres!$A$1:$I$89,3,0)*0.475*44/12</f>
        <v>9.5635930959643331E-2</v>
      </c>
      <c r="AB192" s="21">
        <f>EXP(-LN(2)/2)*AB191+(1-EXP(-LN(2)/2))/(LN(2)/2)*V192*Y192*VLOOKUP('Données projet'!$B$9,Paramètres!$A$1:$I$89,3,0)*0.475*44/12</f>
        <v>1.1501778769612849E-23</v>
      </c>
      <c r="AC192" s="22">
        <f t="shared" si="163"/>
        <v>0.23011147631049761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5.6843418860808015E-14</v>
      </c>
      <c r="AJ192" s="13">
        <f>AI192*VLOOKUP('Données projet'!$B$10,Paramètres!$A$1:$I$89,3,0)*VLOOKUP('Données projet'!$B$10,Paramètres!$A$1:$I$89,5,0)</f>
        <v>4.1677594708744434E-14</v>
      </c>
      <c r="AK192" s="13">
        <f t="shared" si="164"/>
        <v>6.9326303456159188E-13</v>
      </c>
      <c r="AL192" s="20">
        <f t="shared" si="165"/>
        <v>1.2800215959791691E-12</v>
      </c>
      <c r="AM192" s="59">
        <f t="shared" si="113"/>
        <v>293.33333333333462</v>
      </c>
      <c r="AN192" s="59">
        <f ca="1">AVERAGE(OFFSET($AM$3,0,0,'Données projet'!$E$10+1,1))-AVERAGE(OFFSET($H$3,0,0,'Données projet'!$E$10+1,1))</f>
        <v>178.12968684094687</v>
      </c>
      <c r="AO192" s="59">
        <f t="shared" si="144"/>
        <v>219.36004077210373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9.3602691619864245E-2</v>
      </c>
      <c r="AW192" s="21">
        <f>EXP(-LN(2)/2)*AW191+(1-EXP(-LN(2)/2))/(LN(2)/2)*AQ192*AT192*VLOOKUP('Données projet'!$B$10,Paramètres!$A$1:$I$89,3,0)*0.475*44/12</f>
        <v>1.1601608156184449E-23</v>
      </c>
      <c r="AX192" s="21">
        <f t="shared" si="166"/>
        <v>9.3602691619864245E-2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-5.6843418860808015E-14</v>
      </c>
      <c r="BE192" s="13">
        <f>BD192*VLOOKUP('Données projet'!$B$11,Paramètres!$A$1:$I$89,3,0)*VLOOKUP('Données projet'!$B$11,Paramètres!$A$1:$I$89,5,0)</f>
        <v>-4.9658410716801891E-14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114.02623091248347</v>
      </c>
      <c r="BJ192" s="59">
        <f t="shared" si="146"/>
        <v>185.51554083721635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8.3731675802844754E-2</v>
      </c>
      <c r="BQ192" s="21">
        <f>EXP(-LN(2)/25)*BQ191+(1-EXP(-LN(2)/25))/(LN(2)/25)*Calculateur!BL192*Calculateur!BN192*VLOOKUP('Données projet'!$B$11,Paramètres!$A$1:$I$89,3,0)*0.475*44/12</f>
        <v>0.13703715954281709</v>
      </c>
      <c r="BR192" s="21">
        <f>EXP(-LN(2)/2)*BR191+(1-EXP(-LN(2)/2))/(LN(2)/2)*BL192*BO192*VLOOKUP('Données projet'!$B$11,Paramètres!$A$1:$I$89,3,0)*0.475*44/12</f>
        <v>2.0634599147075705E-23</v>
      </c>
      <c r="BS192" s="22">
        <f t="shared" si="169"/>
        <v>0.22076883534566183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-1.1368683772161603E-13</v>
      </c>
      <c r="BZ192" s="13">
        <f>BY192*VLOOKUP('Données projet'!$B$12,Paramètres!$A$1:$I$89,3,0)*VLOOKUP('Données projet'!$B$12,Paramètres!$A$1:$I$89,5,0)</f>
        <v>-1.0286385077051818E-13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237.22177246688199</v>
      </c>
      <c r="CE192" s="59">
        <f t="shared" si="148"/>
        <v>149.27472147904302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3.7813078290931362E-2</v>
      </c>
      <c r="CM192" s="21">
        <f>EXP(-LN(2)/2)*CM191+(1-EXP(-LN(2)/2))/(LN(2)/2)*CG192*CJ192*VLOOKUP('Données projet'!$B$12,Paramètres!$A$1:$I$89,3,0)*0.475*44/12</f>
        <v>7.2403612661426344E-24</v>
      </c>
      <c r="CN192" s="22">
        <f t="shared" si="172"/>
        <v>3.7813078290931362E-2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-5.6843418860808015E-13</v>
      </c>
      <c r="CU192" s="17">
        <f>CT192*VLOOKUP('Données projet'!$B$13,Paramètres!$A$1:$I$89,3,0)*VLOOKUP('Données projet'!$B$13,Paramètres!$A$1:$I$89,5,0)</f>
        <v>-3.177547114319168E-13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326.31232746914907</v>
      </c>
      <c r="CZ192" s="59">
        <f t="shared" si="150"/>
        <v>330.17137761430297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0.19596775187899851</v>
      </c>
      <c r="DG192" s="21">
        <f>EXP(-LN(2)/25)*DG191+(1-EXP(-LN(2)/25))/(LN(2)/25)*Calculateur!DB192*Calculateur!DD192*VLOOKUP('Données projet'!$B$13,Paramètres!$A$1:$I$89,3,0)*0.475*44/12</f>
        <v>0.36733894616830687</v>
      </c>
      <c r="DH192" s="21">
        <f>EXP(-LN(2)/2)*DH191+(1-EXP(-LN(2)/2))/(LN(2)/2)*DB192*DE192*VLOOKUP('Données projet'!$B$13,Paramètres!$A$1:$I$89,3,0)*0.475*44/12</f>
        <v>3.8044665523668882E-23</v>
      </c>
      <c r="DI192" s="22">
        <f t="shared" si="175"/>
        <v>0.56330669804730538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6.2527760746888816E-13</v>
      </c>
      <c r="DP192" s="17">
        <f>DO192*VLOOKUP('Données projet'!$B$14,Paramètres!$A$1:$I$89,3,0)*VLOOKUP('Données projet'!$B$14,Paramètres!$A$1:$I$89,5,0)</f>
        <v>3.9017322706058616E-13</v>
      </c>
      <c r="DQ192" s="13">
        <f t="shared" si="176"/>
        <v>5.0025007393608908E-12</v>
      </c>
      <c r="DR192" s="20">
        <f t="shared" si="177"/>
        <v>9.3922404915174053E-12</v>
      </c>
      <c r="DS192" s="59">
        <f t="shared" si="125"/>
        <v>293.33333333334269</v>
      </c>
      <c r="DT192" s="59">
        <f ca="1">AVERAGE(OFFSET($DS$3,0,0,'Données projet'!$E$14+1,1))-AVERAGE(OFFSET($H$3,0,0,'Données projet'!$E$14+1,1))</f>
        <v>209.93608079129638</v>
      </c>
      <c r="DU192" s="59">
        <f t="shared" si="152"/>
        <v>240.15652428700969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0.29830186332532532</v>
      </c>
      <c r="EB192" s="21">
        <f>EXP(-LN(2)/25)*EB191+(1-EXP(-LN(2)/25))/(LN(2)/25)*Calculateur!DW192*Calculateur!DY192*VLOOKUP('Données projet'!$B$14,Paramètres!$A$1:$I$89,3,0)*0.475*44/12</f>
        <v>0.25308128055585266</v>
      </c>
      <c r="EC192" s="21">
        <f>EXP(-LN(2)/2)*EC191+(1-EXP(-LN(2)/2))/(LN(2)/2)*DW192*DZ192*VLOOKUP('Données projet'!$B$14,Paramètres!$A$1:$I$89,3,0)*0.475*44/12</f>
        <v>2.3619418708278635E-23</v>
      </c>
      <c r="ED192" s="22">
        <f t="shared" si="178"/>
        <v>0.55138314388117804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-4.5474735088646412E-13</v>
      </c>
      <c r="EK192" s="17">
        <f>EJ192*VLOOKUP('Données projet'!$B$15,Paramètres!$A$1:$I$89,3,0)*VLOOKUP('Données projet'!$B$15,Paramètres!$A$1:$I$89,5,0)</f>
        <v>-2.7193891583010558E-13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216.94426559495264</v>
      </c>
      <c r="EP192" s="59">
        <f t="shared" si="154"/>
        <v>225.33715877618704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</v>
      </c>
      <c r="EW192" s="21">
        <f>EXP(-LN(2)/25)*EW191+(1-EXP(-LN(2)/25))/(LN(2)/25)*Calculateur!ER192*Calculateur!ET192*VLOOKUP('Données projet'!$B$15,Paramètres!$A$1:$I$89,3,0)*0.475*44/12</f>
        <v>0.15643267241131847</v>
      </c>
      <c r="EX192" s="21">
        <f>EXP(-LN(2)/2)*EX191+(1-EXP(-LN(2)/2))/(LN(2)/2)*ER192*EU192*VLOOKUP('Données projet'!$B$15,Paramètres!$A$1:$I$89,3,0)*0.475*44/12</f>
        <v>2.7758843442258643E-23</v>
      </c>
      <c r="EY192" s="22">
        <f t="shared" si="181"/>
        <v>0.15643267241131847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>
        <f>FE192*VLOOKUP('Données projet'!$B$16,Paramètres!$A$1:$I$89,3,0)*VLOOKUP('Données projet'!$B$16,Paramètres!$A$1:$I$89,5,0)</f>
        <v>0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168.08890945052406</v>
      </c>
      <c r="FK192" s="59">
        <f t="shared" si="156"/>
        <v>182.52462557642343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0.26651008755085165</v>
      </c>
      <c r="FR192" s="21">
        <f>EXP(-LN(2)/25)*FR191+(1-EXP(-LN(2)/25))/(LN(2)/25)*Calculateur!FM192*Calculateur!FO192*VLOOKUP('Données projet'!$B$16,Paramètres!$A$1:$I$89,3,0)*0.475*44/12</f>
        <v>0.15012166697950427</v>
      </c>
      <c r="FS192" s="21">
        <f>EXP(-LN(2)/2)*FS191+(1-EXP(-LN(2)/2))/(LN(2)/2)*FM192*FP192*VLOOKUP('Données projet'!$B$16,Paramètres!$A$1:$I$89,3,0)*0.475*44/12</f>
        <v>6.3704256183248753E-24</v>
      </c>
      <c r="FT192" s="22">
        <f t="shared" si="184"/>
        <v>0.41663175453035595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-5.6843418860808015E-14</v>
      </c>
      <c r="GA192" s="17">
        <f>FZ192*VLOOKUP('Données projet'!$B$17,Paramètres!$A$1:$I$89,3,0)*VLOOKUP('Données projet'!$B$17,Paramètres!$A$1:$I$89,5,0)</f>
        <v>-3.2514435588382188E-14</v>
      </c>
      <c r="GB192" s="13" t="e">
        <f t="shared" si="185"/>
        <v>#NUM!</v>
      </c>
      <c r="GC192" s="20" t="e">
        <f t="shared" si="186"/>
        <v>#NUM!</v>
      </c>
      <c r="GD192" s="59" t="e">
        <f t="shared" si="134"/>
        <v>#NUM!</v>
      </c>
      <c r="GE192" s="59">
        <f ca="1">AVERAGE(OFFSET($GD$3,0,0,'Données projet'!$E$17+1,1))-AVERAGE(OFFSET($H$3,0,0,'Données projet'!$E$17+1,1))</f>
        <v>196.95560009657527</v>
      </c>
      <c r="GF192" s="59">
        <f t="shared" si="158"/>
        <v>168.90186968005662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0</v>
      </c>
      <c r="GM192" s="21">
        <f>EXP(-LN(2)/25)*GM191+(1-EXP(-LN(2)/25))/(LN(2)/25)*Calculateur!GH192*Calculateur!GJ192*VLOOKUP('Données projet'!$B$17,Paramètres!$A$1:$I$89,3,0)*0.475*44/12</f>
        <v>0.11238157330587879</v>
      </c>
      <c r="GN192" s="21">
        <f>EXP(-LN(2)/2)*GN191+(1-EXP(-LN(2)/2))/(LN(2)/2)*GH192*GK192*VLOOKUP('Données projet'!$B$17,Paramètres!$A$1:$I$89,3,0)*0.475*44/12</f>
        <v>1.5043263876945706E-23</v>
      </c>
      <c r="GO192" s="21">
        <f t="shared" si="187"/>
        <v>0.11238157330587879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-5.3205440053716299E-14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215.23235148064941</v>
      </c>
      <c r="T193" s="59">
        <f t="shared" si="142"/>
        <v>184.07239726900434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0.13183856192850771</v>
      </c>
      <c r="AA193" s="21">
        <f>EXP(-LN(2)/25)*AA192+(1-EXP(-LN(2)/25))/(LN(2)/25)*Calculateur!V193*Calculateur!X193*VLOOKUP('Données projet'!$B$9,Paramètres!$A$1:$I$89,3,0)*0.475*44/12</f>
        <v>9.3020761398276849E-2</v>
      </c>
      <c r="AB193" s="21">
        <f>EXP(-LN(2)/2)*AB192+(1-EXP(-LN(2)/2))/(LN(2)/2)*V193*Y193*VLOOKUP('Données projet'!$B$9,Paramètres!$A$1:$I$89,3,0)*0.475*44/12</f>
        <v>8.1329857637007102E-24</v>
      </c>
      <c r="AC193" s="22">
        <f t="shared" si="163"/>
        <v>0.22485932332678454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5.6843418860808015E-14</v>
      </c>
      <c r="AJ193" s="13">
        <f>AI193*VLOOKUP('Données projet'!$B$10,Paramètres!$A$1:$I$89,3,0)*VLOOKUP('Données projet'!$B$10,Paramètres!$A$1:$I$89,5,0)</f>
        <v>4.1677594708744434E-14</v>
      </c>
      <c r="AK193" s="13">
        <f t="shared" si="164"/>
        <v>6.9326303456159188E-13</v>
      </c>
      <c r="AL193" s="20">
        <f t="shared" si="165"/>
        <v>1.2800215959791691E-12</v>
      </c>
      <c r="AM193" s="59">
        <f t="shared" si="113"/>
        <v>293.33333333333462</v>
      </c>
      <c r="AN193" s="59">
        <f ca="1">AVERAGE(OFFSET($AM$3,0,0,'Données projet'!$E$10+1,1))-AVERAGE(OFFSET($H$3,0,0,'Données projet'!$E$10+1,1))</f>
        <v>178.12968684094687</v>
      </c>
      <c r="AO193" s="59">
        <f t="shared" si="144"/>
        <v>219.36004077210373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9.1043121095167434E-2</v>
      </c>
      <c r="AW193" s="21">
        <f>EXP(-LN(2)/2)*AW192+(1-EXP(-LN(2)/2))/(LN(2)/2)*AQ193*AT193*VLOOKUP('Données projet'!$B$10,Paramètres!$A$1:$I$89,3,0)*0.475*44/12</f>
        <v>8.2035757999071821E-24</v>
      </c>
      <c r="AX193" s="21">
        <f t="shared" si="166"/>
        <v>9.1043121095167434E-2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-5.6843418860808015E-14</v>
      </c>
      <c r="BE193" s="13">
        <f>BD193*VLOOKUP('Données projet'!$B$11,Paramètres!$A$1:$I$89,3,0)*VLOOKUP('Données projet'!$B$11,Paramètres!$A$1:$I$89,5,0)</f>
        <v>-4.9658410716801891E-14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114.02623091248347</v>
      </c>
      <c r="BJ193" s="59">
        <f t="shared" si="146"/>
        <v>185.51554083721635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8.2089748711630342E-2</v>
      </c>
      <c r="BQ193" s="21">
        <f>EXP(-LN(2)/25)*BQ192+(1-EXP(-LN(2)/25))/(LN(2)/25)*Calculateur!BL193*Calculateur!BN193*VLOOKUP('Données projet'!$B$11,Paramètres!$A$1:$I$89,3,0)*0.475*44/12</f>
        <v>0.13328987120864774</v>
      </c>
      <c r="BR193" s="21">
        <f>EXP(-LN(2)/2)*BR192+(1-EXP(-LN(2)/2))/(LN(2)/2)*BL193*BO193*VLOOKUP('Données projet'!$B$11,Paramètres!$A$1:$I$89,3,0)*0.475*44/12</f>
        <v>1.4590864983963381E-23</v>
      </c>
      <c r="BS193" s="22">
        <f t="shared" si="169"/>
        <v>0.2153796199202781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-1.1368683772161603E-13</v>
      </c>
      <c r="BZ193" s="13">
        <f>BY193*VLOOKUP('Données projet'!$B$12,Paramètres!$A$1:$I$89,3,0)*VLOOKUP('Données projet'!$B$12,Paramètres!$A$1:$I$89,5,0)</f>
        <v>-1.0286385077051818E-13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237.22177246688199</v>
      </c>
      <c r="CE193" s="59">
        <f t="shared" si="148"/>
        <v>149.27472147904302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3.677907767656248E-2</v>
      </c>
      <c r="CM193" s="21">
        <f>EXP(-LN(2)/2)*CM192+(1-EXP(-LN(2)/2))/(LN(2)/2)*CG193*CJ193*VLOOKUP('Données projet'!$B$12,Paramètres!$A$1:$I$89,3,0)*0.475*44/12</f>
        <v>5.119708549529874E-24</v>
      </c>
      <c r="CN193" s="22">
        <f t="shared" si="172"/>
        <v>3.677907767656248E-2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-5.6843418860808015E-13</v>
      </c>
      <c r="CU193" s="17">
        <f>CT193*VLOOKUP('Données projet'!$B$13,Paramètres!$A$1:$I$89,3,0)*VLOOKUP('Données projet'!$B$13,Paramètres!$A$1:$I$89,5,0)</f>
        <v>-3.177547114319168E-13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326.31232746914907</v>
      </c>
      <c r="CZ193" s="59">
        <f t="shared" si="150"/>
        <v>330.17137761430297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0.19212494379317754</v>
      </c>
      <c r="DG193" s="21">
        <f>EXP(-LN(2)/25)*DG192+(1-EXP(-LN(2)/25))/(LN(2)/25)*Calculateur!DB193*Calculateur!DD193*VLOOKUP('Données projet'!$B$13,Paramètres!$A$1:$I$89,3,0)*0.475*44/12</f>
        <v>0.35729404336781889</v>
      </c>
      <c r="DH193" s="21">
        <f>EXP(-LN(2)/2)*DH192+(1-EXP(-LN(2)/2))/(LN(2)/2)*DB193*DE193*VLOOKUP('Données projet'!$B$13,Paramètres!$A$1:$I$89,3,0)*0.475*44/12</f>
        <v>2.6901640979760321E-23</v>
      </c>
      <c r="DI193" s="22">
        <f t="shared" si="175"/>
        <v>0.54941898716099646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6.2527760746888816E-13</v>
      </c>
      <c r="DP193" s="17">
        <f>DO193*VLOOKUP('Données projet'!$B$14,Paramètres!$A$1:$I$89,3,0)*VLOOKUP('Données projet'!$B$14,Paramètres!$A$1:$I$89,5,0)</f>
        <v>3.9017322706058616E-13</v>
      </c>
      <c r="DQ193" s="13">
        <f t="shared" si="176"/>
        <v>5.0025007393608908E-12</v>
      </c>
      <c r="DR193" s="20">
        <f t="shared" si="177"/>
        <v>9.3922404915174053E-12</v>
      </c>
      <c r="DS193" s="59">
        <f t="shared" si="125"/>
        <v>293.33333333334269</v>
      </c>
      <c r="DT193" s="59">
        <f ca="1">AVERAGE(OFFSET($DS$3,0,0,'Données projet'!$E$14+1,1))-AVERAGE(OFFSET($H$3,0,0,'Données projet'!$E$14+1,1))</f>
        <v>209.93608079129638</v>
      </c>
      <c r="DU193" s="59">
        <f t="shared" si="152"/>
        <v>240.15652428700969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0.2924523457316866</v>
      </c>
      <c r="EB193" s="21">
        <f>EXP(-LN(2)/25)*EB192+(1-EXP(-LN(2)/25))/(LN(2)/25)*Calculateur!DW193*Calculateur!DY193*VLOOKUP('Données projet'!$B$14,Paramètres!$A$1:$I$89,3,0)*0.475*44/12</f>
        <v>0.24616075963008674</v>
      </c>
      <c r="EC193" s="21">
        <f>EXP(-LN(2)/2)*EC192+(1-EXP(-LN(2)/2))/(LN(2)/2)*DW193*DZ193*VLOOKUP('Données projet'!$B$14,Paramètres!$A$1:$I$89,3,0)*0.475*44/12</f>
        <v>1.6701451136308228E-23</v>
      </c>
      <c r="ED193" s="22">
        <f t="shared" si="178"/>
        <v>0.53861310536177331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-4.5474735088646412E-13</v>
      </c>
      <c r="EK193" s="17">
        <f>EJ193*VLOOKUP('Données projet'!$B$15,Paramètres!$A$1:$I$89,3,0)*VLOOKUP('Données projet'!$B$15,Paramètres!$A$1:$I$89,5,0)</f>
        <v>-2.7193891583010558E-13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216.94426559495264</v>
      </c>
      <c r="EP193" s="59">
        <f t="shared" si="154"/>
        <v>225.33715877618704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</v>
      </c>
      <c r="EW193" s="21">
        <f>EXP(-LN(2)/25)*EW192+(1-EXP(-LN(2)/25))/(LN(2)/25)*Calculateur!ER193*Calculateur!ET193*VLOOKUP('Données projet'!$B$15,Paramètres!$A$1:$I$89,3,0)*0.475*44/12</f>
        <v>0.15215501275779425</v>
      </c>
      <c r="EX193" s="21">
        <f>EXP(-LN(2)/2)*EX192+(1-EXP(-LN(2)/2))/(LN(2)/2)*ER193*EU193*VLOOKUP('Données projet'!$B$15,Paramètres!$A$1:$I$89,3,0)*0.475*44/12</f>
        <v>1.9628466435916812E-23</v>
      </c>
      <c r="EY193" s="22">
        <f t="shared" si="181"/>
        <v>0.15215501275779425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>
        <f>FE193*VLOOKUP('Données projet'!$B$16,Paramètres!$A$1:$I$89,3,0)*VLOOKUP('Données projet'!$B$16,Paramètres!$A$1:$I$89,5,0)</f>
        <v>0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168.08890945052406</v>
      </c>
      <c r="FK193" s="59">
        <f t="shared" si="156"/>
        <v>182.52462557642343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0.26128398728908186</v>
      </c>
      <c r="FR193" s="21">
        <f>EXP(-LN(2)/25)*FR192+(1-EXP(-LN(2)/25))/(LN(2)/25)*Calculateur!FM193*Calculateur!FO193*VLOOKUP('Données projet'!$B$16,Paramètres!$A$1:$I$89,3,0)*0.475*44/12</f>
        <v>0.14601658210139437</v>
      </c>
      <c r="FS193" s="21">
        <f>EXP(-LN(2)/2)*FS192+(1-EXP(-LN(2)/2))/(LN(2)/2)*FM193*FP193*VLOOKUP('Données projet'!$B$16,Paramètres!$A$1:$I$89,3,0)*0.475*44/12</f>
        <v>4.5045711537620243E-24</v>
      </c>
      <c r="FT193" s="22">
        <f t="shared" si="184"/>
        <v>0.40730056939047621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-5.6843418860808015E-14</v>
      </c>
      <c r="GA193" s="17">
        <f>FZ193*VLOOKUP('Données projet'!$B$17,Paramètres!$A$1:$I$89,3,0)*VLOOKUP('Données projet'!$B$17,Paramètres!$A$1:$I$89,5,0)</f>
        <v>-3.2514435588382188E-14</v>
      </c>
      <c r="GB193" s="13" t="e">
        <f t="shared" si="185"/>
        <v>#NUM!</v>
      </c>
      <c r="GC193" s="20" t="e">
        <f t="shared" si="186"/>
        <v>#NUM!</v>
      </c>
      <c r="GD193" s="59" t="e">
        <f t="shared" si="134"/>
        <v>#NUM!</v>
      </c>
      <c r="GE193" s="59">
        <f ca="1">AVERAGE(OFFSET($GD$3,0,0,'Données projet'!$E$17+1,1))-AVERAGE(OFFSET($H$3,0,0,'Données projet'!$E$17+1,1))</f>
        <v>196.95560009657527</v>
      </c>
      <c r="GF193" s="59">
        <f t="shared" si="158"/>
        <v>168.90186968005662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0</v>
      </c>
      <c r="GM193" s="21">
        <f>EXP(-LN(2)/25)*GM192+(1-EXP(-LN(2)/25))/(LN(2)/25)*Calculateur!GH193*Calculateur!GJ193*VLOOKUP('Données projet'!$B$17,Paramètres!$A$1:$I$89,3,0)*0.475*44/12</f>
        <v>0.10930849327393945</v>
      </c>
      <c r="GN193" s="21">
        <f>EXP(-LN(2)/2)*GN192+(1-EXP(-LN(2)/2))/(LN(2)/2)*GH193*GK193*VLOOKUP('Données projet'!$B$17,Paramètres!$A$1:$I$89,3,0)*0.475*44/12</f>
        <v>1.0637193898566942E-23</v>
      </c>
      <c r="GO193" s="21">
        <f t="shared" si="187"/>
        <v>0.10930849327393945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-5.3205440053716299E-14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215.23235148064941</v>
      </c>
      <c r="T194" s="59">
        <f t="shared" si="142"/>
        <v>184.07239726900434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0.12925328814267226</v>
      </c>
      <c r="AA194" s="21">
        <f>EXP(-LN(2)/25)*AA193+(1-EXP(-LN(2)/25))/(LN(2)/25)*Calculateur!V194*Calculateur!X194*VLOOKUP('Données projet'!$B$9,Paramètres!$A$1:$I$89,3,0)*0.475*44/12</f>
        <v>9.0477103786091723E-2</v>
      </c>
      <c r="AB194" s="21">
        <f>EXP(-LN(2)/2)*AB193+(1-EXP(-LN(2)/2))/(LN(2)/2)*V194*Y194*VLOOKUP('Données projet'!$B$9,Paramètres!$A$1:$I$89,3,0)*0.475*44/12</f>
        <v>5.7508893848064243E-24</v>
      </c>
      <c r="AC194" s="22">
        <f t="shared" si="163"/>
        <v>0.21973039192876398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5.6843418860808015E-14</v>
      </c>
      <c r="AJ194" s="13">
        <f>AI194*VLOOKUP('Données projet'!$B$10,Paramètres!$A$1:$I$89,3,0)*VLOOKUP('Données projet'!$B$10,Paramètres!$A$1:$I$89,5,0)</f>
        <v>4.1677594708744434E-14</v>
      </c>
      <c r="AK194" s="13">
        <f t="shared" si="164"/>
        <v>6.9326303456159188E-13</v>
      </c>
      <c r="AL194" s="20">
        <f t="shared" si="165"/>
        <v>1.2800215959791691E-12</v>
      </c>
      <c r="AM194" s="59">
        <f t="shared" si="113"/>
        <v>293.33333333333462</v>
      </c>
      <c r="AN194" s="59">
        <f ca="1">AVERAGE(OFFSET($AM$3,0,0,'Données projet'!$E$10+1,1))-AVERAGE(OFFSET($H$3,0,0,'Données projet'!$E$10+1,1))</f>
        <v>178.12968684094687</v>
      </c>
      <c r="AO194" s="59">
        <f t="shared" si="144"/>
        <v>219.36004077210373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8.855354216107042E-2</v>
      </c>
      <c r="AW194" s="21">
        <f>EXP(-LN(2)/2)*AW193+(1-EXP(-LN(2)/2))/(LN(2)/2)*AQ194*AT194*VLOOKUP('Données projet'!$B$10,Paramètres!$A$1:$I$89,3,0)*0.475*44/12</f>
        <v>5.8008040780922245E-24</v>
      </c>
      <c r="AX194" s="21">
        <f t="shared" si="166"/>
        <v>8.855354216107042E-2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-5.6843418860808015E-14</v>
      </c>
      <c r="BE194" s="13">
        <f>BD194*VLOOKUP('Données projet'!$B$11,Paramètres!$A$1:$I$89,3,0)*VLOOKUP('Données projet'!$B$11,Paramètres!$A$1:$I$89,5,0)</f>
        <v>-4.9658410716801891E-14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114.02623091248347</v>
      </c>
      <c r="BJ194" s="59">
        <f t="shared" si="146"/>
        <v>185.51554083721635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8.0480018809198001E-2</v>
      </c>
      <c r="BQ194" s="21">
        <f>EXP(-LN(2)/25)*BQ193+(1-EXP(-LN(2)/25))/(LN(2)/25)*Calculateur!BL194*Calculateur!BN194*VLOOKUP('Données projet'!$B$11,Paramètres!$A$1:$I$89,3,0)*0.475*44/12</f>
        <v>0.12964505267103757</v>
      </c>
      <c r="BR194" s="21">
        <f>EXP(-LN(2)/2)*BR193+(1-EXP(-LN(2)/2))/(LN(2)/2)*BL194*BO194*VLOOKUP('Données projet'!$B$11,Paramètres!$A$1:$I$89,3,0)*0.475*44/12</f>
        <v>1.0317299573537853E-23</v>
      </c>
      <c r="BS194" s="22">
        <f t="shared" si="169"/>
        <v>0.21012507148023557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-1.1368683772161603E-13</v>
      </c>
      <c r="BZ194" s="13">
        <f>BY194*VLOOKUP('Données projet'!$B$12,Paramètres!$A$1:$I$89,3,0)*VLOOKUP('Données projet'!$B$12,Paramètres!$A$1:$I$89,5,0)</f>
        <v>-1.0286385077051818E-13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237.22177246688199</v>
      </c>
      <c r="CE194" s="59">
        <f t="shared" si="148"/>
        <v>149.27472147904302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3.5773351863369246E-2</v>
      </c>
      <c r="CM194" s="21">
        <f>EXP(-LN(2)/2)*CM193+(1-EXP(-LN(2)/2))/(LN(2)/2)*CG194*CJ194*VLOOKUP('Données projet'!$B$12,Paramètres!$A$1:$I$89,3,0)*0.475*44/12</f>
        <v>3.6201806330713172E-24</v>
      </c>
      <c r="CN194" s="22">
        <f t="shared" si="172"/>
        <v>3.5773351863369246E-2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-5.6843418860808015E-13</v>
      </c>
      <c r="CU194" s="17">
        <f>CT194*VLOOKUP('Données projet'!$B$13,Paramètres!$A$1:$I$89,3,0)*VLOOKUP('Données projet'!$B$13,Paramètres!$A$1:$I$89,5,0)</f>
        <v>-3.177547114319168E-13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326.31232746914907</v>
      </c>
      <c r="CZ194" s="59">
        <f t="shared" si="150"/>
        <v>330.17137761430297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0.18835749083003803</v>
      </c>
      <c r="DG194" s="21">
        <f>EXP(-LN(2)/25)*DG193+(1-EXP(-LN(2)/25))/(LN(2)/25)*Calculateur!DB194*Calculateur!DD194*VLOOKUP('Données projet'!$B$13,Paramètres!$A$1:$I$89,3,0)*0.475*44/12</f>
        <v>0.34752381896264872</v>
      </c>
      <c r="DH194" s="21">
        <f>EXP(-LN(2)/2)*DH193+(1-EXP(-LN(2)/2))/(LN(2)/2)*DB194*DE194*VLOOKUP('Données projet'!$B$13,Paramètres!$A$1:$I$89,3,0)*0.475*44/12</f>
        <v>1.9022332761834441E-23</v>
      </c>
      <c r="DI194" s="22">
        <f t="shared" si="175"/>
        <v>0.53588130979268678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6.2527760746888816E-13</v>
      </c>
      <c r="DP194" s="17">
        <f>DO194*VLOOKUP('Données projet'!$B$14,Paramètres!$A$1:$I$89,3,0)*VLOOKUP('Données projet'!$B$14,Paramètres!$A$1:$I$89,5,0)</f>
        <v>3.9017322706058616E-13</v>
      </c>
      <c r="DQ194" s="13">
        <f t="shared" si="176"/>
        <v>5.0025007393608908E-12</v>
      </c>
      <c r="DR194" s="20">
        <f t="shared" si="177"/>
        <v>9.3922404915174053E-12</v>
      </c>
      <c r="DS194" s="59">
        <f t="shared" si="125"/>
        <v>293.33333333334269</v>
      </c>
      <c r="DT194" s="59">
        <f ca="1">AVERAGE(OFFSET($DS$3,0,0,'Données projet'!$E$14+1,1))-AVERAGE(OFFSET($H$3,0,0,'Données projet'!$E$14+1,1))</f>
        <v>209.93608079129638</v>
      </c>
      <c r="DU194" s="59">
        <f t="shared" si="152"/>
        <v>240.15652428700969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0.28671753361020574</v>
      </c>
      <c r="EB194" s="21">
        <f>EXP(-LN(2)/25)*EB193+(1-EXP(-LN(2)/25))/(LN(2)/25)*Calculateur!DW194*Calculateur!DY194*VLOOKUP('Données projet'!$B$14,Paramètres!$A$1:$I$89,3,0)*0.475*44/12</f>
        <v>0.23942948071297027</v>
      </c>
      <c r="EC194" s="21">
        <f>EXP(-LN(2)/2)*EC193+(1-EXP(-LN(2)/2))/(LN(2)/2)*DW194*DZ194*VLOOKUP('Données projet'!$B$14,Paramètres!$A$1:$I$89,3,0)*0.475*44/12</f>
        <v>1.1809709354139318E-23</v>
      </c>
      <c r="ED194" s="22">
        <f t="shared" si="178"/>
        <v>0.52614701432317601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-4.5474735088646412E-13</v>
      </c>
      <c r="EK194" s="17">
        <f>EJ194*VLOOKUP('Données projet'!$B$15,Paramètres!$A$1:$I$89,3,0)*VLOOKUP('Données projet'!$B$15,Paramètres!$A$1:$I$89,5,0)</f>
        <v>-2.7193891583010558E-13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216.94426559495264</v>
      </c>
      <c r="EP194" s="59">
        <f t="shared" si="154"/>
        <v>225.33715877618704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</v>
      </c>
      <c r="EW194" s="21">
        <f>EXP(-LN(2)/25)*EW193+(1-EXP(-LN(2)/25))/(LN(2)/25)*Calculateur!ER194*Calculateur!ET194*VLOOKUP('Données projet'!$B$15,Paramètres!$A$1:$I$89,3,0)*0.475*44/12</f>
        <v>0.14799432593244799</v>
      </c>
      <c r="EX194" s="21">
        <f>EXP(-LN(2)/2)*EX193+(1-EXP(-LN(2)/2))/(LN(2)/2)*ER194*EU194*VLOOKUP('Données projet'!$B$15,Paramètres!$A$1:$I$89,3,0)*0.475*44/12</f>
        <v>1.3879421721129321E-23</v>
      </c>
      <c r="EY194" s="22">
        <f t="shared" si="181"/>
        <v>0.14799432593244799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>
        <f>FE194*VLOOKUP('Données projet'!$B$16,Paramètres!$A$1:$I$89,3,0)*VLOOKUP('Données projet'!$B$16,Paramètres!$A$1:$I$89,5,0)</f>
        <v>0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168.08890945052406</v>
      </c>
      <c r="FK194" s="59">
        <f t="shared" si="156"/>
        <v>182.52462557642343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0.25616036766583899</v>
      </c>
      <c r="FR194" s="21">
        <f>EXP(-LN(2)/25)*FR193+(1-EXP(-LN(2)/25))/(LN(2)/25)*Calculateur!FM194*Calculateur!FO194*VLOOKUP('Données projet'!$B$16,Paramètres!$A$1:$I$89,3,0)*0.475*44/12</f>
        <v>0.14202375098515341</v>
      </c>
      <c r="FS194" s="21">
        <f>EXP(-LN(2)/2)*FS193+(1-EXP(-LN(2)/2))/(LN(2)/2)*FM194*FP194*VLOOKUP('Données projet'!$B$16,Paramètres!$A$1:$I$89,3,0)*0.475*44/12</f>
        <v>3.1852128091624376E-24</v>
      </c>
      <c r="FT194" s="22">
        <f t="shared" si="184"/>
        <v>0.3981841186509924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-5.6843418860808015E-14</v>
      </c>
      <c r="GA194" s="17">
        <f>FZ194*VLOOKUP('Données projet'!$B$17,Paramètres!$A$1:$I$89,3,0)*VLOOKUP('Données projet'!$B$17,Paramètres!$A$1:$I$89,5,0)</f>
        <v>-3.2514435588382188E-14</v>
      </c>
      <c r="GB194" s="13" t="e">
        <f t="shared" si="185"/>
        <v>#NUM!</v>
      </c>
      <c r="GC194" s="20" t="e">
        <f t="shared" si="186"/>
        <v>#NUM!</v>
      </c>
      <c r="GD194" s="59" t="e">
        <f t="shared" si="134"/>
        <v>#NUM!</v>
      </c>
      <c r="GE194" s="59">
        <f ca="1">AVERAGE(OFFSET($GD$3,0,0,'Données projet'!$E$17+1,1))-AVERAGE(OFFSET($H$3,0,0,'Données projet'!$E$17+1,1))</f>
        <v>196.95560009657527</v>
      </c>
      <c r="GF194" s="59">
        <f t="shared" si="158"/>
        <v>168.90186968005662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0</v>
      </c>
      <c r="GM194" s="21">
        <f>EXP(-LN(2)/25)*GM193+(1-EXP(-LN(2)/25))/(LN(2)/25)*Calculateur!GH194*Calculateur!GJ194*VLOOKUP('Données projet'!$B$17,Paramètres!$A$1:$I$89,3,0)*0.475*44/12</f>
        <v>0.10631944677707975</v>
      </c>
      <c r="GN194" s="21">
        <f>EXP(-LN(2)/2)*GN193+(1-EXP(-LN(2)/2))/(LN(2)/2)*GH194*GK194*VLOOKUP('Données projet'!$B$17,Paramètres!$A$1:$I$89,3,0)*0.475*44/12</f>
        <v>7.521631938472853E-24</v>
      </c>
      <c r="GO194" s="21">
        <f t="shared" si="187"/>
        <v>0.10631944677707975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-5.3205440053716299E-14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215.23235148064941</v>
      </c>
      <c r="T195" s="59">
        <f t="shared" si="142"/>
        <v>184.07239726900434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0.12671870999891574</v>
      </c>
      <c r="AA195" s="21">
        <f>EXP(-LN(2)/25)*AA194+(1-EXP(-LN(2)/25))/(LN(2)/25)*Calculateur!V195*Calculateur!X195*VLOOKUP('Données projet'!$B$9,Paramètres!$A$1:$I$89,3,0)*0.475*44/12</f>
        <v>8.8003002625076945E-2</v>
      </c>
      <c r="AB195" s="21">
        <f>EXP(-LN(2)/2)*AB194+(1-EXP(-LN(2)/2))/(LN(2)/2)*V195*Y195*VLOOKUP('Données projet'!$B$9,Paramètres!$A$1:$I$89,3,0)*0.475*44/12</f>
        <v>4.0664928818503551E-24</v>
      </c>
      <c r="AC195" s="22">
        <f t="shared" si="163"/>
        <v>0.2147217126239927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5.6843418860808015E-14</v>
      </c>
      <c r="AJ195" s="13">
        <f>AI195*VLOOKUP('Données projet'!$B$10,Paramètres!$A$1:$I$89,3,0)*VLOOKUP('Données projet'!$B$10,Paramètres!$A$1:$I$89,5,0)</f>
        <v>4.1677594708744434E-14</v>
      </c>
      <c r="AK195" s="13">
        <f t="shared" si="164"/>
        <v>6.9326303456159188E-13</v>
      </c>
      <c r="AL195" s="20">
        <f t="shared" si="165"/>
        <v>1.2800215959791691E-12</v>
      </c>
      <c r="AM195" s="59">
        <f t="shared" si="113"/>
        <v>293.33333333333462</v>
      </c>
      <c r="AN195" s="59">
        <f ca="1">AVERAGE(OFFSET($AM$3,0,0,'Données projet'!$E$10+1,1))-AVERAGE(OFFSET($H$3,0,0,'Données projet'!$E$10+1,1))</f>
        <v>178.12968684094687</v>
      </c>
      <c r="AO195" s="59">
        <f t="shared" si="144"/>
        <v>219.36004077210373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8.6132040893847558E-2</v>
      </c>
      <c r="AW195" s="21">
        <f>EXP(-LN(2)/2)*AW194+(1-EXP(-LN(2)/2))/(LN(2)/2)*AQ195*AT195*VLOOKUP('Données projet'!$B$10,Paramètres!$A$1:$I$89,3,0)*0.475*44/12</f>
        <v>4.1017878999535911E-24</v>
      </c>
      <c r="AX195" s="21">
        <f t="shared" si="166"/>
        <v>8.6132040893847558E-2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-5.6843418860808015E-14</v>
      </c>
      <c r="BE195" s="13">
        <f>BD195*VLOOKUP('Données projet'!$B$11,Paramètres!$A$1:$I$89,3,0)*VLOOKUP('Données projet'!$B$11,Paramètres!$A$1:$I$89,5,0)</f>
        <v>-4.9658410716801891E-14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114.02623091248347</v>
      </c>
      <c r="BJ195" s="59">
        <f t="shared" si="146"/>
        <v>185.51554083721635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7.8901854728314069E-2</v>
      </c>
      <c r="BQ195" s="21">
        <f>EXP(-LN(2)/25)*BQ194+(1-EXP(-LN(2)/25))/(LN(2)/25)*Calculateur!BL195*Calculateur!BN195*VLOOKUP('Données projet'!$B$11,Paramètres!$A$1:$I$89,3,0)*0.475*44/12</f>
        <v>0.12609990188801104</v>
      </c>
      <c r="BR195" s="21">
        <f>EXP(-LN(2)/2)*BR194+(1-EXP(-LN(2)/2))/(LN(2)/2)*BL195*BO195*VLOOKUP('Données projet'!$B$11,Paramètres!$A$1:$I$89,3,0)*0.475*44/12</f>
        <v>7.2954324919816903E-24</v>
      </c>
      <c r="BS195" s="22">
        <f t="shared" si="169"/>
        <v>0.20500175661632511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-1.1368683772161603E-13</v>
      </c>
      <c r="BZ195" s="13">
        <f>BY195*VLOOKUP('Données projet'!$B$12,Paramètres!$A$1:$I$89,3,0)*VLOOKUP('Données projet'!$B$12,Paramètres!$A$1:$I$89,5,0)</f>
        <v>-1.0286385077051818E-13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237.22177246688199</v>
      </c>
      <c r="CE195" s="59">
        <f t="shared" si="148"/>
        <v>149.27472147904302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3.4795127675426599E-2</v>
      </c>
      <c r="CM195" s="21">
        <f>EXP(-LN(2)/2)*CM194+(1-EXP(-LN(2)/2))/(LN(2)/2)*CG195*CJ195*VLOOKUP('Données projet'!$B$12,Paramètres!$A$1:$I$89,3,0)*0.475*44/12</f>
        <v>2.559854274764937E-24</v>
      </c>
      <c r="CN195" s="22">
        <f t="shared" si="172"/>
        <v>3.4795127675426599E-2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-5.6843418860808015E-13</v>
      </c>
      <c r="CU195" s="17">
        <f>CT195*VLOOKUP('Données projet'!$B$13,Paramètres!$A$1:$I$89,3,0)*VLOOKUP('Données projet'!$B$13,Paramètres!$A$1:$I$89,5,0)</f>
        <v>-3.177547114319168E-13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326.31232746914907</v>
      </c>
      <c r="CZ195" s="59">
        <f t="shared" si="150"/>
        <v>330.17137761430297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0.18466391532158627</v>
      </c>
      <c r="DG195" s="21">
        <f>EXP(-LN(2)/25)*DG194+(1-EXP(-LN(2)/25))/(LN(2)/25)*Calculateur!DB195*Calculateur!DD195*VLOOKUP('Données projet'!$B$13,Paramètres!$A$1:$I$89,3,0)*0.475*44/12</f>
        <v>0.33802076185763175</v>
      </c>
      <c r="DH195" s="21">
        <f>EXP(-LN(2)/2)*DH194+(1-EXP(-LN(2)/2))/(LN(2)/2)*DB195*DE195*VLOOKUP('Données projet'!$B$13,Paramètres!$A$1:$I$89,3,0)*0.475*44/12</f>
        <v>1.345082048988016E-23</v>
      </c>
      <c r="DI195" s="22">
        <f t="shared" si="175"/>
        <v>0.52268467717921796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6.2527760746888816E-13</v>
      </c>
      <c r="DP195" s="17">
        <f>DO195*VLOOKUP('Données projet'!$B$14,Paramètres!$A$1:$I$89,3,0)*VLOOKUP('Données projet'!$B$14,Paramètres!$A$1:$I$89,5,0)</f>
        <v>3.9017322706058616E-13</v>
      </c>
      <c r="DQ195" s="13">
        <f t="shared" si="176"/>
        <v>5.0025007393608908E-12</v>
      </c>
      <c r="DR195" s="20">
        <f t="shared" si="177"/>
        <v>9.3922404915174053E-12</v>
      </c>
      <c r="DS195" s="59">
        <f t="shared" si="125"/>
        <v>293.33333333334269</v>
      </c>
      <c r="DT195" s="59">
        <f ca="1">AVERAGE(OFFSET($DS$3,0,0,'Données projet'!$E$14+1,1))-AVERAGE(OFFSET($H$3,0,0,'Données projet'!$E$14+1,1))</f>
        <v>209.93608079129638</v>
      </c>
      <c r="DU195" s="59">
        <f t="shared" si="152"/>
        <v>240.15652428700969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0.28109517765653708</v>
      </c>
      <c r="EB195" s="21">
        <f>EXP(-LN(2)/25)*EB194+(1-EXP(-LN(2)/25))/(LN(2)/25)*Calculateur!DW195*Calculateur!DY195*VLOOKUP('Données projet'!$B$14,Paramètres!$A$1:$I$89,3,0)*0.475*44/12</f>
        <v>0.23288226897182493</v>
      </c>
      <c r="EC195" s="21">
        <f>EXP(-LN(2)/2)*EC194+(1-EXP(-LN(2)/2))/(LN(2)/2)*DW195*DZ195*VLOOKUP('Données projet'!$B$14,Paramètres!$A$1:$I$89,3,0)*0.475*44/12</f>
        <v>8.3507255681541139E-24</v>
      </c>
      <c r="ED195" s="22">
        <f t="shared" si="178"/>
        <v>0.51397744662836198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-4.5474735088646412E-13</v>
      </c>
      <c r="EK195" s="17">
        <f>EJ195*VLOOKUP('Données projet'!$B$15,Paramètres!$A$1:$I$89,3,0)*VLOOKUP('Données projet'!$B$15,Paramètres!$A$1:$I$89,5,0)</f>
        <v>-2.7193891583010558E-13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216.94426559495264</v>
      </c>
      <c r="EP195" s="59">
        <f t="shared" si="154"/>
        <v>225.33715877618704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</v>
      </c>
      <c r="EW195" s="21">
        <f>EXP(-LN(2)/25)*EW194+(1-EXP(-LN(2)/25))/(LN(2)/25)*Calculateur!ER195*Calculateur!ET195*VLOOKUP('Données projet'!$B$15,Paramètres!$A$1:$I$89,3,0)*0.475*44/12</f>
        <v>0.14394741330714184</v>
      </c>
      <c r="EX195" s="21">
        <f>EXP(-LN(2)/2)*EX194+(1-EXP(-LN(2)/2))/(LN(2)/2)*ER195*EU195*VLOOKUP('Données projet'!$B$15,Paramètres!$A$1:$I$89,3,0)*0.475*44/12</f>
        <v>9.8142332179584062E-24</v>
      </c>
      <c r="EY195" s="22">
        <f t="shared" si="181"/>
        <v>0.14394741330714184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>
        <f>FE195*VLOOKUP('Données projet'!$B$16,Paramètres!$A$1:$I$89,3,0)*VLOOKUP('Données projet'!$B$16,Paramètres!$A$1:$I$89,5,0)</f>
        <v>0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168.08890945052406</v>
      </c>
      <c r="FK195" s="59">
        <f t="shared" si="156"/>
        <v>182.52462557642343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0.2511372190983085</v>
      </c>
      <c r="FR195" s="21">
        <f>EXP(-LN(2)/25)*FR194+(1-EXP(-LN(2)/25))/(LN(2)/25)*Calculateur!FM195*Calculateur!FO195*VLOOKUP('Données projet'!$B$16,Paramètres!$A$1:$I$89,3,0)*0.475*44/12</f>
        <v>0.13814010404575991</v>
      </c>
      <c r="FS195" s="21">
        <f>EXP(-LN(2)/2)*FS194+(1-EXP(-LN(2)/2))/(LN(2)/2)*FM195*FP195*VLOOKUP('Données projet'!$B$16,Paramètres!$A$1:$I$89,3,0)*0.475*44/12</f>
        <v>2.2522855768810121E-24</v>
      </c>
      <c r="FT195" s="22">
        <f t="shared" si="184"/>
        <v>0.38927732314406838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-5.6843418860808015E-14</v>
      </c>
      <c r="GA195" s="17">
        <f>FZ195*VLOOKUP('Données projet'!$B$17,Paramètres!$A$1:$I$89,3,0)*VLOOKUP('Données projet'!$B$17,Paramètres!$A$1:$I$89,5,0)</f>
        <v>-3.2514435588382188E-14</v>
      </c>
      <c r="GB195" s="13" t="e">
        <f t="shared" si="185"/>
        <v>#NUM!</v>
      </c>
      <c r="GC195" s="20" t="e">
        <f t="shared" si="186"/>
        <v>#NUM!</v>
      </c>
      <c r="GD195" s="59" t="e">
        <f t="shared" si="134"/>
        <v>#NUM!</v>
      </c>
      <c r="GE195" s="59">
        <f ca="1">AVERAGE(OFFSET($GD$3,0,0,'Données projet'!$E$17+1,1))-AVERAGE(OFFSET($H$3,0,0,'Données projet'!$E$17+1,1))</f>
        <v>196.95560009657527</v>
      </c>
      <c r="GF195" s="59">
        <f t="shared" si="158"/>
        <v>168.90186968005662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0</v>
      </c>
      <c r="GM195" s="21">
        <f>EXP(-LN(2)/25)*GM194+(1-EXP(-LN(2)/25))/(LN(2)/25)*Calculateur!GH195*Calculateur!GJ195*VLOOKUP('Données projet'!$B$17,Paramètres!$A$1:$I$89,3,0)*0.475*44/12</f>
        <v>0.10341213591386379</v>
      </c>
      <c r="GN195" s="21">
        <f>EXP(-LN(2)/2)*GN194+(1-EXP(-LN(2)/2))/(LN(2)/2)*GH195*GK195*VLOOKUP('Données projet'!$B$17,Paramètres!$A$1:$I$89,3,0)*0.475*44/12</f>
        <v>5.3185969492834709E-24</v>
      </c>
      <c r="GO195" s="21">
        <f t="shared" si="187"/>
        <v>0.10341213591386379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-5.3205440053716299E-14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215.23235148064941</v>
      </c>
      <c r="T196" s="59">
        <f t="shared" si="142"/>
        <v>184.07239726900434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0.12423383338661827</v>
      </c>
      <c r="AA196" s="21">
        <f>EXP(-LN(2)/25)*AA195+(1-EXP(-LN(2)/25))/(LN(2)/25)*Calculateur!V196*Calculateur!X196*VLOOKUP('Données projet'!$B$9,Paramètres!$A$1:$I$89,3,0)*0.475*44/12</f>
        <v>8.5596555890417439E-2</v>
      </c>
      <c r="AB196" s="21">
        <f>EXP(-LN(2)/2)*AB195+(1-EXP(-LN(2)/2))/(LN(2)/2)*V196*Y196*VLOOKUP('Données projet'!$B$9,Paramètres!$A$1:$I$89,3,0)*0.475*44/12</f>
        <v>2.8754446924032122E-24</v>
      </c>
      <c r="AC196" s="22">
        <f t="shared" si="163"/>
        <v>0.20983038927703571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5.6843418860808015E-14</v>
      </c>
      <c r="AJ196" s="13">
        <f>AI196*VLOOKUP('Données projet'!$B$10,Paramètres!$A$1:$I$89,3,0)*VLOOKUP('Données projet'!$B$10,Paramètres!$A$1:$I$89,5,0)</f>
        <v>4.1677594708744434E-14</v>
      </c>
      <c r="AK196" s="13">
        <f t="shared" si="164"/>
        <v>6.9326303456159188E-13</v>
      </c>
      <c r="AL196" s="20">
        <f t="shared" si="165"/>
        <v>1.2800215959791691E-12</v>
      </c>
      <c r="AM196" s="59">
        <f t="shared" ref="AM196:AM203" si="193">AL196+(AD196+AE196)*44/12</f>
        <v>293.33333333333462</v>
      </c>
      <c r="AN196" s="59">
        <f ca="1">AVERAGE(OFFSET($AM$3,0,0,'Données projet'!$E$10+1,1))-AVERAGE(OFFSET($H$3,0,0,'Données projet'!$E$10+1,1))</f>
        <v>178.12968684094687</v>
      </c>
      <c r="AO196" s="59">
        <f t="shared" si="144"/>
        <v>219.36004077210373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8.3776755706118131E-2</v>
      </c>
      <c r="AW196" s="21">
        <f>EXP(-LN(2)/2)*AW195+(1-EXP(-LN(2)/2))/(LN(2)/2)*AQ196*AT196*VLOOKUP('Données projet'!$B$10,Paramètres!$A$1:$I$89,3,0)*0.475*44/12</f>
        <v>2.9004020390461122E-24</v>
      </c>
      <c r="AX196" s="21">
        <f t="shared" si="166"/>
        <v>8.3776755706118131E-2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-5.6843418860808015E-14</v>
      </c>
      <c r="BE196" s="13">
        <f>BD196*VLOOKUP('Données projet'!$B$11,Paramètres!$A$1:$I$89,3,0)*VLOOKUP('Données projet'!$B$11,Paramètres!$A$1:$I$89,5,0)</f>
        <v>-4.9658410716801891E-14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114.02623091248347</v>
      </c>
      <c r="BJ196" s="59">
        <f t="shared" si="146"/>
        <v>185.51554083721635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7.7354637482471234E-2</v>
      </c>
      <c r="BQ196" s="21">
        <f>EXP(-LN(2)/25)*BQ195+(1-EXP(-LN(2)/25))/(LN(2)/25)*Calculateur!BL196*Calculateur!BN196*VLOOKUP('Données projet'!$B$11,Paramètres!$A$1:$I$89,3,0)*0.475*44/12</f>
        <v>0.12265169343957774</v>
      </c>
      <c r="BR196" s="21">
        <f>EXP(-LN(2)/2)*BR195+(1-EXP(-LN(2)/2))/(LN(2)/2)*BL196*BO196*VLOOKUP('Données projet'!$B$11,Paramètres!$A$1:$I$89,3,0)*0.475*44/12</f>
        <v>5.1586497867689263E-24</v>
      </c>
      <c r="BS196" s="22">
        <f t="shared" si="169"/>
        <v>0.20000633092204897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-1.1368683772161603E-13</v>
      </c>
      <c r="BZ196" s="13">
        <f>BY196*VLOOKUP('Données projet'!$B$12,Paramètres!$A$1:$I$89,3,0)*VLOOKUP('Données projet'!$B$12,Paramètres!$A$1:$I$89,5,0)</f>
        <v>-1.0286385077051818E-13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237.22177246688199</v>
      </c>
      <c r="CE196" s="59">
        <f t="shared" si="148"/>
        <v>149.27472147904302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3.3843653079345816E-2</v>
      </c>
      <c r="CM196" s="21">
        <f>EXP(-LN(2)/2)*CM195+(1-EXP(-LN(2)/2))/(LN(2)/2)*CG196*CJ196*VLOOKUP('Données projet'!$B$12,Paramètres!$A$1:$I$89,3,0)*0.475*44/12</f>
        <v>1.8100903165356586E-24</v>
      </c>
      <c r="CN196" s="22">
        <f t="shared" si="172"/>
        <v>3.3843653079345816E-2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-5.6843418860808015E-13</v>
      </c>
      <c r="CU196" s="17">
        <f>CT196*VLOOKUP('Données projet'!$B$13,Paramètres!$A$1:$I$89,3,0)*VLOOKUP('Données projet'!$B$13,Paramètres!$A$1:$I$89,5,0)</f>
        <v>-3.177547114319168E-13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326.31232746914907</v>
      </c>
      <c r="CZ196" s="59">
        <f t="shared" si="150"/>
        <v>330.17137761430297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0.18104276857599663</v>
      </c>
      <c r="DG196" s="21">
        <f>EXP(-LN(2)/25)*DG195+(1-EXP(-LN(2)/25))/(LN(2)/25)*Calculateur!DB196*Calculateur!DD196*VLOOKUP('Données projet'!$B$13,Paramètres!$A$1:$I$89,3,0)*0.475*44/12</f>
        <v>0.32877756634889549</v>
      </c>
      <c r="DH196" s="21">
        <f>EXP(-LN(2)/2)*DH195+(1-EXP(-LN(2)/2))/(LN(2)/2)*DB196*DE196*VLOOKUP('Données projet'!$B$13,Paramètres!$A$1:$I$89,3,0)*0.475*44/12</f>
        <v>9.5111663809172205E-24</v>
      </c>
      <c r="DI196" s="22">
        <f t="shared" si="175"/>
        <v>0.50982033492489209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6.2527760746888816E-13</v>
      </c>
      <c r="DP196" s="17">
        <f>DO196*VLOOKUP('Données projet'!$B$14,Paramètres!$A$1:$I$89,3,0)*VLOOKUP('Données projet'!$B$14,Paramètres!$A$1:$I$89,5,0)</f>
        <v>3.9017322706058616E-13</v>
      </c>
      <c r="DQ196" s="13">
        <f t="shared" si="176"/>
        <v>5.0025007393608908E-12</v>
      </c>
      <c r="DR196" s="20">
        <f t="shared" si="177"/>
        <v>9.3922404915174053E-12</v>
      </c>
      <c r="DS196" s="59">
        <f t="shared" ref="DS196:DS203" si="197">DR196+(DJ196+DK196)*44/12</f>
        <v>293.33333333334269</v>
      </c>
      <c r="DT196" s="59">
        <f ca="1">AVERAGE(OFFSET($DS$3,0,0,'Données projet'!$E$14+1,1))-AVERAGE(OFFSET($H$3,0,0,'Données projet'!$E$14+1,1))</f>
        <v>209.93608079129638</v>
      </c>
      <c r="DU196" s="59">
        <f t="shared" si="152"/>
        <v>240.15652428700969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0.27558307267382137</v>
      </c>
      <c r="EB196" s="21">
        <f>EXP(-LN(2)/25)*EB195+(1-EXP(-LN(2)/25))/(LN(2)/25)*Calculateur!DW196*Calculateur!DY196*VLOOKUP('Données projet'!$B$14,Paramètres!$A$1:$I$89,3,0)*0.475*44/12</f>
        <v>0.22651409108004411</v>
      </c>
      <c r="EC196" s="21">
        <f>EXP(-LN(2)/2)*EC195+(1-EXP(-LN(2)/2))/(LN(2)/2)*DW196*DZ196*VLOOKUP('Données projet'!$B$14,Paramètres!$A$1:$I$89,3,0)*0.475*44/12</f>
        <v>5.9048546770696588E-24</v>
      </c>
      <c r="ED196" s="22">
        <f t="shared" si="178"/>
        <v>0.50209716375386548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-4.5474735088646412E-13</v>
      </c>
      <c r="EK196" s="17">
        <f>EJ196*VLOOKUP('Données projet'!$B$15,Paramètres!$A$1:$I$89,3,0)*VLOOKUP('Données projet'!$B$15,Paramètres!$A$1:$I$89,5,0)</f>
        <v>-2.7193891583010558E-13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216.94426559495264</v>
      </c>
      <c r="EP196" s="59">
        <f t="shared" si="154"/>
        <v>225.33715877618704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</v>
      </c>
      <c r="EW196" s="21">
        <f>EXP(-LN(2)/25)*EW195+(1-EXP(-LN(2)/25))/(LN(2)/25)*Calculateur!ER196*Calculateur!ET196*VLOOKUP('Données projet'!$B$15,Paramètres!$A$1:$I$89,3,0)*0.475*44/12</f>
        <v>0.14001116372039257</v>
      </c>
      <c r="EX196" s="21">
        <f>EXP(-LN(2)/2)*EX195+(1-EXP(-LN(2)/2))/(LN(2)/2)*ER196*EU196*VLOOKUP('Données projet'!$B$15,Paramètres!$A$1:$I$89,3,0)*0.475*44/12</f>
        <v>6.9397108605646607E-24</v>
      </c>
      <c r="EY196" s="22">
        <f t="shared" si="181"/>
        <v>0.14001116372039257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>
        <f>FE196*VLOOKUP('Données projet'!$B$16,Paramètres!$A$1:$I$89,3,0)*VLOOKUP('Données projet'!$B$16,Paramètres!$A$1:$I$89,5,0)</f>
        <v>0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168.08890945052406</v>
      </c>
      <c r="FK196" s="59">
        <f t="shared" si="156"/>
        <v>182.52462557642343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0.24621257141036917</v>
      </c>
      <c r="FR196" s="21">
        <f>EXP(-LN(2)/25)*FR195+(1-EXP(-LN(2)/25))/(LN(2)/25)*Calculateur!FM196*Calculateur!FO196*VLOOKUP('Données projet'!$B$16,Paramètres!$A$1:$I$89,3,0)*0.475*44/12</f>
        <v>0.13436265563615626</v>
      </c>
      <c r="FS196" s="21">
        <f>EXP(-LN(2)/2)*FS195+(1-EXP(-LN(2)/2))/(LN(2)/2)*FM196*FP196*VLOOKUP('Données projet'!$B$16,Paramètres!$A$1:$I$89,3,0)*0.475*44/12</f>
        <v>1.5926064045812188E-24</v>
      </c>
      <c r="FT196" s="22">
        <f t="shared" si="184"/>
        <v>0.38057522704652547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-5.6843418860808015E-14</v>
      </c>
      <c r="GA196" s="17">
        <f>FZ196*VLOOKUP('Données projet'!$B$17,Paramètres!$A$1:$I$89,3,0)*VLOOKUP('Données projet'!$B$17,Paramètres!$A$1:$I$89,5,0)</f>
        <v>-3.2514435588382188E-14</v>
      </c>
      <c r="GB196" s="13" t="e">
        <f t="shared" si="185"/>
        <v>#NUM!</v>
      </c>
      <c r="GC196" s="20" t="e">
        <f t="shared" si="186"/>
        <v>#NUM!</v>
      </c>
      <c r="GD196" s="59" t="e">
        <f t="shared" ref="GD196:GD203" si="200">GC196+(FU196+FV196)*44/12</f>
        <v>#NUM!</v>
      </c>
      <c r="GE196" s="59">
        <f ca="1">AVERAGE(OFFSET($GD$3,0,0,'Données projet'!$E$17+1,1))-AVERAGE(OFFSET($H$3,0,0,'Données projet'!$E$17+1,1))</f>
        <v>196.95560009657527</v>
      </c>
      <c r="GF196" s="59">
        <f t="shared" si="158"/>
        <v>168.90186968005662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0</v>
      </c>
      <c r="GM196" s="21">
        <f>EXP(-LN(2)/25)*GM195+(1-EXP(-LN(2)/25))/(LN(2)/25)*Calculateur!GH196*Calculateur!GJ196*VLOOKUP('Données projet'!$B$17,Paramètres!$A$1:$I$89,3,0)*0.475*44/12</f>
        <v>0.10058432561909131</v>
      </c>
      <c r="GN196" s="21">
        <f>EXP(-LN(2)/2)*GN195+(1-EXP(-LN(2)/2))/(LN(2)/2)*GH196*GK196*VLOOKUP('Données projet'!$B$17,Paramètres!$A$1:$I$89,3,0)*0.475*44/12</f>
        <v>3.7608159692364265E-24</v>
      </c>
      <c r="GO196" s="21">
        <f t="shared" si="187"/>
        <v>0.10058432561909131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-5.3205440053716299E-14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215.23235148064941</v>
      </c>
      <c r="T197" s="59">
        <f t="shared" ref="T197:T203" si="204">$T$3</f>
        <v>184.07239726900434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0.12179768368906288</v>
      </c>
      <c r="AA197" s="21">
        <f>EXP(-LN(2)/25)*AA196+(1-EXP(-LN(2)/25))/(LN(2)/25)*Calculateur!V197*Calculateur!X197*VLOOKUP('Données projet'!$B$9,Paramètres!$A$1:$I$89,3,0)*0.475*44/12</f>
        <v>8.325591356826674E-2</v>
      </c>
      <c r="AB197" s="21">
        <f>EXP(-LN(2)/2)*AB196+(1-EXP(-LN(2)/2))/(LN(2)/2)*V197*Y197*VLOOKUP('Données projet'!$B$9,Paramètres!$A$1:$I$89,3,0)*0.475*44/12</f>
        <v>2.0332464409251776E-24</v>
      </c>
      <c r="AC197" s="22">
        <f t="shared" si="163"/>
        <v>0.20505359725732963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5.6843418860808015E-14</v>
      </c>
      <c r="AJ197" s="13">
        <f>AI197*VLOOKUP('Données projet'!$B$10,Paramètres!$A$1:$I$89,3,0)*VLOOKUP('Données projet'!$B$10,Paramètres!$A$1:$I$89,5,0)</f>
        <v>4.1677594708744434E-14</v>
      </c>
      <c r="AK197" s="13">
        <f t="shared" si="164"/>
        <v>6.9326303456159188E-13</v>
      </c>
      <c r="AL197" s="20">
        <f t="shared" si="165"/>
        <v>1.2800215959791691E-12</v>
      </c>
      <c r="AM197" s="59">
        <f t="shared" si="193"/>
        <v>293.33333333333462</v>
      </c>
      <c r="AN197" s="59">
        <f ca="1">AVERAGE(OFFSET($AM$3,0,0,'Données projet'!$E$10+1,1))-AVERAGE(OFFSET($H$3,0,0,'Données projet'!$E$10+1,1))</f>
        <v>178.12968684094687</v>
      </c>
      <c r="AO197" s="59">
        <f t="shared" ref="AO197:AO203" si="205">$AO$3</f>
        <v>219.36004077210373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8.1485875915706218E-2</v>
      </c>
      <c r="AW197" s="21">
        <f>EXP(-LN(2)/2)*AW196+(1-EXP(-LN(2)/2))/(LN(2)/2)*AQ197*AT197*VLOOKUP('Données projet'!$B$10,Paramètres!$A$1:$I$89,3,0)*0.475*44/12</f>
        <v>2.0508939499767955E-24</v>
      </c>
      <c r="AX197" s="21">
        <f t="shared" si="166"/>
        <v>8.1485875915706218E-2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-5.6843418860808015E-14</v>
      </c>
      <c r="BE197" s="13">
        <f>BD197*VLOOKUP('Données projet'!$B$11,Paramètres!$A$1:$I$89,3,0)*VLOOKUP('Données projet'!$B$11,Paramètres!$A$1:$I$89,5,0)</f>
        <v>-4.9658410716801891E-14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114.02623091248347</v>
      </c>
      <c r="BJ197" s="59">
        <f t="shared" ref="BJ197:BJ203" si="206">$BJ$3</f>
        <v>185.51554083721635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7.5837760223110035E-2</v>
      </c>
      <c r="BQ197" s="21">
        <f>EXP(-LN(2)/25)*BQ196+(1-EXP(-LN(2)/25))/(LN(2)/25)*Calculateur!BL197*Calculateur!BN197*VLOOKUP('Données projet'!$B$11,Paramètres!$A$1:$I$89,3,0)*0.475*44/12</f>
        <v>0.11929777643250025</v>
      </c>
      <c r="BR197" s="21">
        <f>EXP(-LN(2)/2)*BR196+(1-EXP(-LN(2)/2))/(LN(2)/2)*BL197*BO197*VLOOKUP('Données projet'!$B$11,Paramètres!$A$1:$I$89,3,0)*0.475*44/12</f>
        <v>3.6477162459908452E-24</v>
      </c>
      <c r="BS197" s="22">
        <f t="shared" si="169"/>
        <v>0.19513553665561029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-1.1368683772161603E-13</v>
      </c>
      <c r="BZ197" s="13">
        <f>BY197*VLOOKUP('Données projet'!$B$12,Paramètres!$A$1:$I$89,3,0)*VLOOKUP('Données projet'!$B$12,Paramètres!$A$1:$I$89,5,0)</f>
        <v>-1.0286385077051818E-13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237.22177246688199</v>
      </c>
      <c r="CE197" s="59">
        <f t="shared" ref="CE197:CE203" si="207">$CE$3</f>
        <v>149.27472147904302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3.291819660613074E-2</v>
      </c>
      <c r="CM197" s="21">
        <f>EXP(-LN(2)/2)*CM196+(1-EXP(-LN(2)/2))/(LN(2)/2)*CG197*CJ197*VLOOKUP('Données projet'!$B$12,Paramètres!$A$1:$I$89,3,0)*0.475*44/12</f>
        <v>1.2799271373824685E-24</v>
      </c>
      <c r="CN197" s="22">
        <f t="shared" si="172"/>
        <v>3.291819660613074E-2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-5.6843418860808015E-13</v>
      </c>
      <c r="CU197" s="17">
        <f>CT197*VLOOKUP('Données projet'!$B$13,Paramètres!$A$1:$I$89,3,0)*VLOOKUP('Données projet'!$B$13,Paramètres!$A$1:$I$89,5,0)</f>
        <v>-3.177547114319168E-13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326.31232746914907</v>
      </c>
      <c r="CZ197" s="59">
        <f t="shared" ref="CZ197:CZ203" si="208">$CZ$3</f>
        <v>330.17137761430297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0.1774926303094066</v>
      </c>
      <c r="DG197" s="21">
        <f>EXP(-LN(2)/25)*DG196+(1-EXP(-LN(2)/25))/(LN(2)/25)*Calculateur!DB197*Calculateur!DD197*VLOOKUP('Données projet'!$B$13,Paramètres!$A$1:$I$89,3,0)*0.475*44/12</f>
        <v>0.31978712650742414</v>
      </c>
      <c r="DH197" s="21">
        <f>EXP(-LN(2)/2)*DH196+(1-EXP(-LN(2)/2))/(LN(2)/2)*DB197*DE197*VLOOKUP('Données projet'!$B$13,Paramètres!$A$1:$I$89,3,0)*0.475*44/12</f>
        <v>6.7254102449400802E-24</v>
      </c>
      <c r="DI197" s="22">
        <f t="shared" si="175"/>
        <v>0.49727975681683073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6.2527760746888816E-13</v>
      </c>
      <c r="DP197" s="17">
        <f>DO197*VLOOKUP('Données projet'!$B$14,Paramètres!$A$1:$I$89,3,0)*VLOOKUP('Données projet'!$B$14,Paramètres!$A$1:$I$89,5,0)</f>
        <v>3.9017322706058616E-13</v>
      </c>
      <c r="DQ197" s="13">
        <f t="shared" si="176"/>
        <v>5.0025007393608908E-12</v>
      </c>
      <c r="DR197" s="20">
        <f t="shared" si="177"/>
        <v>9.3922404915174053E-12</v>
      </c>
      <c r="DS197" s="59">
        <f t="shared" si="197"/>
        <v>293.33333333334269</v>
      </c>
      <c r="DT197" s="59">
        <f ca="1">AVERAGE(OFFSET($DS$3,0,0,'Données projet'!$E$14+1,1))-AVERAGE(OFFSET($H$3,0,0,'Données projet'!$E$14+1,1))</f>
        <v>209.93608079129638</v>
      </c>
      <c r="DU197" s="59">
        <f t="shared" ref="DU197:DU203" si="209">$DU$3</f>
        <v>240.15652428700969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0.27017905670776465</v>
      </c>
      <c r="EB197" s="21">
        <f>EXP(-LN(2)/25)*EB196+(1-EXP(-LN(2)/25))/(LN(2)/25)*Calculateur!DW197*Calculateur!DY197*VLOOKUP('Données projet'!$B$14,Paramètres!$A$1:$I$89,3,0)*0.475*44/12</f>
        <v>0.22032005134760196</v>
      </c>
      <c r="EC197" s="21">
        <f>EXP(-LN(2)/2)*EC196+(1-EXP(-LN(2)/2))/(LN(2)/2)*DW197*DZ197*VLOOKUP('Données projet'!$B$14,Paramètres!$A$1:$I$89,3,0)*0.475*44/12</f>
        <v>4.1753627840770569E-24</v>
      </c>
      <c r="ED197" s="22">
        <f t="shared" si="178"/>
        <v>0.49049910805536662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-4.5474735088646412E-13</v>
      </c>
      <c r="EK197" s="17">
        <f>EJ197*VLOOKUP('Données projet'!$B$15,Paramètres!$A$1:$I$89,3,0)*VLOOKUP('Données projet'!$B$15,Paramètres!$A$1:$I$89,5,0)</f>
        <v>-2.7193891583010558E-13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216.94426559495264</v>
      </c>
      <c r="EP197" s="59">
        <f t="shared" ref="EP197:EP203" si="210">$EP$3</f>
        <v>225.33715877618704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</v>
      </c>
      <c r="EW197" s="21">
        <f>EXP(-LN(2)/25)*EW196+(1-EXP(-LN(2)/25))/(LN(2)/25)*Calculateur!ER197*Calculateur!ET197*VLOOKUP('Données projet'!$B$15,Paramètres!$A$1:$I$89,3,0)*0.475*44/12</f>
        <v>0.13618255108559132</v>
      </c>
      <c r="EX197" s="21">
        <f>EXP(-LN(2)/2)*EX196+(1-EXP(-LN(2)/2))/(LN(2)/2)*ER197*EU197*VLOOKUP('Données projet'!$B$15,Paramètres!$A$1:$I$89,3,0)*0.475*44/12</f>
        <v>4.9071166089792031E-24</v>
      </c>
      <c r="EY197" s="22">
        <f t="shared" si="181"/>
        <v>0.13618255108559132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>
        <f>FE197*VLOOKUP('Données projet'!$B$16,Paramètres!$A$1:$I$89,3,0)*VLOOKUP('Données projet'!$B$16,Paramètres!$A$1:$I$89,5,0)</f>
        <v>0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168.08890945052406</v>
      </c>
      <c r="FK197" s="59">
        <f t="shared" ref="FK197:FK203" si="211">$FK$3</f>
        <v>182.52462557642343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0.24138449305985185</v>
      </c>
      <c r="FR197" s="21">
        <f>EXP(-LN(2)/25)*FR196+(1-EXP(-LN(2)/25))/(LN(2)/25)*Calculateur!FM197*Calculateur!FO197*VLOOKUP('Données projet'!$B$16,Paramètres!$A$1:$I$89,3,0)*0.475*44/12</f>
        <v>0.13068850175196059</v>
      </c>
      <c r="FS197" s="21">
        <f>EXP(-LN(2)/2)*FS196+(1-EXP(-LN(2)/2))/(LN(2)/2)*FM197*FP197*VLOOKUP('Données projet'!$B$16,Paramètres!$A$1:$I$89,3,0)*0.475*44/12</f>
        <v>1.1261427884405061E-24</v>
      </c>
      <c r="FT197" s="22">
        <f t="shared" si="184"/>
        <v>0.37207299481181244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-5.6843418860808015E-14</v>
      </c>
      <c r="GA197" s="17">
        <f>FZ197*VLOOKUP('Données projet'!$B$17,Paramètres!$A$1:$I$89,3,0)*VLOOKUP('Données projet'!$B$17,Paramètres!$A$1:$I$89,5,0)</f>
        <v>-3.2514435588382188E-14</v>
      </c>
      <c r="GB197" s="13" t="e">
        <f t="shared" si="185"/>
        <v>#NUM!</v>
      </c>
      <c r="GC197" s="20" t="e">
        <f t="shared" si="186"/>
        <v>#NUM!</v>
      </c>
      <c r="GD197" s="59" t="e">
        <f t="shared" si="200"/>
        <v>#NUM!</v>
      </c>
      <c r="GE197" s="59">
        <f ca="1">AVERAGE(OFFSET($GD$3,0,0,'Données projet'!$E$17+1,1))-AVERAGE(OFFSET($H$3,0,0,'Données projet'!$E$17+1,1))</f>
        <v>196.95560009657527</v>
      </c>
      <c r="GF197" s="59">
        <f t="shared" ref="GF197:GF203" si="212">$GF$3</f>
        <v>168.90186968005662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0</v>
      </c>
      <c r="GM197" s="21">
        <f>EXP(-LN(2)/25)*GM196+(1-EXP(-LN(2)/25))/(LN(2)/25)*Calculateur!GH197*Calculateur!GJ197*VLOOKUP('Données projet'!$B$17,Paramètres!$A$1:$I$89,3,0)*0.475*44/12</f>
        <v>9.7833841945537459E-2</v>
      </c>
      <c r="GN197" s="21">
        <f>EXP(-LN(2)/2)*GN196+(1-EXP(-LN(2)/2))/(LN(2)/2)*GH197*GK197*VLOOKUP('Données projet'!$B$17,Paramètres!$A$1:$I$89,3,0)*0.475*44/12</f>
        <v>2.6592984746417355E-24</v>
      </c>
      <c r="GO197" s="21">
        <f t="shared" si="187"/>
        <v>9.7833841945537459E-2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-5.3205440053716299E-14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215.23235148064941</v>
      </c>
      <c r="T198" s="59">
        <f t="shared" si="204"/>
        <v>184.07239726900434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0.11940930540117195</v>
      </c>
      <c r="AA198" s="21">
        <f>EXP(-LN(2)/25)*AA197+(1-EXP(-LN(2)/25))/(LN(2)/25)*Calculateur!V198*Calculateur!X198*VLOOKUP('Données projet'!$B$9,Paramètres!$A$1:$I$89,3,0)*0.475*44/12</f>
        <v>8.0979276233504274E-2</v>
      </c>
      <c r="AB198" s="21">
        <f>EXP(-LN(2)/2)*AB197+(1-EXP(-LN(2)/2))/(LN(2)/2)*V198*Y198*VLOOKUP('Données projet'!$B$9,Paramètres!$A$1:$I$89,3,0)*0.475*44/12</f>
        <v>1.4377223462016061E-24</v>
      </c>
      <c r="AC198" s="22">
        <f t="shared" si="163"/>
        <v>0.20038858163467621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5.6843418860808015E-14</v>
      </c>
      <c r="AJ198" s="13">
        <f>AI198*VLOOKUP('Données projet'!$B$10,Paramètres!$A$1:$I$89,3,0)*VLOOKUP('Données projet'!$B$10,Paramètres!$A$1:$I$89,5,0)</f>
        <v>4.1677594708744434E-14</v>
      </c>
      <c r="AK198" s="13">
        <f t="shared" si="164"/>
        <v>6.9326303456159188E-13</v>
      </c>
      <c r="AL198" s="20">
        <f t="shared" si="165"/>
        <v>1.2800215959791691E-12</v>
      </c>
      <c r="AM198" s="59">
        <f t="shared" si="193"/>
        <v>293.33333333333462</v>
      </c>
      <c r="AN198" s="59">
        <f ca="1">AVERAGE(OFFSET($AM$3,0,0,'Données projet'!$E$10+1,1))-AVERAGE(OFFSET($H$3,0,0,'Données projet'!$E$10+1,1))</f>
        <v>178.12968684094687</v>
      </c>
      <c r="AO198" s="59">
        <f t="shared" si="205"/>
        <v>219.36004077210373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7.925764035363525E-2</v>
      </c>
      <c r="AW198" s="21">
        <f>EXP(-LN(2)/2)*AW197+(1-EXP(-LN(2)/2))/(LN(2)/2)*AQ198*AT198*VLOOKUP('Données projet'!$B$10,Paramètres!$A$1:$I$89,3,0)*0.475*44/12</f>
        <v>1.4502010195230561E-24</v>
      </c>
      <c r="AX198" s="21">
        <f t="shared" si="166"/>
        <v>7.925764035363525E-2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-5.6843418860808015E-14</v>
      </c>
      <c r="BE198" s="13">
        <f>BD198*VLOOKUP('Données projet'!$B$11,Paramètres!$A$1:$I$89,3,0)*VLOOKUP('Données projet'!$B$11,Paramètres!$A$1:$I$89,5,0)</f>
        <v>-4.9658410716801891E-14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114.02623091248347</v>
      </c>
      <c r="BJ198" s="59">
        <f t="shared" si="206"/>
        <v>185.51554083721635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7.4350628001601138E-2</v>
      </c>
      <c r="BQ198" s="21">
        <f>EXP(-LN(2)/25)*BQ197+(1-EXP(-LN(2)/25))/(LN(2)/25)*Calculateur!BL198*Calculateur!BN198*VLOOKUP('Données projet'!$B$11,Paramètres!$A$1:$I$89,3,0)*0.475*44/12</f>
        <v>0.11603557246235613</v>
      </c>
      <c r="BR198" s="21">
        <f>EXP(-LN(2)/2)*BR197+(1-EXP(-LN(2)/2))/(LN(2)/2)*BL198*BO198*VLOOKUP('Données projet'!$B$11,Paramètres!$A$1:$I$89,3,0)*0.475*44/12</f>
        <v>2.5793248933844632E-24</v>
      </c>
      <c r="BS198" s="22">
        <f t="shared" si="169"/>
        <v>0.19038620046395727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-1.1368683772161603E-13</v>
      </c>
      <c r="BZ198" s="13">
        <f>BY198*VLOOKUP('Données projet'!$B$12,Paramètres!$A$1:$I$89,3,0)*VLOOKUP('Données projet'!$B$12,Paramètres!$A$1:$I$89,5,0)</f>
        <v>-1.0286385077051818E-13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237.22177246688199</v>
      </c>
      <c r="CE198" s="59">
        <f t="shared" si="207"/>
        <v>149.27472147904302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3.2018046788843374E-2</v>
      </c>
      <c r="CM198" s="21">
        <f>EXP(-LN(2)/2)*CM197+(1-EXP(-LN(2)/2))/(LN(2)/2)*CG198*CJ198*VLOOKUP('Données projet'!$B$12,Paramètres!$A$1:$I$89,3,0)*0.475*44/12</f>
        <v>9.050451582678293E-25</v>
      </c>
      <c r="CN198" s="22">
        <f t="shared" si="172"/>
        <v>3.2018046788843374E-2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-5.6843418860808015E-13</v>
      </c>
      <c r="CU198" s="17">
        <f>CT198*VLOOKUP('Données projet'!$B$13,Paramètres!$A$1:$I$89,3,0)*VLOOKUP('Données projet'!$B$13,Paramètres!$A$1:$I$89,5,0)</f>
        <v>-3.177547114319168E-13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326.31232746914907</v>
      </c>
      <c r="CZ198" s="59">
        <f t="shared" si="208"/>
        <v>330.17137761430297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0.17401210808885384</v>
      </c>
      <c r="DG198" s="21">
        <f>EXP(-LN(2)/25)*DG197+(1-EXP(-LN(2)/25))/(LN(2)/25)*Calculateur!DB198*Calculateur!DD198*VLOOKUP('Données projet'!$B$13,Paramètres!$A$1:$I$89,3,0)*0.475*44/12</f>
        <v>0.31104253071620452</v>
      </c>
      <c r="DH198" s="21">
        <f>EXP(-LN(2)/2)*DH197+(1-EXP(-LN(2)/2))/(LN(2)/2)*DB198*DE198*VLOOKUP('Données projet'!$B$13,Paramètres!$A$1:$I$89,3,0)*0.475*44/12</f>
        <v>4.7555831904586103E-24</v>
      </c>
      <c r="DI198" s="22">
        <f t="shared" si="175"/>
        <v>0.48505463880505839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6.2527760746888816E-13</v>
      </c>
      <c r="DP198" s="17">
        <f>DO198*VLOOKUP('Données projet'!$B$14,Paramètres!$A$1:$I$89,3,0)*VLOOKUP('Données projet'!$B$14,Paramètres!$A$1:$I$89,5,0)</f>
        <v>3.9017322706058616E-13</v>
      </c>
      <c r="DQ198" s="13">
        <f t="shared" si="176"/>
        <v>5.0025007393608908E-12</v>
      </c>
      <c r="DR198" s="20">
        <f t="shared" si="177"/>
        <v>9.3922404915174053E-12</v>
      </c>
      <c r="DS198" s="59">
        <f t="shared" si="197"/>
        <v>293.33333333334269</v>
      </c>
      <c r="DT198" s="59">
        <f ca="1">AVERAGE(OFFSET($DS$3,0,0,'Données projet'!$E$14+1,1))-AVERAGE(OFFSET($H$3,0,0,'Données projet'!$E$14+1,1))</f>
        <v>209.93608079129638</v>
      </c>
      <c r="DU198" s="59">
        <f t="shared" si="209"/>
        <v>240.15652428700969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0.26488101019867805</v>
      </c>
      <c r="EB198" s="21">
        <f>EXP(-LN(2)/25)*EB197+(1-EXP(-LN(2)/25))/(LN(2)/25)*Calculateur!DW198*Calculateur!DY198*VLOOKUP('Données projet'!$B$14,Paramètres!$A$1:$I$89,3,0)*0.475*44/12</f>
        <v>0.21429538795737382</v>
      </c>
      <c r="EC198" s="21">
        <f>EXP(-LN(2)/2)*EC197+(1-EXP(-LN(2)/2))/(LN(2)/2)*DW198*DZ198*VLOOKUP('Données projet'!$B$14,Paramètres!$A$1:$I$89,3,0)*0.475*44/12</f>
        <v>2.9524273385348294E-24</v>
      </c>
      <c r="ED198" s="22">
        <f t="shared" si="178"/>
        <v>0.47917639815605184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-4.5474735088646412E-13</v>
      </c>
      <c r="EK198" s="17">
        <f>EJ198*VLOOKUP('Données projet'!$B$15,Paramètres!$A$1:$I$89,3,0)*VLOOKUP('Données projet'!$B$15,Paramètres!$A$1:$I$89,5,0)</f>
        <v>-2.7193891583010558E-13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216.94426559495264</v>
      </c>
      <c r="EP198" s="59">
        <f t="shared" si="210"/>
        <v>225.33715877618704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</v>
      </c>
      <c r="EW198" s="21">
        <f>EXP(-LN(2)/25)*EW197+(1-EXP(-LN(2)/25))/(LN(2)/25)*Calculateur!ER198*Calculateur!ET198*VLOOKUP('Données projet'!$B$15,Paramètres!$A$1:$I$89,3,0)*0.475*44/12</f>
        <v>0.13245863206462671</v>
      </c>
      <c r="EX198" s="21">
        <f>EXP(-LN(2)/2)*EX197+(1-EXP(-LN(2)/2))/(LN(2)/2)*ER198*EU198*VLOOKUP('Données projet'!$B$15,Paramètres!$A$1:$I$89,3,0)*0.475*44/12</f>
        <v>3.4698554302823304E-24</v>
      </c>
      <c r="EY198" s="22">
        <f t="shared" si="181"/>
        <v>0.13245863206462671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>
        <f>FE198*VLOOKUP('Données projet'!$B$16,Paramètres!$A$1:$I$89,3,0)*VLOOKUP('Données projet'!$B$16,Paramètres!$A$1:$I$89,5,0)</f>
        <v>0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168.08890945052406</v>
      </c>
      <c r="FK198" s="59">
        <f t="shared" si="211"/>
        <v>182.52462557642343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0.23665109038095117</v>
      </c>
      <c r="FR198" s="21">
        <f>EXP(-LN(2)/25)*FR197+(1-EXP(-LN(2)/25))/(LN(2)/25)*Calculateur!FM198*Calculateur!FO198*VLOOKUP('Données projet'!$B$16,Paramètres!$A$1:$I$89,3,0)*0.475*44/12</f>
        <v>0.12711481779894362</v>
      </c>
      <c r="FS198" s="21">
        <f>EXP(-LN(2)/2)*FS197+(1-EXP(-LN(2)/2))/(LN(2)/2)*FM198*FP198*VLOOKUP('Données projet'!$B$16,Paramètres!$A$1:$I$89,3,0)*0.475*44/12</f>
        <v>7.9630320229060941E-25</v>
      </c>
      <c r="FT198" s="22">
        <f t="shared" si="184"/>
        <v>0.36376590817989479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-5.6843418860808015E-14</v>
      </c>
      <c r="GA198" s="17">
        <f>FZ198*VLOOKUP('Données projet'!$B$17,Paramètres!$A$1:$I$89,3,0)*VLOOKUP('Données projet'!$B$17,Paramètres!$A$1:$I$89,5,0)</f>
        <v>-3.2514435588382188E-14</v>
      </c>
      <c r="GB198" s="13" t="e">
        <f t="shared" si="185"/>
        <v>#NUM!</v>
      </c>
      <c r="GC198" s="20" t="e">
        <f t="shared" si="186"/>
        <v>#NUM!</v>
      </c>
      <c r="GD198" s="59" t="e">
        <f t="shared" si="200"/>
        <v>#NUM!</v>
      </c>
      <c r="GE198" s="59">
        <f ca="1">AVERAGE(OFFSET($GD$3,0,0,'Données projet'!$E$17+1,1))-AVERAGE(OFFSET($H$3,0,0,'Données projet'!$E$17+1,1))</f>
        <v>196.95560009657527</v>
      </c>
      <c r="GF198" s="59">
        <f t="shared" si="212"/>
        <v>168.90186968005662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0</v>
      </c>
      <c r="GM198" s="21">
        <f>EXP(-LN(2)/25)*GM197+(1-EXP(-LN(2)/25))/(LN(2)/25)*Calculateur!GH198*Calculateur!GJ198*VLOOKUP('Données projet'!$B$17,Paramètres!$A$1:$I$89,3,0)*0.475*44/12</f>
        <v>9.5158570392678596E-2</v>
      </c>
      <c r="GN198" s="21">
        <f>EXP(-LN(2)/2)*GN197+(1-EXP(-LN(2)/2))/(LN(2)/2)*GH198*GK198*VLOOKUP('Données projet'!$B$17,Paramètres!$A$1:$I$89,3,0)*0.475*44/12</f>
        <v>1.8804079846182132E-24</v>
      </c>
      <c r="GO198" s="21">
        <f t="shared" si="187"/>
        <v>9.5158570392678596E-2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-5.3205440053716299E-14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215.23235148064941</v>
      </c>
      <c r="T199" s="59">
        <f t="shared" si="204"/>
        <v>184.07239726900434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0.11706776175473965</v>
      </c>
      <c r="AA199" s="21">
        <f>EXP(-LN(2)/25)*AA198+(1-EXP(-LN(2)/25))/(LN(2)/25)*Calculateur!V199*Calculateur!X199*VLOOKUP('Données projet'!$B$9,Paramètres!$A$1:$I$89,3,0)*0.475*44/12</f>
        <v>7.8764893666384048E-2</v>
      </c>
      <c r="AB199" s="21">
        <f>EXP(-LN(2)/2)*AB198+(1-EXP(-LN(2)/2))/(LN(2)/2)*V199*Y199*VLOOKUP('Données projet'!$B$9,Paramètres!$A$1:$I$89,3,0)*0.475*44/12</f>
        <v>1.0166232204625888E-24</v>
      </c>
      <c r="AC199" s="22">
        <f t="shared" si="163"/>
        <v>0.19583265542112371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5.6843418860808015E-14</v>
      </c>
      <c r="AJ199" s="13">
        <f>AI199*VLOOKUP('Données projet'!$B$10,Paramètres!$A$1:$I$89,3,0)*VLOOKUP('Données projet'!$B$10,Paramètres!$A$1:$I$89,5,0)</f>
        <v>4.1677594708744434E-14</v>
      </c>
      <c r="AK199" s="13">
        <f t="shared" si="164"/>
        <v>6.9326303456159188E-13</v>
      </c>
      <c r="AL199" s="20">
        <f t="shared" si="165"/>
        <v>1.2800215959791691E-12</v>
      </c>
      <c r="AM199" s="59">
        <f t="shared" si="193"/>
        <v>293.33333333333462</v>
      </c>
      <c r="AN199" s="59">
        <f ca="1">AVERAGE(OFFSET($AM$3,0,0,'Données projet'!$E$10+1,1))-AVERAGE(OFFSET($H$3,0,0,'Données projet'!$E$10+1,1))</f>
        <v>178.12968684094687</v>
      </c>
      <c r="AO199" s="59">
        <f t="shared" si="205"/>
        <v>219.36004077210373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7.709033601018693E-2</v>
      </c>
      <c r="AW199" s="21">
        <f>EXP(-LN(2)/2)*AW198+(1-EXP(-LN(2)/2))/(LN(2)/2)*AQ199*AT199*VLOOKUP('Données projet'!$B$10,Paramètres!$A$1:$I$89,3,0)*0.475*44/12</f>
        <v>1.0254469749883978E-24</v>
      </c>
      <c r="AX199" s="21">
        <f t="shared" si="166"/>
        <v>7.709033601018693E-2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-5.6843418860808015E-14</v>
      </c>
      <c r="BE199" s="13">
        <f>BD199*VLOOKUP('Données projet'!$B$11,Paramètres!$A$1:$I$89,3,0)*VLOOKUP('Données projet'!$B$11,Paramètres!$A$1:$I$89,5,0)</f>
        <v>-4.9658410716801891E-14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114.02623091248347</v>
      </c>
      <c r="BJ199" s="59">
        <f t="shared" si="206"/>
        <v>185.51554083721635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7.2892657535894939E-2</v>
      </c>
      <c r="BQ199" s="21">
        <f>EXP(-LN(2)/25)*BQ198+(1-EXP(-LN(2)/25))/(LN(2)/25)*Calculateur!BL199*Calculateur!BN199*VLOOKUP('Données projet'!$B$11,Paramètres!$A$1:$I$89,3,0)*0.475*44/12</f>
        <v>0.11286257363132744</v>
      </c>
      <c r="BR199" s="21">
        <f>EXP(-LN(2)/2)*BR198+(1-EXP(-LN(2)/2))/(LN(2)/2)*BL199*BO199*VLOOKUP('Données projet'!$B$11,Paramètres!$A$1:$I$89,3,0)*0.475*44/12</f>
        <v>1.8238581229954226E-24</v>
      </c>
      <c r="BS199" s="22">
        <f t="shared" si="169"/>
        <v>0.18575523116722237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-1.1368683772161603E-13</v>
      </c>
      <c r="BZ199" s="13">
        <f>BY199*VLOOKUP('Données projet'!$B$12,Paramètres!$A$1:$I$89,3,0)*VLOOKUP('Données projet'!$B$12,Paramètres!$A$1:$I$89,5,0)</f>
        <v>-1.0286385077051818E-13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237.22177246688199</v>
      </c>
      <c r="CE199" s="59">
        <f t="shared" si="207"/>
        <v>149.27472147904302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3.1142511615646549E-2</v>
      </c>
      <c r="CM199" s="21">
        <f>EXP(-LN(2)/2)*CM198+(1-EXP(-LN(2)/2))/(LN(2)/2)*CG199*CJ199*VLOOKUP('Données projet'!$B$12,Paramètres!$A$1:$I$89,3,0)*0.475*44/12</f>
        <v>6.3996356869123425E-25</v>
      </c>
      <c r="CN199" s="22">
        <f t="shared" si="172"/>
        <v>3.1142511615646549E-2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-5.6843418860808015E-13</v>
      </c>
      <c r="CU199" s="17">
        <f>CT199*VLOOKUP('Données projet'!$B$13,Paramètres!$A$1:$I$89,3,0)*VLOOKUP('Données projet'!$B$13,Paramètres!$A$1:$I$89,5,0)</f>
        <v>-3.177547114319168E-13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326.31232746914907</v>
      </c>
      <c r="CZ199" s="59">
        <f t="shared" si="208"/>
        <v>330.17137761430297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0.17059983678613719</v>
      </c>
      <c r="DG199" s="21">
        <f>EXP(-LN(2)/25)*DG198+(1-EXP(-LN(2)/25))/(LN(2)/25)*Calculateur!DB199*Calculateur!DD199*VLOOKUP('Données projet'!$B$13,Paramètres!$A$1:$I$89,3,0)*0.475*44/12</f>
        <v>0.3025370563567541</v>
      </c>
      <c r="DH199" s="21">
        <f>EXP(-LN(2)/2)*DH198+(1-EXP(-LN(2)/2))/(LN(2)/2)*DB199*DE199*VLOOKUP('Données projet'!$B$13,Paramètres!$A$1:$I$89,3,0)*0.475*44/12</f>
        <v>3.3627051224700401E-24</v>
      </c>
      <c r="DI199" s="22">
        <f t="shared" si="175"/>
        <v>0.47313689314289131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6.2527760746888816E-13</v>
      </c>
      <c r="DP199" s="17">
        <f>DO199*VLOOKUP('Données projet'!$B$14,Paramètres!$A$1:$I$89,3,0)*VLOOKUP('Données projet'!$B$14,Paramètres!$A$1:$I$89,5,0)</f>
        <v>3.9017322706058616E-13</v>
      </c>
      <c r="DQ199" s="13">
        <f t="shared" si="176"/>
        <v>5.0025007393608908E-12</v>
      </c>
      <c r="DR199" s="20">
        <f t="shared" si="177"/>
        <v>9.3922404915174053E-12</v>
      </c>
      <c r="DS199" s="59">
        <f t="shared" si="197"/>
        <v>293.33333333334269</v>
      </c>
      <c r="DT199" s="59">
        <f ca="1">AVERAGE(OFFSET($DS$3,0,0,'Données projet'!$E$14+1,1))-AVERAGE(OFFSET($H$3,0,0,'Données projet'!$E$14+1,1))</f>
        <v>209.93608079129638</v>
      </c>
      <c r="DU199" s="59">
        <f t="shared" si="209"/>
        <v>240.15652428700969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0.25968685515014533</v>
      </c>
      <c r="EB199" s="21">
        <f>EXP(-LN(2)/25)*EB198+(1-EXP(-LN(2)/25))/(LN(2)/25)*Calculateur!DW199*Calculateur!DY199*VLOOKUP('Données projet'!$B$14,Paramètres!$A$1:$I$89,3,0)*0.475*44/12</f>
        <v>0.20843546930437476</v>
      </c>
      <c r="EC199" s="21">
        <f>EXP(-LN(2)/2)*EC198+(1-EXP(-LN(2)/2))/(LN(2)/2)*DW199*DZ199*VLOOKUP('Données projet'!$B$14,Paramètres!$A$1:$I$89,3,0)*0.475*44/12</f>
        <v>2.0876813920385285E-24</v>
      </c>
      <c r="ED199" s="22">
        <f t="shared" si="178"/>
        <v>0.46812232445452007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-4.5474735088646412E-13</v>
      </c>
      <c r="EK199" s="17">
        <f>EJ199*VLOOKUP('Données projet'!$B$15,Paramètres!$A$1:$I$89,3,0)*VLOOKUP('Données projet'!$B$15,Paramètres!$A$1:$I$89,5,0)</f>
        <v>-2.7193891583010558E-13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216.94426559495264</v>
      </c>
      <c r="EP199" s="59">
        <f t="shared" si="210"/>
        <v>225.33715877618704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</v>
      </c>
      <c r="EW199" s="21">
        <f>EXP(-LN(2)/25)*EW198+(1-EXP(-LN(2)/25))/(LN(2)/25)*Calculateur!ER199*Calculateur!ET199*VLOOKUP('Données projet'!$B$15,Paramètres!$A$1:$I$89,3,0)*0.475*44/12</f>
        <v>0.12883654380512277</v>
      </c>
      <c r="EX199" s="21">
        <f>EXP(-LN(2)/2)*EX198+(1-EXP(-LN(2)/2))/(LN(2)/2)*ER199*EU199*VLOOKUP('Données projet'!$B$15,Paramètres!$A$1:$I$89,3,0)*0.475*44/12</f>
        <v>2.4535583044896015E-24</v>
      </c>
      <c r="EY199" s="22">
        <f t="shared" si="181"/>
        <v>0.12883654380512277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>
        <f>FE199*VLOOKUP('Données projet'!$B$16,Paramètres!$A$1:$I$89,3,0)*VLOOKUP('Données projet'!$B$16,Paramètres!$A$1:$I$89,5,0)</f>
        <v>0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168.08890945052406</v>
      </c>
      <c r="FK199" s="59">
        <f t="shared" si="211"/>
        <v>182.52462557642343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0.23201050684149316</v>
      </c>
      <c r="FR199" s="21">
        <f>EXP(-LN(2)/25)*FR198+(1-EXP(-LN(2)/25))/(LN(2)/25)*Calculateur!FM199*Calculateur!FO199*VLOOKUP('Données projet'!$B$16,Paramètres!$A$1:$I$89,3,0)*0.475*44/12</f>
        <v>0.12363885642155377</v>
      </c>
      <c r="FS199" s="21">
        <f>EXP(-LN(2)/2)*FS198+(1-EXP(-LN(2)/2))/(LN(2)/2)*FM199*FP199*VLOOKUP('Données projet'!$B$16,Paramètres!$A$1:$I$89,3,0)*0.475*44/12</f>
        <v>5.6307139422025303E-25</v>
      </c>
      <c r="FT199" s="22">
        <f t="shared" si="184"/>
        <v>0.35564936326304691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-5.6843418860808015E-14</v>
      </c>
      <c r="GA199" s="17">
        <f>FZ199*VLOOKUP('Données projet'!$B$17,Paramètres!$A$1:$I$89,3,0)*VLOOKUP('Données projet'!$B$17,Paramètres!$A$1:$I$89,5,0)</f>
        <v>-3.2514435588382188E-14</v>
      </c>
      <c r="GB199" s="13" t="e">
        <f t="shared" si="185"/>
        <v>#NUM!</v>
      </c>
      <c r="GC199" s="20" t="e">
        <f t="shared" si="186"/>
        <v>#NUM!</v>
      </c>
      <c r="GD199" s="59" t="e">
        <f t="shared" si="200"/>
        <v>#NUM!</v>
      </c>
      <c r="GE199" s="59">
        <f ca="1">AVERAGE(OFFSET($GD$3,0,0,'Données projet'!$E$17+1,1))-AVERAGE(OFFSET($H$3,0,0,'Données projet'!$E$17+1,1))</f>
        <v>196.95560009657527</v>
      </c>
      <c r="GF199" s="59">
        <f t="shared" si="212"/>
        <v>168.90186968005662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0</v>
      </c>
      <c r="GM199" s="21">
        <f>EXP(-LN(2)/25)*GM198+(1-EXP(-LN(2)/25))/(LN(2)/25)*Calculateur!GH199*Calculateur!GJ199*VLOOKUP('Données projet'!$B$17,Paramètres!$A$1:$I$89,3,0)*0.475*44/12</f>
        <v>9.2556454281119069E-2</v>
      </c>
      <c r="GN199" s="21">
        <f>EXP(-LN(2)/2)*GN198+(1-EXP(-LN(2)/2))/(LN(2)/2)*GH199*GK199*VLOOKUP('Données projet'!$B$17,Paramètres!$A$1:$I$89,3,0)*0.475*44/12</f>
        <v>1.3296492373208677E-24</v>
      </c>
      <c r="GO199" s="21">
        <f t="shared" si="187"/>
        <v>9.2556454281119069E-2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-5.3205440053716299E-14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215.23235148064941</v>
      </c>
      <c r="T200" s="59">
        <f t="shared" si="204"/>
        <v>184.07239726900434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0.11477213435101329</v>
      </c>
      <c r="AA200" s="21">
        <f>EXP(-LN(2)/25)*AA199+(1-EXP(-LN(2)/25))/(LN(2)/25)*Calculateur!V200*Calculateur!X200*VLOOKUP('Données projet'!$B$9,Paramètres!$A$1:$I$89,3,0)*0.475*44/12</f>
        <v>7.6611063507011037E-2</v>
      </c>
      <c r="AB200" s="21">
        <f>EXP(-LN(2)/2)*AB199+(1-EXP(-LN(2)/2))/(LN(2)/2)*V200*Y200*VLOOKUP('Données projet'!$B$9,Paramètres!$A$1:$I$89,3,0)*0.475*44/12</f>
        <v>7.1886117310080304E-25</v>
      </c>
      <c r="AC200" s="22">
        <f t="shared" si="163"/>
        <v>0.19138319785802432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5.6843418860808015E-14</v>
      </c>
      <c r="AJ200" s="13">
        <f>AI200*VLOOKUP('Données projet'!$B$10,Paramètres!$A$1:$I$89,3,0)*VLOOKUP('Données projet'!$B$10,Paramètres!$A$1:$I$89,5,0)</f>
        <v>4.1677594708744434E-14</v>
      </c>
      <c r="AK200" s="13">
        <f t="shared" si="164"/>
        <v>6.9326303456159188E-13</v>
      </c>
      <c r="AL200" s="20">
        <f t="shared" si="165"/>
        <v>1.2800215959791691E-12</v>
      </c>
      <c r="AM200" s="59">
        <f t="shared" si="193"/>
        <v>293.33333333333462</v>
      </c>
      <c r="AN200" s="59">
        <f ca="1">AVERAGE(OFFSET($AM$3,0,0,'Données projet'!$E$10+1,1))-AVERAGE(OFFSET($H$3,0,0,'Données projet'!$E$10+1,1))</f>
        <v>178.12968684094687</v>
      </c>
      <c r="AO200" s="59">
        <f t="shared" si="205"/>
        <v>219.36004077210373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7.4982296717983787E-2</v>
      </c>
      <c r="AW200" s="21">
        <f>EXP(-LN(2)/2)*AW199+(1-EXP(-LN(2)/2))/(LN(2)/2)*AQ200*AT200*VLOOKUP('Données projet'!$B$10,Paramètres!$A$1:$I$89,3,0)*0.475*44/12</f>
        <v>7.2510050976152806E-25</v>
      </c>
      <c r="AX200" s="21">
        <f t="shared" si="166"/>
        <v>7.4982296717983787E-2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-5.6843418860808015E-14</v>
      </c>
      <c r="BE200" s="13">
        <f>BD200*VLOOKUP('Données projet'!$B$11,Paramètres!$A$1:$I$89,3,0)*VLOOKUP('Données projet'!$B$11,Paramètres!$A$1:$I$89,5,0)</f>
        <v>-4.9658410716801891E-14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114.02623091248347</v>
      </c>
      <c r="BJ200" s="59">
        <f t="shared" si="206"/>
        <v>185.51554083721635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7.1463276981747065E-2</v>
      </c>
      <c r="BQ200" s="21">
        <f>EXP(-LN(2)/25)*BQ199+(1-EXP(-LN(2)/25))/(LN(2)/25)*Calculateur!BL200*Calculateur!BN200*VLOOKUP('Données projet'!$B$11,Paramètres!$A$1:$I$89,3,0)*0.475*44/12</f>
        <v>0.10977634062019399</v>
      </c>
      <c r="BR200" s="21">
        <f>EXP(-LN(2)/2)*BR199+(1-EXP(-LN(2)/2))/(LN(2)/2)*BL200*BO200*VLOOKUP('Données projet'!$B$11,Paramètres!$A$1:$I$89,3,0)*0.475*44/12</f>
        <v>1.2896624466922316E-24</v>
      </c>
      <c r="BS200" s="22">
        <f t="shared" si="169"/>
        <v>0.18123961760194107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-1.1368683772161603E-13</v>
      </c>
      <c r="BZ200" s="13">
        <f>BY200*VLOOKUP('Données projet'!$B$12,Paramètres!$A$1:$I$89,3,0)*VLOOKUP('Données projet'!$B$12,Paramètres!$A$1:$I$89,5,0)</f>
        <v>-1.0286385077051818E-13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237.22177246688199</v>
      </c>
      <c r="CE200" s="59">
        <f t="shared" si="207"/>
        <v>149.27472147904302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3.0290917997803184E-2</v>
      </c>
      <c r="CM200" s="21">
        <f>EXP(-LN(2)/2)*CM199+(1-EXP(-LN(2)/2))/(LN(2)/2)*CG200*CJ200*VLOOKUP('Données projet'!$B$12,Paramètres!$A$1:$I$89,3,0)*0.475*44/12</f>
        <v>4.5252257913391465E-25</v>
      </c>
      <c r="CN200" s="22">
        <f t="shared" si="172"/>
        <v>3.0290917997803184E-2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-5.6843418860808015E-13</v>
      </c>
      <c r="CU200" s="17">
        <f>CT200*VLOOKUP('Données projet'!$B$13,Paramètres!$A$1:$I$89,3,0)*VLOOKUP('Données projet'!$B$13,Paramètres!$A$1:$I$89,5,0)</f>
        <v>-3.177547114319168E-13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326.31232746914907</v>
      </c>
      <c r="CZ200" s="59">
        <f t="shared" si="208"/>
        <v>330.17137761430297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0.16725447804238683</v>
      </c>
      <c r="DG200" s="21">
        <f>EXP(-LN(2)/25)*DG199+(1-EXP(-LN(2)/25))/(LN(2)/25)*Calculateur!DB200*Calculateur!DD200*VLOOKUP('Données projet'!$B$13,Paramètres!$A$1:$I$89,3,0)*0.475*44/12</f>
        <v>0.29426416464094635</v>
      </c>
      <c r="DH200" s="21">
        <f>EXP(-LN(2)/2)*DH199+(1-EXP(-LN(2)/2))/(LN(2)/2)*DB200*DE200*VLOOKUP('Données projet'!$B$13,Paramètres!$A$1:$I$89,3,0)*0.475*44/12</f>
        <v>2.3777915952293051E-24</v>
      </c>
      <c r="DI200" s="22">
        <f t="shared" si="175"/>
        <v>0.4615186426833332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6.2527760746888816E-13</v>
      </c>
      <c r="DP200" s="17">
        <f>DO200*VLOOKUP('Données projet'!$B$14,Paramètres!$A$1:$I$89,3,0)*VLOOKUP('Données projet'!$B$14,Paramètres!$A$1:$I$89,5,0)</f>
        <v>3.9017322706058616E-13</v>
      </c>
      <c r="DQ200" s="13">
        <f t="shared" si="176"/>
        <v>5.0025007393608908E-12</v>
      </c>
      <c r="DR200" s="20">
        <f t="shared" si="177"/>
        <v>9.3922404915174053E-12</v>
      </c>
      <c r="DS200" s="59">
        <f t="shared" si="197"/>
        <v>293.33333333334269</v>
      </c>
      <c r="DT200" s="59">
        <f ca="1">AVERAGE(OFFSET($DS$3,0,0,'Données projet'!$E$14+1,1))-AVERAGE(OFFSET($H$3,0,0,'Données projet'!$E$14+1,1))</f>
        <v>209.93608079129638</v>
      </c>
      <c r="DU200" s="59">
        <f t="shared" si="209"/>
        <v>240.15652428700969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0.25459455431399258</v>
      </c>
      <c r="EB200" s="21">
        <f>EXP(-LN(2)/25)*EB199+(1-EXP(-LN(2)/25))/(LN(2)/25)*Calculateur!DW200*Calculateur!DY200*VLOOKUP('Données projet'!$B$14,Paramètres!$A$1:$I$89,3,0)*0.475*44/12</f>
        <v>0.20273579043510168</v>
      </c>
      <c r="EC200" s="21">
        <f>EXP(-LN(2)/2)*EC199+(1-EXP(-LN(2)/2))/(LN(2)/2)*DW200*DZ200*VLOOKUP('Données projet'!$B$14,Paramètres!$A$1:$I$89,3,0)*0.475*44/12</f>
        <v>1.4762136692674147E-24</v>
      </c>
      <c r="ED200" s="22">
        <f t="shared" si="178"/>
        <v>0.45733034474909429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-4.5474735088646412E-13</v>
      </c>
      <c r="EK200" s="17">
        <f>EJ200*VLOOKUP('Données projet'!$B$15,Paramètres!$A$1:$I$89,3,0)*VLOOKUP('Données projet'!$B$15,Paramètres!$A$1:$I$89,5,0)</f>
        <v>-2.7193891583010558E-13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216.94426559495264</v>
      </c>
      <c r="EP200" s="59">
        <f t="shared" si="210"/>
        <v>225.33715877618704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</v>
      </c>
      <c r="EW200" s="21">
        <f>EXP(-LN(2)/25)*EW199+(1-EXP(-LN(2)/25))/(LN(2)/25)*Calculateur!ER200*Calculateur!ET200*VLOOKUP('Données projet'!$B$15,Paramètres!$A$1:$I$89,3,0)*0.475*44/12</f>
        <v>0.1253135017395523</v>
      </c>
      <c r="EX200" s="21">
        <f>EXP(-LN(2)/2)*EX199+(1-EXP(-LN(2)/2))/(LN(2)/2)*ER200*EU200*VLOOKUP('Données projet'!$B$15,Paramètres!$A$1:$I$89,3,0)*0.475*44/12</f>
        <v>1.7349277151411652E-24</v>
      </c>
      <c r="EY200" s="22">
        <f t="shared" si="181"/>
        <v>0.1253135017395523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>
        <f>FE200*VLOOKUP('Données projet'!$B$16,Paramètres!$A$1:$I$89,3,0)*VLOOKUP('Données projet'!$B$16,Paramètres!$A$1:$I$89,5,0)</f>
        <v>0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168.08890945052406</v>
      </c>
      <c r="FK200" s="59">
        <f t="shared" si="211"/>
        <v>182.52462557642343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0.22746092231476747</v>
      </c>
      <c r="FR200" s="21">
        <f>EXP(-LN(2)/25)*FR199+(1-EXP(-LN(2)/25))/(LN(2)/25)*Calculateur!FM200*Calculateur!FO200*VLOOKUP('Données projet'!$B$16,Paramètres!$A$1:$I$89,3,0)*0.475*44/12</f>
        <v>0.12025794539082151</v>
      </c>
      <c r="FS200" s="21">
        <f>EXP(-LN(2)/2)*FS199+(1-EXP(-LN(2)/2))/(LN(2)/2)*FM200*FP200*VLOOKUP('Données projet'!$B$16,Paramètres!$A$1:$I$89,3,0)*0.475*44/12</f>
        <v>3.9815160114530471E-25</v>
      </c>
      <c r="FT200" s="22">
        <f t="shared" si="184"/>
        <v>0.34771886770558896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-5.6843418860808015E-14</v>
      </c>
      <c r="GA200" s="17">
        <f>FZ200*VLOOKUP('Données projet'!$B$17,Paramètres!$A$1:$I$89,3,0)*VLOOKUP('Données projet'!$B$17,Paramètres!$A$1:$I$89,5,0)</f>
        <v>-3.2514435588382188E-14</v>
      </c>
      <c r="GB200" s="13" t="e">
        <f t="shared" si="185"/>
        <v>#NUM!</v>
      </c>
      <c r="GC200" s="20" t="e">
        <f t="shared" si="186"/>
        <v>#NUM!</v>
      </c>
      <c r="GD200" s="59" t="e">
        <f t="shared" si="200"/>
        <v>#NUM!</v>
      </c>
      <c r="GE200" s="59">
        <f ca="1">AVERAGE(OFFSET($GD$3,0,0,'Données projet'!$E$17+1,1))-AVERAGE(OFFSET($H$3,0,0,'Données projet'!$E$17+1,1))</f>
        <v>196.95560009657527</v>
      </c>
      <c r="GF200" s="59">
        <f t="shared" si="212"/>
        <v>168.90186968005662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0</v>
      </c>
      <c r="GM200" s="21">
        <f>EXP(-LN(2)/25)*GM199+(1-EXP(-LN(2)/25))/(LN(2)/25)*Calculateur!GH200*Calculateur!GJ200*VLOOKUP('Données projet'!$B$17,Paramètres!$A$1:$I$89,3,0)*0.475*44/12</f>
        <v>9.0025493171469476E-2</v>
      </c>
      <c r="GN200" s="21">
        <f>EXP(-LN(2)/2)*GN199+(1-EXP(-LN(2)/2))/(LN(2)/2)*GH200*GK200*VLOOKUP('Données projet'!$B$17,Paramètres!$A$1:$I$89,3,0)*0.475*44/12</f>
        <v>9.4020399230910662E-25</v>
      </c>
      <c r="GO200" s="21">
        <f t="shared" si="187"/>
        <v>9.0025493171469476E-2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-5.3205440053716299E-14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215.23235148064941</v>
      </c>
      <c r="T201" s="59">
        <f t="shared" si="204"/>
        <v>184.07239726900434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0.11252152280047954</v>
      </c>
      <c r="AA201" s="21">
        <f>EXP(-LN(2)/25)*AA200+(1-EXP(-LN(2)/25))/(LN(2)/25)*Calculateur!V201*Calculateur!X201*VLOOKUP('Données projet'!$B$9,Paramètres!$A$1:$I$89,3,0)*0.475*44/12</f>
        <v>7.4516129946611082E-2</v>
      </c>
      <c r="AB201" s="21">
        <f>EXP(-LN(2)/2)*AB200+(1-EXP(-LN(2)/2))/(LN(2)/2)*V201*Y201*VLOOKUP('Données projet'!$B$9,Paramètres!$A$1:$I$89,3,0)*0.475*44/12</f>
        <v>5.0831161023129439E-25</v>
      </c>
      <c r="AC201" s="22">
        <f t="shared" si="163"/>
        <v>0.18703765274709061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5.6843418860808015E-14</v>
      </c>
      <c r="AJ201" s="13">
        <f>AI201*VLOOKUP('Données projet'!$B$10,Paramètres!$A$1:$I$89,3,0)*VLOOKUP('Données projet'!$B$10,Paramètres!$A$1:$I$89,5,0)</f>
        <v>4.1677594708744434E-14</v>
      </c>
      <c r="AK201" s="13">
        <f t="shared" si="164"/>
        <v>6.9326303456159188E-13</v>
      </c>
      <c r="AL201" s="20">
        <f t="shared" si="165"/>
        <v>1.2800215959791691E-12</v>
      </c>
      <c r="AM201" s="59">
        <f t="shared" si="193"/>
        <v>293.33333333333462</v>
      </c>
      <c r="AN201" s="59">
        <f ca="1">AVERAGE(OFFSET($AM$3,0,0,'Données projet'!$E$10+1,1))-AVERAGE(OFFSET($H$3,0,0,'Données projet'!$E$10+1,1))</f>
        <v>178.12968684094687</v>
      </c>
      <c r="AO201" s="59">
        <f t="shared" si="205"/>
        <v>219.36004077210373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7.2931901871082908E-2</v>
      </c>
      <c r="AW201" s="21">
        <f>EXP(-LN(2)/2)*AW200+(1-EXP(-LN(2)/2))/(LN(2)/2)*AQ201*AT201*VLOOKUP('Données projet'!$B$10,Paramètres!$A$1:$I$89,3,0)*0.475*44/12</f>
        <v>5.1272348749419888E-25</v>
      </c>
      <c r="AX201" s="21">
        <f t="shared" si="166"/>
        <v>7.2931901871082908E-2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-5.6843418860808015E-14</v>
      </c>
      <c r="BE201" s="13">
        <f>BD201*VLOOKUP('Données projet'!$B$11,Paramètres!$A$1:$I$89,3,0)*VLOOKUP('Données projet'!$B$11,Paramètres!$A$1:$I$89,5,0)</f>
        <v>-4.9658410716801891E-14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114.02623091248347</v>
      </c>
      <c r="BJ201" s="59">
        <f t="shared" si="206"/>
        <v>185.51554083721635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7.0061925708429978E-2</v>
      </c>
      <c r="BQ201" s="21">
        <f>EXP(-LN(2)/25)*BQ200+(1-EXP(-LN(2)/25))/(LN(2)/25)*Calculateur!BL201*Calculateur!BN201*VLOOKUP('Données projet'!$B$11,Paramètres!$A$1:$I$89,3,0)*0.475*44/12</f>
        <v>0.10677450081304793</v>
      </c>
      <c r="BR201" s="21">
        <f>EXP(-LN(2)/2)*BR200+(1-EXP(-LN(2)/2))/(LN(2)/2)*BL201*BO201*VLOOKUP('Données projet'!$B$11,Paramètres!$A$1:$I$89,3,0)*0.475*44/12</f>
        <v>9.1192906149771129E-25</v>
      </c>
      <c r="BS201" s="22">
        <f t="shared" si="169"/>
        <v>0.17683642652147791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-1.1368683772161603E-13</v>
      </c>
      <c r="BZ201" s="13">
        <f>BY201*VLOOKUP('Données projet'!$B$12,Paramètres!$A$1:$I$89,3,0)*VLOOKUP('Données projet'!$B$12,Paramètres!$A$1:$I$89,5,0)</f>
        <v>-1.0286385077051818E-13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237.22177246688199</v>
      </c>
      <c r="CE201" s="59">
        <f t="shared" si="207"/>
        <v>149.27472147904302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2.946261125222311E-2</v>
      </c>
      <c r="CM201" s="21">
        <f>EXP(-LN(2)/2)*CM200+(1-EXP(-LN(2)/2))/(LN(2)/2)*CG201*CJ201*VLOOKUP('Données projet'!$B$12,Paramètres!$A$1:$I$89,3,0)*0.475*44/12</f>
        <v>3.1998178434561713E-25</v>
      </c>
      <c r="CN201" s="22">
        <f t="shared" si="172"/>
        <v>2.946261125222311E-2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-5.6843418860808015E-13</v>
      </c>
      <c r="CU201" s="17">
        <f>CT201*VLOOKUP('Données projet'!$B$13,Paramètres!$A$1:$I$89,3,0)*VLOOKUP('Données projet'!$B$13,Paramètres!$A$1:$I$89,5,0)</f>
        <v>-3.177547114319168E-13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326.31232746914907</v>
      </c>
      <c r="CZ201" s="59">
        <f t="shared" si="208"/>
        <v>330.17137761430297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0.16397471974313407</v>
      </c>
      <c r="DG201" s="21">
        <f>EXP(-LN(2)/25)*DG200+(1-EXP(-LN(2)/25))/(LN(2)/25)*Calculateur!DB201*Calculateur!DD201*VLOOKUP('Données projet'!$B$13,Paramètres!$A$1:$I$89,3,0)*0.475*44/12</f>
        <v>0.28621749558415982</v>
      </c>
      <c r="DH201" s="21">
        <f>EXP(-LN(2)/2)*DH200+(1-EXP(-LN(2)/2))/(LN(2)/2)*DB201*DE201*VLOOKUP('Données projet'!$B$13,Paramètres!$A$1:$I$89,3,0)*0.475*44/12</f>
        <v>1.6813525612350201E-24</v>
      </c>
      <c r="DI201" s="22">
        <f t="shared" si="175"/>
        <v>0.45019221532729392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6.2527760746888816E-13</v>
      </c>
      <c r="DP201" s="17">
        <f>DO201*VLOOKUP('Données projet'!$B$14,Paramètres!$A$1:$I$89,3,0)*VLOOKUP('Données projet'!$B$14,Paramètres!$A$1:$I$89,5,0)</f>
        <v>3.9017322706058616E-13</v>
      </c>
      <c r="DQ201" s="13">
        <f t="shared" si="176"/>
        <v>5.0025007393608908E-12</v>
      </c>
      <c r="DR201" s="20">
        <f t="shared" si="177"/>
        <v>9.3922404915174053E-12</v>
      </c>
      <c r="DS201" s="59">
        <f t="shared" si="197"/>
        <v>293.33333333334269</v>
      </c>
      <c r="DT201" s="59">
        <f ca="1">AVERAGE(OFFSET($DS$3,0,0,'Données projet'!$E$14+1,1))-AVERAGE(OFFSET($H$3,0,0,'Données projet'!$E$14+1,1))</f>
        <v>209.93608079129638</v>
      </c>
      <c r="DU201" s="59">
        <f t="shared" si="209"/>
        <v>240.15652428700969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0.24960211039123997</v>
      </c>
      <c r="EB201" s="21">
        <f>EXP(-LN(2)/25)*EB200+(1-EXP(-LN(2)/25))/(LN(2)/25)*Calculateur!DW201*Calculateur!DY201*VLOOKUP('Données projet'!$B$14,Paramètres!$A$1:$I$89,3,0)*0.475*44/12</f>
        <v>0.19719196958424196</v>
      </c>
      <c r="EC201" s="21">
        <f>EXP(-LN(2)/2)*EC200+(1-EXP(-LN(2)/2))/(LN(2)/2)*DW201*DZ201*VLOOKUP('Données projet'!$B$14,Paramètres!$A$1:$I$89,3,0)*0.475*44/12</f>
        <v>1.0438406960192642E-24</v>
      </c>
      <c r="ED201" s="22">
        <f t="shared" si="178"/>
        <v>0.44679407997548193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-4.5474735088646412E-13</v>
      </c>
      <c r="EK201" s="17">
        <f>EJ201*VLOOKUP('Données projet'!$B$15,Paramètres!$A$1:$I$89,3,0)*VLOOKUP('Données projet'!$B$15,Paramètres!$A$1:$I$89,5,0)</f>
        <v>-2.7193891583010558E-13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216.94426559495264</v>
      </c>
      <c r="EP201" s="59">
        <f t="shared" si="210"/>
        <v>225.33715877618704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</v>
      </c>
      <c r="EW201" s="21">
        <f>EXP(-LN(2)/25)*EW200+(1-EXP(-LN(2)/25))/(LN(2)/25)*Calculateur!ER201*Calculateur!ET201*VLOOKUP('Données projet'!$B$15,Paramètres!$A$1:$I$89,3,0)*0.475*44/12</f>
        <v>0.1218867974445336</v>
      </c>
      <c r="EX201" s="21">
        <f>EXP(-LN(2)/2)*EX200+(1-EXP(-LN(2)/2))/(LN(2)/2)*ER201*EU201*VLOOKUP('Données projet'!$B$15,Paramètres!$A$1:$I$89,3,0)*0.475*44/12</f>
        <v>1.2267791522448008E-24</v>
      </c>
      <c r="EY201" s="22">
        <f t="shared" si="181"/>
        <v>0.1218867974445336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>
        <f>FE201*VLOOKUP('Données projet'!$B$16,Paramètres!$A$1:$I$89,3,0)*VLOOKUP('Données projet'!$B$16,Paramètres!$A$1:$I$89,5,0)</f>
        <v>0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168.08890945052406</v>
      </c>
      <c r="FK201" s="59">
        <f t="shared" si="211"/>
        <v>182.52462557642343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0.22300055236563832</v>
      </c>
      <c r="FR201" s="21">
        <f>EXP(-LN(2)/25)*FR200+(1-EXP(-LN(2)/25))/(LN(2)/25)*Calculateur!FM201*Calculateur!FO201*VLOOKUP('Données projet'!$B$16,Paramètres!$A$1:$I$89,3,0)*0.475*44/12</f>
        <v>0.116969485550019</v>
      </c>
      <c r="FS201" s="21">
        <f>EXP(-LN(2)/2)*FS200+(1-EXP(-LN(2)/2))/(LN(2)/2)*FM201*FP201*VLOOKUP('Données projet'!$B$16,Paramètres!$A$1:$I$89,3,0)*0.475*44/12</f>
        <v>2.8153569711012652E-25</v>
      </c>
      <c r="FT201" s="22">
        <f t="shared" si="184"/>
        <v>0.33997003791565733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-5.6843418860808015E-14</v>
      </c>
      <c r="GA201" s="17">
        <f>FZ201*VLOOKUP('Données projet'!$B$17,Paramètres!$A$1:$I$89,3,0)*VLOOKUP('Données projet'!$B$17,Paramètres!$A$1:$I$89,5,0)</f>
        <v>-3.2514435588382188E-14</v>
      </c>
      <c r="GB201" s="13" t="e">
        <f t="shared" si="185"/>
        <v>#NUM!</v>
      </c>
      <c r="GC201" s="20" t="e">
        <f t="shared" si="186"/>
        <v>#NUM!</v>
      </c>
      <c r="GD201" s="59" t="e">
        <f t="shared" si="200"/>
        <v>#NUM!</v>
      </c>
      <c r="GE201" s="59">
        <f ca="1">AVERAGE(OFFSET($GD$3,0,0,'Données projet'!$E$17+1,1))-AVERAGE(OFFSET($H$3,0,0,'Données projet'!$E$17+1,1))</f>
        <v>196.95560009657527</v>
      </c>
      <c r="GF201" s="59">
        <f t="shared" si="212"/>
        <v>168.90186968005662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0</v>
      </c>
      <c r="GM201" s="21">
        <f>EXP(-LN(2)/25)*GM200+(1-EXP(-LN(2)/25))/(LN(2)/25)*Calculateur!GH201*Calculateur!GJ201*VLOOKUP('Données projet'!$B$17,Paramètres!$A$1:$I$89,3,0)*0.475*44/12</f>
        <v>8.7563741326460706E-2</v>
      </c>
      <c r="GN201" s="21">
        <f>EXP(-LN(2)/2)*GN200+(1-EXP(-LN(2)/2))/(LN(2)/2)*GH201*GK201*VLOOKUP('Données projet'!$B$17,Paramètres!$A$1:$I$89,3,0)*0.475*44/12</f>
        <v>6.6482461866043387E-25</v>
      </c>
      <c r="GO201" s="21">
        <f t="shared" si="187"/>
        <v>8.7563741326460706E-2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-5.3205440053716299E-14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215.23235148064941</v>
      </c>
      <c r="T202" s="59">
        <f t="shared" si="204"/>
        <v>184.07239726900434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0.11031504436971426</v>
      </c>
      <c r="AA202" s="21">
        <f>EXP(-LN(2)/25)*AA201+(1-EXP(-LN(2)/25))/(LN(2)/25)*Calculateur!V202*Calculateur!X202*VLOOKUP('Données projet'!$B$9,Paramètres!$A$1:$I$89,3,0)*0.475*44/12</f>
        <v>7.2478482454588031E-2</v>
      </c>
      <c r="AB202" s="21">
        <f>EXP(-LN(2)/2)*AB201+(1-EXP(-LN(2)/2))/(LN(2)/2)*V202*Y202*VLOOKUP('Données projet'!$B$9,Paramètres!$A$1:$I$89,3,0)*0.475*44/12</f>
        <v>3.5943058655040152E-25</v>
      </c>
      <c r="AC202" s="22">
        <f t="shared" si="163"/>
        <v>0.18279352682430228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5.6843418860808015E-14</v>
      </c>
      <c r="AJ202" s="13">
        <f>AI202*VLOOKUP('Données projet'!$B$10,Paramètres!$A$1:$I$89,3,0)*VLOOKUP('Données projet'!$B$10,Paramètres!$A$1:$I$89,5,0)</f>
        <v>4.1677594708744434E-14</v>
      </c>
      <c r="AK202" s="13">
        <f t="shared" si="164"/>
        <v>6.9326303456159188E-13</v>
      </c>
      <c r="AL202" s="20">
        <f t="shared" si="165"/>
        <v>1.2800215959791691E-12</v>
      </c>
      <c r="AM202" s="59">
        <f t="shared" si="193"/>
        <v>293.33333333333462</v>
      </c>
      <c r="AN202" s="59">
        <f ca="1">AVERAGE(OFFSET($AM$3,0,0,'Données projet'!$E$10+1,1))-AVERAGE(OFFSET($H$3,0,0,'Données projet'!$E$10+1,1))</f>
        <v>178.12968684094687</v>
      </c>
      <c r="AO202" s="59">
        <f t="shared" si="205"/>
        <v>219.36004077210373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7.0937575179096116E-2</v>
      </c>
      <c r="AW202" s="21">
        <f>EXP(-LN(2)/2)*AW201+(1-EXP(-LN(2)/2))/(LN(2)/2)*AQ202*AT202*VLOOKUP('Données projet'!$B$10,Paramètres!$A$1:$I$89,3,0)*0.475*44/12</f>
        <v>3.6255025488076403E-25</v>
      </c>
      <c r="AX202" s="21">
        <f t="shared" si="166"/>
        <v>7.0937575179096116E-2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-5.6843418860808015E-14</v>
      </c>
      <c r="BE202" s="13">
        <f>BD202*VLOOKUP('Données projet'!$B$11,Paramètres!$A$1:$I$89,3,0)*VLOOKUP('Données projet'!$B$11,Paramètres!$A$1:$I$89,5,0)</f>
        <v>-4.9658410716801891E-14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114.02623091248347</v>
      </c>
      <c r="BJ202" s="59">
        <f t="shared" si="206"/>
        <v>185.51554083721635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6.8688054078842764E-2</v>
      </c>
      <c r="BQ202" s="21">
        <f>EXP(-LN(2)/25)*BQ201+(1-EXP(-LN(2)/25))/(LN(2)/25)*Calculateur!BL202*Calculateur!BN202*VLOOKUP('Données projet'!$B$11,Paramètres!$A$1:$I$89,3,0)*0.475*44/12</f>
        <v>0.10385474647328817</v>
      </c>
      <c r="BR202" s="21">
        <f>EXP(-LN(2)/2)*BR201+(1-EXP(-LN(2)/2))/(LN(2)/2)*BL202*BO202*VLOOKUP('Données projet'!$B$11,Paramètres!$A$1:$I$89,3,0)*0.475*44/12</f>
        <v>6.4483122334611579E-25</v>
      </c>
      <c r="BS202" s="22">
        <f t="shared" si="169"/>
        <v>0.17254280055213095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-1.1368683772161603E-13</v>
      </c>
      <c r="BZ202" s="13">
        <f>BY202*VLOOKUP('Données projet'!$B$12,Paramètres!$A$1:$I$89,3,0)*VLOOKUP('Données projet'!$B$12,Paramètres!$A$1:$I$89,5,0)</f>
        <v>-1.0286385077051818E-13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237.22177246688199</v>
      </c>
      <c r="CE202" s="59">
        <f t="shared" si="207"/>
        <v>149.27472147904302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2.865695459815968E-2</v>
      </c>
      <c r="CM202" s="21">
        <f>EXP(-LN(2)/2)*CM201+(1-EXP(-LN(2)/2))/(LN(2)/2)*CG202*CJ202*VLOOKUP('Données projet'!$B$12,Paramètres!$A$1:$I$89,3,0)*0.475*44/12</f>
        <v>2.2626128956695732E-25</v>
      </c>
      <c r="CN202" s="22">
        <f t="shared" si="172"/>
        <v>2.865695459815968E-2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-5.6843418860808015E-13</v>
      </c>
      <c r="CU202" s="17">
        <f>CT202*VLOOKUP('Données projet'!$B$13,Paramètres!$A$1:$I$89,3,0)*VLOOKUP('Données projet'!$B$13,Paramètres!$A$1:$I$89,5,0)</f>
        <v>-3.177547114319168E-13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326.31232746914907</v>
      </c>
      <c r="CZ202" s="59">
        <f t="shared" si="208"/>
        <v>330.17137761430297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0.16075927550367464</v>
      </c>
      <c r="DG202" s="21">
        <f>EXP(-LN(2)/25)*DG201+(1-EXP(-LN(2)/25))/(LN(2)/25)*Calculateur!DB202*Calculateur!DD202*VLOOKUP('Données projet'!$B$13,Paramètres!$A$1:$I$89,3,0)*0.475*44/12</f>
        <v>0.27839086311588701</v>
      </c>
      <c r="DH202" s="21">
        <f>EXP(-LN(2)/2)*DH201+(1-EXP(-LN(2)/2))/(LN(2)/2)*DB202*DE202*VLOOKUP('Données projet'!$B$13,Paramètres!$A$1:$I$89,3,0)*0.475*44/12</f>
        <v>1.1888957976146526E-24</v>
      </c>
      <c r="DI202" s="22">
        <f t="shared" si="175"/>
        <v>0.43915013861956165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6.2527760746888816E-13</v>
      </c>
      <c r="DP202" s="17">
        <f>DO202*VLOOKUP('Données projet'!$B$14,Paramètres!$A$1:$I$89,3,0)*VLOOKUP('Données projet'!$B$14,Paramètres!$A$1:$I$89,5,0)</f>
        <v>3.9017322706058616E-13</v>
      </c>
      <c r="DQ202" s="13">
        <f t="shared" si="176"/>
        <v>5.0025007393608908E-12</v>
      </c>
      <c r="DR202" s="20">
        <f t="shared" si="177"/>
        <v>9.3922404915174053E-12</v>
      </c>
      <c r="DS202" s="59">
        <f t="shared" si="197"/>
        <v>293.33333333334269</v>
      </c>
      <c r="DT202" s="59">
        <f ca="1">AVERAGE(OFFSET($DS$3,0,0,'Données projet'!$E$14+1,1))-AVERAGE(OFFSET($H$3,0,0,'Données projet'!$E$14+1,1))</f>
        <v>209.93608079129638</v>
      </c>
      <c r="DU202" s="59">
        <f t="shared" si="209"/>
        <v>240.15652428700969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0.24470756524872242</v>
      </c>
      <c r="EB202" s="21">
        <f>EXP(-LN(2)/25)*EB201+(1-EXP(-LN(2)/25))/(LN(2)/25)*Calculateur!DW202*Calculateur!DY202*VLOOKUP('Données projet'!$B$14,Paramètres!$A$1:$I$89,3,0)*0.475*44/12</f>
        <v>0.19179974480608586</v>
      </c>
      <c r="EC202" s="21">
        <f>EXP(-LN(2)/2)*EC201+(1-EXP(-LN(2)/2))/(LN(2)/2)*DW202*DZ202*VLOOKUP('Données projet'!$B$14,Paramètres!$A$1:$I$89,3,0)*0.475*44/12</f>
        <v>7.3810683463370735E-25</v>
      </c>
      <c r="ED202" s="22">
        <f t="shared" si="178"/>
        <v>0.43650731005480825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-4.5474735088646412E-13</v>
      </c>
      <c r="EK202" s="17">
        <f>EJ202*VLOOKUP('Données projet'!$B$15,Paramètres!$A$1:$I$89,3,0)*VLOOKUP('Données projet'!$B$15,Paramètres!$A$1:$I$89,5,0)</f>
        <v>-2.7193891583010558E-13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216.94426559495264</v>
      </c>
      <c r="EP202" s="59">
        <f t="shared" si="210"/>
        <v>225.33715877618704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</v>
      </c>
      <c r="EW202" s="21">
        <f>EXP(-LN(2)/25)*EW201+(1-EXP(-LN(2)/25))/(LN(2)/25)*Calculateur!ER202*Calculateur!ET202*VLOOKUP('Données projet'!$B$15,Paramètres!$A$1:$I$89,3,0)*0.475*44/12</f>
        <v>0.11855379655866473</v>
      </c>
      <c r="EX202" s="21">
        <f>EXP(-LN(2)/2)*EX201+(1-EXP(-LN(2)/2))/(LN(2)/2)*ER202*EU202*VLOOKUP('Données projet'!$B$15,Paramètres!$A$1:$I$89,3,0)*0.475*44/12</f>
        <v>8.6746385757058259E-25</v>
      </c>
      <c r="EY202" s="22">
        <f t="shared" si="181"/>
        <v>0.11855379655866473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>
        <f>FE202*VLOOKUP('Données projet'!$B$16,Paramètres!$A$1:$I$89,3,0)*VLOOKUP('Données projet'!$B$16,Paramètres!$A$1:$I$89,5,0)</f>
        <v>0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168.08890945052406</v>
      </c>
      <c r="FK202" s="59">
        <f t="shared" si="211"/>
        <v>182.52462557642343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0.21862764755065453</v>
      </c>
      <c r="FR202" s="21">
        <f>EXP(-LN(2)/25)*FR201+(1-EXP(-LN(2)/25))/(LN(2)/25)*Calculateur!FM202*Calculateur!FO202*VLOOKUP('Données projet'!$B$16,Paramètres!$A$1:$I$89,3,0)*0.475*44/12</f>
        <v>0.11377094881649583</v>
      </c>
      <c r="FS202" s="21">
        <f>EXP(-LN(2)/2)*FS201+(1-EXP(-LN(2)/2))/(LN(2)/2)*FM202*FP202*VLOOKUP('Données projet'!$B$16,Paramètres!$A$1:$I$89,3,0)*0.475*44/12</f>
        <v>1.9907580057265235E-25</v>
      </c>
      <c r="FT202" s="22">
        <f t="shared" si="184"/>
        <v>0.33239859636715036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-5.6843418860808015E-14</v>
      </c>
      <c r="GA202" s="17">
        <f>FZ202*VLOOKUP('Données projet'!$B$17,Paramètres!$A$1:$I$89,3,0)*VLOOKUP('Données projet'!$B$17,Paramètres!$A$1:$I$89,5,0)</f>
        <v>-3.2514435588382188E-14</v>
      </c>
      <c r="GB202" s="13" t="e">
        <f t="shared" si="185"/>
        <v>#NUM!</v>
      </c>
      <c r="GC202" s="20" t="e">
        <f t="shared" si="186"/>
        <v>#NUM!</v>
      </c>
      <c r="GD202" s="59" t="e">
        <f t="shared" si="200"/>
        <v>#NUM!</v>
      </c>
      <c r="GE202" s="59">
        <f ca="1">AVERAGE(OFFSET($GD$3,0,0,'Données projet'!$E$17+1,1))-AVERAGE(OFFSET($H$3,0,0,'Données projet'!$E$17+1,1))</f>
        <v>196.95560009657527</v>
      </c>
      <c r="GF202" s="59">
        <f t="shared" si="212"/>
        <v>168.90186968005662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0</v>
      </c>
      <c r="GM202" s="21">
        <f>EXP(-LN(2)/25)*GM201+(1-EXP(-LN(2)/25))/(LN(2)/25)*Calculateur!GH202*Calculateur!GJ202*VLOOKUP('Données projet'!$B$17,Paramètres!$A$1:$I$89,3,0)*0.475*44/12</f>
        <v>8.5169306215111609E-2</v>
      </c>
      <c r="GN202" s="21">
        <f>EXP(-LN(2)/2)*GN201+(1-EXP(-LN(2)/2))/(LN(2)/2)*GH202*GK202*VLOOKUP('Données projet'!$B$17,Paramètres!$A$1:$I$89,3,0)*0.475*44/12</f>
        <v>4.7010199615455331E-25</v>
      </c>
      <c r="GO202" s="21">
        <f t="shared" si="187"/>
        <v>8.5169306215111609E-2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-5.3205440053716299E-14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215.23235148064941</v>
      </c>
      <c r="T203" s="59">
        <f t="shared" si="204"/>
        <v>184.07239726900434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0.10815183363515733</v>
      </c>
      <c r="AA203" s="21">
        <f>EXP(-LN(2)/25)*AA202+(1-EXP(-LN(2)/25))/(LN(2)/25)*Calculateur!V203*Calculateur!X203*VLOOKUP('Données projet'!$B$9,Paramètres!$A$1:$I$89,3,0)*0.475*44/12</f>
        <v>7.0496554540389583E-2</v>
      </c>
      <c r="AB203" s="21">
        <f>EXP(-LN(2)/2)*AB202+(1-EXP(-LN(2)/2))/(LN(2)/2)*V203*Y203*VLOOKUP('Données projet'!$B$9,Paramètres!$A$1:$I$89,3,0)*0.475*44/12</f>
        <v>2.5415580511564719E-25</v>
      </c>
      <c r="AC203" s="22">
        <f t="shared" si="163"/>
        <v>0.1786483881755469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5.6843418860808015E-14</v>
      </c>
      <c r="AJ203" s="13">
        <f>AI203*VLOOKUP('Données projet'!$B$10,Paramètres!$A$1:$I$89,3,0)*VLOOKUP('Données projet'!$B$10,Paramètres!$A$1:$I$89,5,0)</f>
        <v>4.1677594708744434E-14</v>
      </c>
      <c r="AK203" s="13">
        <f t="shared" si="164"/>
        <v>6.9326303456159188E-13</v>
      </c>
      <c r="AL203" s="20">
        <f t="shared" si="165"/>
        <v>1.2800215959791691E-12</v>
      </c>
      <c r="AM203" s="59">
        <f t="shared" si="193"/>
        <v>293.33333333333462</v>
      </c>
      <c r="AN203" s="59">
        <f ca="1">AVERAGE(OFFSET($AM$3,0,0,'Données projet'!$E$10+1,1))-AVERAGE(OFFSET($H$3,0,0,'Données projet'!$E$10+1,1))</f>
        <v>178.12968684094687</v>
      </c>
      <c r="AO203" s="59">
        <f t="shared" si="205"/>
        <v>219.36004077210373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6.8997783455378783E-2</v>
      </c>
      <c r="AW203" s="21">
        <f>EXP(-LN(2)/2)*AW202+(1-EXP(-LN(2)/2))/(LN(2)/2)*AQ203*AT203*VLOOKUP('Données projet'!$B$10,Paramètres!$A$1:$I$89,3,0)*0.475*44/12</f>
        <v>2.5636174374709944E-25</v>
      </c>
      <c r="AX203" s="21">
        <f t="shared" si="166"/>
        <v>6.8997783455378783E-2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-5.6843418860808015E-14</v>
      </c>
      <c r="BE203" s="13">
        <f>BD203*VLOOKUP('Données projet'!$B$11,Paramètres!$A$1:$I$89,3,0)*VLOOKUP('Données projet'!$B$11,Paramètres!$A$1:$I$89,5,0)</f>
        <v>-4.9658410716801891E-14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114.02623091248347</v>
      </c>
      <c r="BJ203" s="59">
        <f t="shared" si="206"/>
        <v>185.51554083721635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6.7341123233932806E-2</v>
      </c>
      <c r="BQ203" s="21">
        <f>EXP(-LN(2)/25)*BQ202+(1-EXP(-LN(2)/25))/(LN(2)/25)*Calculateur!BL203*Calculateur!BN203*VLOOKUP('Données projet'!$B$11,Paramètres!$A$1:$I$89,3,0)*0.475*44/12</f>
        <v>0.10101483296949235</v>
      </c>
      <c r="BR203" s="21">
        <f>EXP(-LN(2)/2)*BR202+(1-EXP(-LN(2)/2))/(LN(2)/2)*BL203*BO203*VLOOKUP('Données projet'!$B$11,Paramètres!$A$1:$I$89,3,0)*0.475*44/12</f>
        <v>4.5596453074885564E-25</v>
      </c>
      <c r="BS203" s="22">
        <f t="shared" si="169"/>
        <v>0.16835595620342514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-1.1368683772161603E-13</v>
      </c>
      <c r="BZ203" s="13">
        <f>BY203*VLOOKUP('Données projet'!$B$12,Paramètres!$A$1:$I$89,3,0)*VLOOKUP('Données projet'!$B$12,Paramètres!$A$1:$I$89,5,0)</f>
        <v>-1.0286385077051818E-13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237.22177246688199</v>
      </c>
      <c r="CE203" s="59">
        <f t="shared" si="207"/>
        <v>149.27472147904302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2.7873328667669256E-2</v>
      </c>
      <c r="CM203" s="21">
        <f>EXP(-LN(2)/2)*CM202+(1-EXP(-LN(2)/2))/(LN(2)/2)*CG203*CJ203*VLOOKUP('Données projet'!$B$12,Paramètres!$A$1:$I$89,3,0)*0.475*44/12</f>
        <v>1.5999089217280856E-25</v>
      </c>
      <c r="CN203" s="22">
        <f t="shared" si="172"/>
        <v>2.7873328667669256E-2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-5.6843418860808015E-13</v>
      </c>
      <c r="CU203" s="17">
        <f>CT203*VLOOKUP('Données projet'!$B$13,Paramètres!$A$1:$I$89,3,0)*VLOOKUP('Données projet'!$B$13,Paramètres!$A$1:$I$89,5,0)</f>
        <v>-3.177547114319168E-13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326.31232746914907</v>
      </c>
      <c r="CZ203" s="59">
        <f t="shared" si="208"/>
        <v>330.17137761430297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0.15760688416452365</v>
      </c>
      <c r="DG203" s="21">
        <f>EXP(-LN(2)/25)*DG202+(1-EXP(-LN(2)/25))/(LN(2)/25)*Calculateur!DB203*Calculateur!DD203*VLOOKUP('Données projet'!$B$13,Paramètres!$A$1:$I$89,3,0)*0.475*44/12</f>
        <v>0.27077825032404385</v>
      </c>
      <c r="DH203" s="21">
        <f>EXP(-LN(2)/2)*DH202+(1-EXP(-LN(2)/2))/(LN(2)/2)*DB203*DE203*VLOOKUP('Données projet'!$B$13,Paramètres!$A$1:$I$89,3,0)*0.475*44/12</f>
        <v>8.4067628061751003E-25</v>
      </c>
      <c r="DI203" s="22">
        <f t="shared" si="175"/>
        <v>0.42838513448856752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6.2527760746888816E-13</v>
      </c>
      <c r="DP203" s="17">
        <f>DO203*VLOOKUP('Données projet'!$B$14,Paramètres!$A$1:$I$89,3,0)*VLOOKUP('Données projet'!$B$14,Paramètres!$A$1:$I$89,5,0)</f>
        <v>3.9017322706058616E-13</v>
      </c>
      <c r="DQ203" s="13">
        <f t="shared" si="176"/>
        <v>5.0025007393608908E-12</v>
      </c>
      <c r="DR203" s="20">
        <f t="shared" si="177"/>
        <v>9.3922404915174053E-12</v>
      </c>
      <c r="DS203" s="59">
        <f t="shared" si="197"/>
        <v>293.33333333334269</v>
      </c>
      <c r="DT203" s="59">
        <f ca="1">AVERAGE(OFFSET($DS$3,0,0,'Données projet'!$E$14+1,1))-AVERAGE(OFFSET($H$3,0,0,'Données projet'!$E$14+1,1))</f>
        <v>209.93608079129638</v>
      </c>
      <c r="DU203" s="59">
        <f t="shared" si="209"/>
        <v>240.15652428700969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0.23990899915107189</v>
      </c>
      <c r="EB203" s="21">
        <f>EXP(-LN(2)/25)*EB202+(1-EXP(-LN(2)/25))/(LN(2)/25)*Calculateur!DW203*Calculateur!DY203*VLOOKUP('Données projet'!$B$14,Paramètres!$A$1:$I$89,3,0)*0.475*44/12</f>
        <v>0.18655497069805321</v>
      </c>
      <c r="EC203" s="21">
        <f>EXP(-LN(2)/2)*EC202+(1-EXP(-LN(2)/2))/(LN(2)/2)*DW203*DZ203*VLOOKUP('Données projet'!$B$14,Paramètres!$A$1:$I$89,3,0)*0.475*44/12</f>
        <v>5.2192034800963212E-25</v>
      </c>
      <c r="ED203" s="22">
        <f t="shared" si="178"/>
        <v>0.4264639698491251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-4.5474735088646412E-13</v>
      </c>
      <c r="EK203" s="17">
        <f>EJ203*VLOOKUP('Données projet'!$B$15,Paramètres!$A$1:$I$89,3,0)*VLOOKUP('Données projet'!$B$15,Paramètres!$A$1:$I$89,5,0)</f>
        <v>-2.7193891583010558E-13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216.94426559495264</v>
      </c>
      <c r="EP203" s="59">
        <f t="shared" si="210"/>
        <v>225.33715877618704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</v>
      </c>
      <c r="EW203" s="21">
        <f>EXP(-LN(2)/25)*EW202+(1-EXP(-LN(2)/25))/(LN(2)/25)*Calculateur!ER203*Calculateur!ET203*VLOOKUP('Données projet'!$B$15,Paramètres!$A$1:$I$89,3,0)*0.475*44/12</f>
        <v>0.11531193675729484</v>
      </c>
      <c r="EX203" s="21">
        <f>EXP(-LN(2)/2)*EX202+(1-EXP(-LN(2)/2))/(LN(2)/2)*ER203*EU203*VLOOKUP('Données projet'!$B$15,Paramètres!$A$1:$I$89,3,0)*0.475*44/12</f>
        <v>6.1338957612240039E-25</v>
      </c>
      <c r="EY203" s="22">
        <f t="shared" si="181"/>
        <v>0.11531193675729484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>
        <f>FE203*VLOOKUP('Données projet'!$B$16,Paramètres!$A$1:$I$89,3,0)*VLOOKUP('Données projet'!$B$16,Paramètres!$A$1:$I$89,5,0)</f>
        <v>0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168.08890945052406</v>
      </c>
      <c r="FK203" s="59">
        <f t="shared" si="211"/>
        <v>182.52462557642343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0.21434049273188402</v>
      </c>
      <c r="FR203" s="21">
        <f>EXP(-LN(2)/25)*FR202+(1-EXP(-LN(2)/25))/(LN(2)/25)*Calculateur!FM203*Calculateur!FO203*VLOOKUP('Données projet'!$B$16,Paramètres!$A$1:$I$89,3,0)*0.475*44/12</f>
        <v>0.11065987623815457</v>
      </c>
      <c r="FS203" s="21">
        <f>EXP(-LN(2)/2)*FS202+(1-EXP(-LN(2)/2))/(LN(2)/2)*FM203*FP203*VLOOKUP('Données projet'!$B$16,Paramètres!$A$1:$I$89,3,0)*0.475*44/12</f>
        <v>1.4076784855506326E-25</v>
      </c>
      <c r="FT203" s="22">
        <f t="shared" si="184"/>
        <v>0.32500036897003859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-5.6843418860808015E-14</v>
      </c>
      <c r="GA203" s="17">
        <f>FZ203*VLOOKUP('Données projet'!$B$17,Paramètres!$A$1:$I$89,3,0)*VLOOKUP('Données projet'!$B$17,Paramètres!$A$1:$I$89,5,0)</f>
        <v>-3.2514435588382188E-14</v>
      </c>
      <c r="GB203" s="13" t="e">
        <f t="shared" si="185"/>
        <v>#NUM!</v>
      </c>
      <c r="GC203" s="20" t="e">
        <f t="shared" si="186"/>
        <v>#NUM!</v>
      </c>
      <c r="GD203" s="59" t="e">
        <f t="shared" si="200"/>
        <v>#NUM!</v>
      </c>
      <c r="GE203" s="59">
        <f ca="1">AVERAGE(OFFSET($GD$3,0,0,'Données projet'!$E$17+1,1))-AVERAGE(OFFSET($H$3,0,0,'Données projet'!$E$17+1,1))</f>
        <v>196.95560009657527</v>
      </c>
      <c r="GF203" s="59">
        <f t="shared" si="212"/>
        <v>168.90186968005662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0</v>
      </c>
      <c r="GM203" s="21">
        <f>EXP(-LN(2)/25)*GM202+(1-EXP(-LN(2)/25))/(LN(2)/25)*Calculateur!GH203*Calculateur!GJ203*VLOOKUP('Données projet'!$B$17,Paramètres!$A$1:$I$89,3,0)*0.475*44/12</f>
        <v>8.2840347057800232E-2</v>
      </c>
      <c r="GN203" s="21">
        <f>EXP(-LN(2)/2)*GN202+(1-EXP(-LN(2)/2))/(LN(2)/2)*GH203*GK203*VLOOKUP('Données projet'!$B$17,Paramètres!$A$1:$I$89,3,0)*0.475*44/12</f>
        <v>3.3241230933021693E-25</v>
      </c>
      <c r="GO203" s="21">
        <f t="shared" si="187"/>
        <v>8.2840347057800232E-2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1.2880503926580862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1.2557008269631629</v>
      </c>
      <c r="BA205" s="82">
        <f>EXP(LN('Données projet'!B88)/'Données projet'!A88)</f>
        <v>1.248736902983739</v>
      </c>
      <c r="BV205" s="82">
        <f>EXP(LN('Données projet'!B114)/'Données projet'!A114)</f>
        <v>1.2054868146447177</v>
      </c>
      <c r="CQ205" s="82">
        <f>EXP(LN('Données projet'!B140)/'Données projet'!A140)</f>
        <v>1.2820888539868154</v>
      </c>
      <c r="DL205" s="82">
        <f>EXP(LN('Données projet'!B166)/'Données projet'!A166)</f>
        <v>1.2693871579679339</v>
      </c>
      <c r="EG205" s="82">
        <f>EXP(LN('Données projet'!B192)/'Données projet'!A192)</f>
        <v>1.2530028811664373</v>
      </c>
      <c r="FB205" s="82">
        <f>EXP(LN('Données projet'!B218)/'Données projet'!A218)</f>
        <v>1.3480061545972777</v>
      </c>
      <c r="FW205" s="82">
        <f>EXP(LN('Données projet'!B244)/'Données projet'!A244)</f>
        <v>1.2231148535053959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K21" sqref="K2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Cèdre de l'Atlas</v>
      </c>
      <c r="B6" s="146">
        <f>'Données projet'!D9</f>
        <v>1.142403496743122</v>
      </c>
      <c r="C6" s="147">
        <f ca="1">IF(OR('Données projet'!B9="",'Données projet'!C9="",'Données projet'!C9=0%),0,Calculateur!S3)</f>
        <v>215.23235148064941</v>
      </c>
      <c r="D6" s="147">
        <f>IF(OR('Données projet'!B9="",'Données projet'!C9="",'Données projet'!C9=0%),0,Calculateur!T3)</f>
        <v>184.07239726900434</v>
      </c>
      <c r="E6" s="147">
        <f ca="1">MIN(C6,D6)</f>
        <v>184.07239726900434</v>
      </c>
      <c r="F6" s="147">
        <f ca="1">E6*B6</f>
        <v>210.28495029399966</v>
      </c>
      <c r="G6" s="147">
        <f ca="1">F6*(100%-'Données projet'!$C$24)*(100%-'Données projet'!$C$25)*(100%-'Données projet'!$C$26)*(100%-'Données projet'!$C$27)</f>
        <v>189.25645526459971</v>
      </c>
      <c r="H6" s="148">
        <f>IF(OR('Données projet'!B9="",'Données projet'!C9="",'Données projet'!C9=0%),0,AVERAGE(Calculateur!$AC$3:$AC$33)*B6)</f>
        <v>1.864669264101172</v>
      </c>
      <c r="I6" s="149">
        <f>H6*(100%-'Données projet'!$C$24)*(100%-'Données projet'!$C$25)*(100%-'Données projet'!$C$26)*(100%-'Données projet'!$C$27)</f>
        <v>1.6782023376910549</v>
      </c>
      <c r="J6" s="150">
        <f>IF(OR('Données projet'!B9="",'Données projet'!C9="",'Données projet'!C9=0%),0,SUM(Calculateur!$V$3:$V$33)*VLOOKUP('Données projet'!$B$9,Paramètres!$A$1:$I$89,9,0)*B6)</f>
        <v>28.688036610213278</v>
      </c>
      <c r="K6" s="151">
        <f>J6*(100%-'Données projet'!$C$24)*(100%-'Données projet'!$C$25)*(100%-'Données projet'!$C$26)*(100%-'Données projet'!$C$27)</f>
        <v>25.819232949191949</v>
      </c>
      <c r="L6" s="152">
        <f ca="1">G6+I6+K6</f>
        <v>216.75389055148273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Châtaignier</v>
      </c>
      <c r="B7" s="154">
        <f>'Données projet'!D10</f>
        <v>2.4233095412092194</v>
      </c>
      <c r="C7" s="147">
        <f ca="1">IF(OR('Données projet'!B10="",'Données projet'!C10="",'Données projet'!C10=0%),0,Calculateur!AN3)</f>
        <v>178.12968684094687</v>
      </c>
      <c r="D7" s="147">
        <f>IF(OR('Données projet'!B10="",'Données projet'!C10="",'Données projet'!C10=0%),0,Calculateur!AO3)</f>
        <v>219.36004077210373</v>
      </c>
      <c r="E7" s="147">
        <f t="shared" ref="E7:E15" ca="1" si="0">MIN(C7,D7)</f>
        <v>178.12968684094687</v>
      </c>
      <c r="F7" s="147">
        <f t="shared" ref="F7:F15" ca="1" si="1">E7*B7</f>
        <v>431.66336969427687</v>
      </c>
      <c r="G7" s="147">
        <f ca="1">F7*(100%-'Données projet'!$C$24)*(100%-'Données projet'!$C$25)*(100%-'Données projet'!$C$26)*(100%-'Données projet'!$C$27)</f>
        <v>388.49703272484919</v>
      </c>
      <c r="H7" s="155">
        <f>IF(OR('Données projet'!B10="",'Données projet'!C10="",'Données projet'!C10=0%),0,AVERAGE(Calculateur!$AX$3:$AX$33)*B7)</f>
        <v>5.8823624454133023</v>
      </c>
      <c r="I7" s="149">
        <f>H7*(100%-'Données projet'!$C$24)*(100%-'Données projet'!$C$25)*(100%-'Données projet'!$C$26)*(100%-'Données projet'!$C$27)</f>
        <v>5.2941262008719718</v>
      </c>
      <c r="J7" s="150">
        <f>IF(OR('Données projet'!B10="",'Données projet'!C10="",'Données projet'!C10=0%),0,SUM(Calculateur!$AQ$3:$AQ$33)*VLOOKUP('Données projet'!$B$10,Paramètres!$A$1:$I$89,9,0)*B7)</f>
        <v>59.976911144928181</v>
      </c>
      <c r="K7" s="151">
        <f>J7*(100%-'Données projet'!$C$24)*(100%-'Données projet'!$C$25)*(100%-'Données projet'!$C$26)*(100%-'Données projet'!$C$27)</f>
        <v>53.979220030435364</v>
      </c>
      <c r="L7" s="152">
        <f t="shared" ref="L7:L15" ca="1" si="2">G7+I7+K7</f>
        <v>447.77037895615655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Chêne rouge d'Amérique</v>
      </c>
      <c r="B8" s="154">
        <f>'Données projet'!D11</f>
        <v>4.8494393379212104</v>
      </c>
      <c r="C8" s="147">
        <f ca="1">IF(OR('Données projet'!B11="",'Données projet'!C11="",'Données projet'!C11=0%),0,Calculateur!BI3)</f>
        <v>114.02623091248347</v>
      </c>
      <c r="D8" s="147">
        <f>IF(OR('Données projet'!B11="",'Données projet'!C11="",'Données projet'!C11=0%),0,Calculateur!BJ3)</f>
        <v>185.51554083721635</v>
      </c>
      <c r="E8" s="147">
        <f t="shared" ca="1" si="0"/>
        <v>114.02623091248347</v>
      </c>
      <c r="F8" s="147">
        <f t="shared" ca="1" si="1"/>
        <v>552.96328974188486</v>
      </c>
      <c r="G8" s="147">
        <f ca="1">F8*(100%-'Données projet'!$C$24)*(100%-'Données projet'!$C$25)*(100%-'Données projet'!$C$26)*(100%-'Données projet'!$C$27)</f>
        <v>497.66696076769637</v>
      </c>
      <c r="H8" s="155">
        <f>IF(OR('Données projet'!B11="",'Données projet'!C11="",'Données projet'!C11=0%),0,AVERAGE(Calculateur!$BS$3:$BS$33)*B8)</f>
        <v>12.821172638799746</v>
      </c>
      <c r="I8" s="149">
        <f>H8*(100%-'Données projet'!$C$24)*(100%-'Données projet'!$C$25)*(100%-'Données projet'!$C$26)*(100%-'Données projet'!$C$27)</f>
        <v>11.539055374919771</v>
      </c>
      <c r="J8" s="150">
        <f>IF(OR('Données projet'!B11="",'Données projet'!C11="",'Données projet'!C11=0%),0,SUM(Calculateur!$BL$3:$BL$33)*VLOOKUP('Données projet'!$B$11,Paramètres!$A$1:$I$89,9,0)*B8)</f>
        <v>95.776426923943902</v>
      </c>
      <c r="K8" s="151">
        <f>J8*(100%-'Données projet'!$C$24)*(100%-'Données projet'!$C$25)*(100%-'Données projet'!$C$26)*(100%-'Données projet'!$C$27)</f>
        <v>86.19878423154951</v>
      </c>
      <c r="L8" s="152">
        <f t="shared" ca="1" si="2"/>
        <v>595.40480037416569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Chêne sessile</v>
      </c>
      <c r="B9" s="154">
        <f>'Données projet'!D12</f>
        <v>6.1205844980940283</v>
      </c>
      <c r="C9" s="147">
        <f ca="1">IF(OR('Données projet'!B12="",'Données projet'!C12="",'Données projet'!C12=0%),0,Calculateur!CD3)</f>
        <v>237.22177246688199</v>
      </c>
      <c r="D9" s="147">
        <f>IF(OR('Données projet'!B12="",'Données projet'!C12="",'Données projet'!C12=0%),0,Calculateur!CE3)</f>
        <v>149.27472147904302</v>
      </c>
      <c r="E9" s="147">
        <f t="shared" ca="1" si="0"/>
        <v>149.27472147904302</v>
      </c>
      <c r="F9" s="147">
        <f t="shared" ca="1" si="1"/>
        <v>913.64854624193435</v>
      </c>
      <c r="G9" s="147">
        <f ca="1">F9*(100%-'Données projet'!$C$24)*(100%-'Données projet'!$C$25)*(100%-'Données projet'!$C$26)*(100%-'Données projet'!$C$27)</f>
        <v>822.28369161774094</v>
      </c>
      <c r="H9" s="155">
        <f>IF(OR('Données projet'!B12="",'Données projet'!C12="",'Données projet'!C12=0%),0,AVERAGE(Calculateur!$CN$3:$CN$33)*B9)</f>
        <v>1.8352446310227866</v>
      </c>
      <c r="I9" s="149">
        <f>H9*(100%-'Données projet'!$C$24)*(100%-'Données projet'!$C$25)*(100%-'Données projet'!$C$26)*(100%-'Données projet'!$C$27)</f>
        <v>1.651720167920508</v>
      </c>
      <c r="J9" s="150">
        <f>IF(OR('Données projet'!B12="",'Données projet'!C12="",'Données projet'!C12=0%),0,SUM(Calculateur!$CG$3:$CG$33)*VLOOKUP('Données projet'!$B$12,Paramètres!$A$1:$I$89,9,0)*B9)</f>
        <v>44.374237611181705</v>
      </c>
      <c r="K9" s="151">
        <f>J9*(100%-'Données projet'!$C$24)*(100%-'Données projet'!$C$25)*(100%-'Données projet'!$C$26)*(100%-'Données projet'!$C$27)</f>
        <v>39.936813850063537</v>
      </c>
      <c r="L9" s="152">
        <f t="shared" ca="1" si="2"/>
        <v>863.87222563572504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Douglas</v>
      </c>
      <c r="B10" s="154">
        <f>'Données projet'!D13</f>
        <v>9.6666757583994283</v>
      </c>
      <c r="C10" s="147">
        <f ca="1">IF(OR('Données projet'!B13="",'Données projet'!C13="",'Données projet'!C13=0%),0,Calculateur!CY3)</f>
        <v>326.31232746914907</v>
      </c>
      <c r="D10" s="147">
        <f>IF(OR('Données projet'!B13="",'Données projet'!C13="",'Données projet'!C13=0%),0,Calculateur!CZ3)</f>
        <v>330.17137761430297</v>
      </c>
      <c r="E10" s="147">
        <f t="shared" ca="1" si="0"/>
        <v>326.31232746914907</v>
      </c>
      <c r="F10" s="147">
        <f t="shared" ca="1" si="1"/>
        <v>3154.355465612919</v>
      </c>
      <c r="G10" s="147">
        <f ca="1">F10*(100%-'Données projet'!$C$24)*(100%-'Données projet'!$C$25)*(100%-'Données projet'!$C$26)*(100%-'Données projet'!$C$27)</f>
        <v>2838.9199190516274</v>
      </c>
      <c r="H10" s="155">
        <f>IF(OR('Données projet'!B13="",'Données projet'!C13="",'Données projet'!C13=0%),0,AVERAGE(Calculateur!$DI$3:$DI$33)*B10)</f>
        <v>76.872093423428026</v>
      </c>
      <c r="I10" s="149">
        <f>H10*(100%-'Données projet'!$C$24)*(100%-'Données projet'!$C$25)*(100%-'Données projet'!$C$26)*(100%-'Données projet'!$C$27)</f>
        <v>69.184884081085229</v>
      </c>
      <c r="J10" s="150">
        <f>IF(OR('Données projet'!B13="",'Données projet'!C13="",'Données projet'!C13=0%),0,SUM(Calculateur!$DB$3:$DB$33)*VLOOKUP('Données projet'!$B$13,Paramètres!$A$1:$I$89,9,0)*B10)</f>
        <v>727.41735081955699</v>
      </c>
      <c r="K10" s="151">
        <f>J10*(100%-'Données projet'!$C$24)*(100%-'Données projet'!$C$25)*(100%-'Données projet'!$C$26)*(100%-'Données projet'!$C$27)</f>
        <v>654.67561573760133</v>
      </c>
      <c r="L10" s="152">
        <f t="shared" ca="1" si="2"/>
        <v>3562.780418870314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Mélèze d'Europe</v>
      </c>
      <c r="B11" s="154">
        <f>'Données projet'!D14</f>
        <v>5.9111355229360907</v>
      </c>
      <c r="C11" s="147">
        <f ca="1">IF(OR('Données projet'!B14="",'Données projet'!C14="",'Données projet'!C14=0%),0,Calculateur!DT3)</f>
        <v>209.93608079129638</v>
      </c>
      <c r="D11" s="147">
        <f>IF(OR('Données projet'!B14="",'Données projet'!C14="",'Données projet'!C14=0%),0,Calculateur!DU3)</f>
        <v>240.15652428700969</v>
      </c>
      <c r="E11" s="147">
        <f t="shared" ca="1" si="0"/>
        <v>209.93608079129638</v>
      </c>
      <c r="F11" s="147">
        <f t="shared" ca="1" si="1"/>
        <v>1240.9606247114132</v>
      </c>
      <c r="G11" s="147">
        <f ca="1">F11*(100%-'Données projet'!$C$24)*(100%-'Données projet'!$C$25)*(100%-'Données projet'!$C$26)*(100%-'Données projet'!$C$27)</f>
        <v>1116.8645622402719</v>
      </c>
      <c r="H11" s="155">
        <f>IF(OR('Données projet'!B14="",'Données projet'!C14="",'Données projet'!C14=0%),0,AVERAGE(Calculateur!$ED$3:$ED$33)*B11)</f>
        <v>32.836463175806912</v>
      </c>
      <c r="I11" s="149">
        <f>H11*(100%-'Données projet'!$C$24)*(100%-'Données projet'!$C$25)*(100%-'Données projet'!$C$26)*(100%-'Données projet'!$C$27)</f>
        <v>29.552816858226223</v>
      </c>
      <c r="J11" s="150">
        <f>IF(OR('Données projet'!B14="",'Données projet'!C14="",'Données projet'!C14=0%),0,SUM(Calculateur!$DW$3:$DW$33)*VLOOKUP('Données projet'!$B$14,Paramètres!$A$1:$I$89,9,0)*B11)</f>
        <v>271.97134541028953</v>
      </c>
      <c r="K11" s="151">
        <f>J11*(100%-'Données projet'!$C$24)*(100%-'Données projet'!$C$25)*(100%-'Données projet'!$C$26)*(100%-'Données projet'!$C$27)</f>
        <v>244.77421086926057</v>
      </c>
      <c r="L11" s="152">
        <f t="shared" ca="1" si="2"/>
        <v>1391.1915899677585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>Pin laricio</v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>Pin Maritime</v>
      </c>
      <c r="B13" s="154">
        <f>'Données projet'!D16</f>
        <v>0.91208263068346951</v>
      </c>
      <c r="C13" s="147">
        <f ca="1">IF(OR('Données projet'!B16="",'Données projet'!C16="",'Données projet'!C16=0%),0,Calculateur!FJ3)</f>
        <v>168.08890945052406</v>
      </c>
      <c r="D13" s="147">
        <f>IF(OR('Données projet'!B16="",'Données projet'!C16="",'Données projet'!C16=0%),0,Calculateur!FK3)</f>
        <v>182.52462557642343</v>
      </c>
      <c r="E13" s="147">
        <f t="shared" ca="1" si="0"/>
        <v>168.08890945052406</v>
      </c>
      <c r="F13" s="147">
        <f t="shared" ca="1" si="1"/>
        <v>153.31097472034949</v>
      </c>
      <c r="G13" s="147">
        <f ca="1">F13*(100%-'Données projet'!$C$24)*(100%-'Données projet'!$C$25)*(100%-'Données projet'!$C$26)*(100%-'Données projet'!$C$27)</f>
        <v>137.97987724831455</v>
      </c>
      <c r="H13" s="155">
        <f>IF(OR('Données projet'!B16="",'Données projet'!C16="",'Données projet'!C16=0%),0,AVERAGE(Calculateur!$FT$3:$FT$33)*B13)</f>
        <v>6.6409552876121136</v>
      </c>
      <c r="I13" s="149">
        <f>H13*(100%-'Données projet'!$C$24)*(100%-'Données projet'!$C$25)*(100%-'Données projet'!$C$26)*(100%-'Données projet'!$C$27)</f>
        <v>5.9768597588509023</v>
      </c>
      <c r="J13" s="150">
        <f>IF(OR('Données projet'!C16="",'Données projet'!C16=0%),0,SUM(Calculateur!$FM$3:$FM$33)*VLOOKUP('Données projet'!$B$16,Paramètres!$A$1:$I$89,9,0)*B13)</f>
        <v>55.427261466634441</v>
      </c>
      <c r="K13" s="151">
        <f>J13*(100%-'Données projet'!$C$24)*(100%-'Données projet'!$C$25)*(100%-'Données projet'!$C$26)*(100%-'Données projet'!$C$27)</f>
        <v>49.884535319971</v>
      </c>
      <c r="L13" s="152">
        <f t="shared" ca="1" si="2"/>
        <v>193.84127232713647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>Pin sylvestre</v>
      </c>
      <c r="B14" s="154">
        <f>'Données projet'!D17</f>
        <v>0.87436921401343259</v>
      </c>
      <c r="C14" s="147">
        <f ca="1">IF(OR('Données projet'!B17="",'Données projet'!C17="",'Données projet'!C17=0%),0,Calculateur!GE3)</f>
        <v>196.95560009657527</v>
      </c>
      <c r="D14" s="147">
        <f>IF(OR('Données projet'!B17="",'Données projet'!C17="",'Données projet'!C17=0%),0,Calculateur!GF3)</f>
        <v>168.90186968005662</v>
      </c>
      <c r="E14" s="147">
        <f t="shared" ca="1" si="0"/>
        <v>168.90186968005662</v>
      </c>
      <c r="F14" s="147">
        <f t="shared" ca="1" si="1"/>
        <v>147.68259503755033</v>
      </c>
      <c r="G14" s="147">
        <f ca="1">F14*(100%-'Données projet'!$C$24)*(100%-'Données projet'!$C$25)*(100%-'Données projet'!$C$26)*(100%-'Données projet'!$C$27)</f>
        <v>132.91433553379531</v>
      </c>
      <c r="H14" s="155">
        <f>IF(OR('Données projet'!B17="",'Données projet'!C17="",'Données projet'!C17=0%),0,AVERAGE(Calculateur!$GO$3:$GO$33)*B14)</f>
        <v>1.6389987397036352</v>
      </c>
      <c r="I14" s="149">
        <f>H14*(100%-'Données projet'!$C$24)*(100%-'Données projet'!$C$25)*(100%-'Données projet'!$C$26)*(100%-'Données projet'!$C$27)</f>
        <v>1.4750988657332718</v>
      </c>
      <c r="J14" s="150">
        <f>IF(OR('Données projet'!B17="",'Données projet'!C17="",'Données projet'!C17=0%),0,SUM(Calculateur!$GH$3:$GH$33)*VLOOKUP('Données projet'!$B$17,Paramètres!$A$1:$I$89,9,0)*B14)</f>
        <v>21.430789435469229</v>
      </c>
      <c r="K14" s="151">
        <f>J14*(100%-'Données projet'!$C$24)*(100%-'Données projet'!$C$25)*(100%-'Données projet'!$C$26)*(100%-'Données projet'!$C$27)</f>
        <v>19.287710491922308</v>
      </c>
      <c r="L14" s="152">
        <f t="shared" ca="1" si="2"/>
        <v>153.67714489145087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6804.8698160543281</v>
      </c>
      <c r="G16" s="166">
        <f t="shared" ca="1" si="3"/>
        <v>6124.3828344488957</v>
      </c>
      <c r="H16" s="167">
        <f t="shared" si="3"/>
        <v>140.39195960588768</v>
      </c>
      <c r="I16" s="167">
        <f t="shared" si="3"/>
        <v>126.35276364529894</v>
      </c>
      <c r="J16" s="168">
        <f t="shared" si="3"/>
        <v>1305.0623594222172</v>
      </c>
      <c r="K16" s="168">
        <f t="shared" si="3"/>
        <v>1174.5561234799957</v>
      </c>
      <c r="L16" s="169">
        <f t="shared" ca="1" si="3"/>
        <v>7425.29172157419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Châtaignier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Chêne rouge d'Amérique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Chêne sessile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Douglas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Mélèze d'Europe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>Pin laricio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>Pin Maritime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>Pin sylvestre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D3" zoomScale="80" zoomScaleNormal="80" workbookViewId="0">
      <selection activeCell="Y30" sqref="Y3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Cèdre de l'Atlas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-511.6660245170051</v>
      </c>
      <c r="U10" s="178">
        <f>'Données projet'!D9</f>
        <v>1.142403496743122</v>
      </c>
      <c r="V10" s="177">
        <f>U10*T10</f>
        <v>-584.52905557287863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Châtaignier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-1315.0219189689542</v>
      </c>
      <c r="U11" s="178">
        <f>'Données projet'!D10</f>
        <v>2.4233095412092194</v>
      </c>
      <c r="V11" s="177">
        <f t="shared" ref="V11" si="0">U11*T11</f>
        <v>-3186.7051631367235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rouge d'Amérique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-1170.1693340507002</v>
      </c>
      <c r="U12" s="178">
        <f>'Données projet'!D11</f>
        <v>4.8494393379212104</v>
      </c>
      <c r="V12" s="177">
        <f t="shared" ref="V12:V19" si="1">U12*T12</f>
        <v>-5674.6652005745309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sessile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-2047.0448011951876</v>
      </c>
      <c r="U13" s="178">
        <f>'Données projet'!D12</f>
        <v>6.1205844980940283</v>
      </c>
      <c r="V13" s="177">
        <f t="shared" si="1"/>
        <v>-12529.110677099237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Cèdre de l'Atlas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Douglas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3013.3744305006594</v>
      </c>
      <c r="U14" s="178">
        <f>'Données projet'!D13</f>
        <v>9.6666757583994283</v>
      </c>
      <c r="V14" s="177">
        <f t="shared" si="1"/>
        <v>29129.313558301408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Mélèze d'Europe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-946.08152696725449</v>
      </c>
      <c r="U15" s="178">
        <f>'Données projet'!D14</f>
        <v>5.9111355229360907</v>
      </c>
      <c r="V15" s="177">
        <f t="shared" si="1"/>
        <v>-5592.4161216497569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30</v>
      </c>
      <c r="O16" s="23"/>
      <c r="P16" s="23"/>
      <c r="Q16" s="234"/>
      <c r="R16" s="23"/>
      <c r="S16" s="36" t="str">
        <f>B200</f>
        <v>Pin laricio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26.028106513091075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2438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29.999999999999993</v>
      </c>
      <c r="O17" s="23"/>
      <c r="P17" s="23"/>
      <c r="Q17" s="234"/>
      <c r="R17" s="23"/>
      <c r="S17" s="36" t="str">
        <f>B231</f>
        <v>Pin Maritime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65.558955653073895</v>
      </c>
      <c r="U17" s="178">
        <f>'Données projet'!D16</f>
        <v>0.91208263068346951</v>
      </c>
      <c r="V17" s="177">
        <f t="shared" si="1"/>
        <v>59.795184736916553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5</v>
      </c>
      <c r="O18" s="23"/>
      <c r="P18" s="23"/>
      <c r="Q18" s="234"/>
      <c r="R18" s="23"/>
      <c r="S18" s="36" t="str">
        <f>B262</f>
        <v>Pin sylvestre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-847.22544256055323</v>
      </c>
      <c r="U18" s="178">
        <f>'Données projet'!D17</f>
        <v>0.87436921401343259</v>
      </c>
      <c r="V18" s="177">
        <f t="shared" si="1"/>
        <v>-740.78784430385349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149.99999999999997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f>2150+212</f>
        <v>2362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1434.4752168972038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1000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20</v>
      </c>
      <c r="B23" s="181">
        <f>'Données projet'!D36</f>
        <v>12.5</v>
      </c>
      <c r="C23" s="193">
        <v>10</v>
      </c>
      <c r="D23" s="182">
        <f>B23*C23</f>
        <v>125</v>
      </c>
      <c r="E23" s="193"/>
      <c r="F23" s="230"/>
      <c r="H23" s="190">
        <v>3</v>
      </c>
      <c r="I23" s="191">
        <v>1050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-204977.49620147707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30</v>
      </c>
      <c r="B24" s="181">
        <f>'Données projet'!D37</f>
        <v>45.9</v>
      </c>
      <c r="C24" s="193">
        <v>15</v>
      </c>
      <c r="D24" s="182">
        <f t="shared" ref="D24:D42" si="2">B24*C24</f>
        <v>688.5</v>
      </c>
      <c r="E24" s="193"/>
      <c r="F24" s="233"/>
      <c r="H24" s="190">
        <v>5</v>
      </c>
      <c r="I24" s="191">
        <v>1100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1277.5950742010091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40</v>
      </c>
      <c r="B25" s="181">
        <f>'Données projet'!D38</f>
        <v>83.4</v>
      </c>
      <c r="C25" s="193">
        <v>20</v>
      </c>
      <c r="D25" s="182">
        <f t="shared" si="2"/>
        <v>1668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-206255.09127567807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50</v>
      </c>
      <c r="B26" s="181">
        <f>'Données projet'!D39</f>
        <v>83.4</v>
      </c>
      <c r="C26" s="193">
        <v>25</v>
      </c>
      <c r="D26" s="182">
        <f t="shared" si="2"/>
        <v>2085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60</v>
      </c>
      <c r="B27" s="181">
        <f>'Données projet'!D40</f>
        <v>83.4</v>
      </c>
      <c r="C27" s="193">
        <v>30</v>
      </c>
      <c r="D27" s="182">
        <f t="shared" si="2"/>
        <v>2502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70</v>
      </c>
      <c r="B28" s="181">
        <f>'Données projet'!D41</f>
        <v>83.4</v>
      </c>
      <c r="C28" s="193">
        <v>40</v>
      </c>
      <c r="D28" s="182">
        <f t="shared" si="2"/>
        <v>3336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80</v>
      </c>
      <c r="B29" s="181">
        <f>'Données projet'!D42</f>
        <v>83.4</v>
      </c>
      <c r="C29" s="193">
        <v>50</v>
      </c>
      <c r="D29" s="182">
        <f t="shared" si="2"/>
        <v>4170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90</v>
      </c>
      <c r="B30" s="181">
        <f>'Données projet'!D43</f>
        <v>83.4</v>
      </c>
      <c r="C30" s="193">
        <v>60</v>
      </c>
      <c r="D30" s="182">
        <f t="shared" si="2"/>
        <v>5004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100</v>
      </c>
      <c r="B31" s="181">
        <f>'Données projet'!D44</f>
        <v>726.2</v>
      </c>
      <c r="C31" s="193">
        <v>70</v>
      </c>
      <c r="D31" s="182">
        <f t="shared" si="2"/>
        <v>50834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Châtaignier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2606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43</v>
      </c>
      <c r="C54" s="191">
        <v>10</v>
      </c>
      <c r="D54" s="179">
        <f>B54*C54</f>
        <v>430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56</v>
      </c>
      <c r="C55" s="191">
        <v>15</v>
      </c>
      <c r="D55" s="179">
        <f t="shared" ref="D55:D73" si="4">B55*C55</f>
        <v>840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56</v>
      </c>
      <c r="C56" s="191">
        <v>25</v>
      </c>
      <c r="D56" s="179">
        <f t="shared" si="4"/>
        <v>1400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39</v>
      </c>
      <c r="C57" s="191">
        <v>35</v>
      </c>
      <c r="D57" s="179">
        <f t="shared" si="4"/>
        <v>1365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25</v>
      </c>
      <c r="C58" s="191">
        <v>45</v>
      </c>
      <c r="D58" s="179">
        <f t="shared" si="4"/>
        <v>1125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21</v>
      </c>
      <c r="C59" s="191">
        <v>55</v>
      </c>
      <c r="D59" s="179">
        <f t="shared" si="4"/>
        <v>1155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284</v>
      </c>
      <c r="C60" s="191">
        <v>70</v>
      </c>
      <c r="D60" s="179">
        <f t="shared" si="4"/>
        <v>19880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Chêne rouge d'Amérique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30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1986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32</v>
      </c>
      <c r="C85" s="191">
        <v>8</v>
      </c>
      <c r="D85" s="179">
        <f>B85*C85</f>
        <v>256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30</v>
      </c>
      <c r="B86" s="181">
        <f>'Données projet'!D89</f>
        <v>47</v>
      </c>
      <c r="C86" s="191">
        <v>10</v>
      </c>
      <c r="D86" s="179">
        <f t="shared" ref="D86:D104" si="6">B86*C86</f>
        <v>470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40</v>
      </c>
      <c r="B87" s="181">
        <f>'Données projet'!D90</f>
        <v>44</v>
      </c>
      <c r="C87" s="191">
        <v>15</v>
      </c>
      <c r="D87" s="179">
        <f t="shared" si="6"/>
        <v>660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50</v>
      </c>
      <c r="B88" s="181">
        <f>'Données projet'!D91</f>
        <v>38</v>
      </c>
      <c r="C88" s="191">
        <v>25</v>
      </c>
      <c r="D88" s="179">
        <f t="shared" si="6"/>
        <v>950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60</v>
      </c>
      <c r="B89" s="181">
        <f>'Données projet'!D92</f>
        <v>30</v>
      </c>
      <c r="C89" s="191">
        <v>35</v>
      </c>
      <c r="D89" s="179">
        <f t="shared" si="6"/>
        <v>1050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70</v>
      </c>
      <c r="B90" s="181">
        <f>'Données projet'!D93</f>
        <v>24</v>
      </c>
      <c r="C90" s="191">
        <v>45</v>
      </c>
      <c r="D90" s="179">
        <f t="shared" si="6"/>
        <v>1080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80</v>
      </c>
      <c r="B91" s="181">
        <f>'Données projet'!D94</f>
        <v>18</v>
      </c>
      <c r="C91" s="191">
        <v>55</v>
      </c>
      <c r="D91" s="179">
        <f t="shared" si="6"/>
        <v>990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90</v>
      </c>
      <c r="B92" s="181">
        <f>'Données projet'!D95</f>
        <v>159</v>
      </c>
      <c r="C92" s="191">
        <v>70</v>
      </c>
      <c r="D92" s="179">
        <f t="shared" si="6"/>
        <v>11130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Chêne sessile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3123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20</v>
      </c>
      <c r="B116" s="181">
        <f>'Données projet'!D114</f>
        <v>0</v>
      </c>
      <c r="C116" s="191">
        <v>0</v>
      </c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30</v>
      </c>
      <c r="B117" s="181">
        <f>'Données projet'!D115</f>
        <v>29</v>
      </c>
      <c r="C117" s="191">
        <v>12</v>
      </c>
      <c r="D117" s="179">
        <f t="shared" ref="D117:D135" si="8">B117*C117</f>
        <v>348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40</v>
      </c>
      <c r="B118" s="181">
        <f>'Données projet'!D116</f>
        <v>42</v>
      </c>
      <c r="C118" s="191">
        <v>15</v>
      </c>
      <c r="D118" s="179">
        <f t="shared" si="8"/>
        <v>630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50</v>
      </c>
      <c r="B119" s="181">
        <f>'Données projet'!D117</f>
        <v>42</v>
      </c>
      <c r="C119" s="191">
        <v>25</v>
      </c>
      <c r="D119" s="179">
        <f t="shared" si="8"/>
        <v>1050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60</v>
      </c>
      <c r="B120" s="181">
        <f>'Données projet'!D118</f>
        <v>42</v>
      </c>
      <c r="C120" s="191">
        <v>40</v>
      </c>
      <c r="D120" s="179">
        <f t="shared" si="8"/>
        <v>1680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70</v>
      </c>
      <c r="B121" s="181">
        <f>'Données projet'!D119</f>
        <v>42</v>
      </c>
      <c r="C121" s="191">
        <v>55</v>
      </c>
      <c r="D121" s="179">
        <f t="shared" si="8"/>
        <v>2310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80</v>
      </c>
      <c r="B122" s="181">
        <f>'Données projet'!D120</f>
        <v>42</v>
      </c>
      <c r="C122" s="191">
        <v>70</v>
      </c>
      <c r="D122" s="179">
        <f t="shared" si="8"/>
        <v>2940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90</v>
      </c>
      <c r="B123" s="181">
        <f>'Données projet'!D121</f>
        <v>42</v>
      </c>
      <c r="C123" s="191">
        <v>90</v>
      </c>
      <c r="D123" s="179">
        <f t="shared" si="8"/>
        <v>3780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100</v>
      </c>
      <c r="B124" s="181">
        <f>'Données projet'!D122</f>
        <v>42</v>
      </c>
      <c r="C124" s="191">
        <v>110</v>
      </c>
      <c r="D124" s="179">
        <f t="shared" si="8"/>
        <v>4620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110</v>
      </c>
      <c r="B125" s="181">
        <f>'Données projet'!D123</f>
        <v>39</v>
      </c>
      <c r="C125" s="191">
        <v>130</v>
      </c>
      <c r="D125" s="179">
        <f t="shared" si="8"/>
        <v>5070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120</v>
      </c>
      <c r="B126" s="181">
        <f>'Données projet'!D124</f>
        <v>303</v>
      </c>
      <c r="C126" s="191">
        <v>180</v>
      </c>
      <c r="D126" s="179">
        <f t="shared" si="8"/>
        <v>54540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Douglas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2097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10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20</v>
      </c>
      <c r="B148" s="175">
        <f>'Données projet'!D141</f>
        <v>63</v>
      </c>
      <c r="C148" s="191">
        <v>15</v>
      </c>
      <c r="D148" s="182">
        <f t="shared" ref="D148:D166" si="10">B148*C148</f>
        <v>945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30</v>
      </c>
      <c r="B149" s="175">
        <f>'Données projet'!D142</f>
        <v>112</v>
      </c>
      <c r="C149" s="191">
        <v>40</v>
      </c>
      <c r="D149" s="182">
        <f t="shared" si="10"/>
        <v>4480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40</v>
      </c>
      <c r="B150" s="175">
        <f>'Données projet'!D143</f>
        <v>112</v>
      </c>
      <c r="C150" s="191">
        <v>50</v>
      </c>
      <c r="D150" s="182">
        <f t="shared" si="10"/>
        <v>5600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50</v>
      </c>
      <c r="B151" s="175">
        <f>'Données projet'!D144</f>
        <v>108</v>
      </c>
      <c r="C151" s="191">
        <v>55</v>
      </c>
      <c r="D151" s="182">
        <f t="shared" si="10"/>
        <v>5940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60</v>
      </c>
      <c r="B152" s="175">
        <f>'Données projet'!D145</f>
        <v>83</v>
      </c>
      <c r="C152" s="191">
        <v>60</v>
      </c>
      <c r="D152" s="182">
        <f t="shared" si="10"/>
        <v>4980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70</v>
      </c>
      <c r="B153" s="175">
        <f>'Données projet'!D146</f>
        <v>67</v>
      </c>
      <c r="C153" s="191">
        <v>65</v>
      </c>
      <c r="D153" s="182">
        <f t="shared" si="10"/>
        <v>4355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80</v>
      </c>
      <c r="B154" s="175">
        <f>'Données projet'!D147</f>
        <v>651</v>
      </c>
      <c r="C154" s="191">
        <v>70</v>
      </c>
      <c r="D154" s="182">
        <f t="shared" si="10"/>
        <v>45570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Mélèze d'Europe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2737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20</v>
      </c>
      <c r="B178" s="181">
        <f>'Données projet'!D166</f>
        <v>37</v>
      </c>
      <c r="C178" s="193">
        <v>7</v>
      </c>
      <c r="D178" s="179">
        <f>B178*C178</f>
        <v>259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30</v>
      </c>
      <c r="B179" s="181">
        <f>'Données projet'!D167</f>
        <v>70</v>
      </c>
      <c r="C179" s="193">
        <v>15</v>
      </c>
      <c r="D179" s="179">
        <f t="shared" ref="D179:D197" si="11">B179*C179</f>
        <v>1050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40</v>
      </c>
      <c r="B180" s="181">
        <f>'Données projet'!D168</f>
        <v>70</v>
      </c>
      <c r="C180" s="193">
        <v>25</v>
      </c>
      <c r="D180" s="179">
        <f t="shared" si="11"/>
        <v>1750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50</v>
      </c>
      <c r="B181" s="181">
        <f>'Données projet'!D169</f>
        <v>60</v>
      </c>
      <c r="C181" s="193">
        <v>30</v>
      </c>
      <c r="D181" s="179">
        <f t="shared" si="11"/>
        <v>1800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60</v>
      </c>
      <c r="B182" s="181">
        <f>'Données projet'!D170</f>
        <v>47</v>
      </c>
      <c r="C182" s="193">
        <v>40</v>
      </c>
      <c r="D182" s="179">
        <f t="shared" si="11"/>
        <v>1880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70</v>
      </c>
      <c r="B183" s="181">
        <f>'Données projet'!D171</f>
        <v>36</v>
      </c>
      <c r="C183" s="193">
        <v>50</v>
      </c>
      <c r="D183" s="179">
        <f t="shared" si="11"/>
        <v>1800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80</v>
      </c>
      <c r="B184" s="181">
        <f>'Données projet'!D172</f>
        <v>387</v>
      </c>
      <c r="C184" s="193">
        <v>60</v>
      </c>
      <c r="D184" s="179">
        <f t="shared" si="11"/>
        <v>23220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>Pin laricio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1516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20</v>
      </c>
      <c r="B209" s="181">
        <f>'Données projet'!D192</f>
        <v>3</v>
      </c>
      <c r="C209" s="193">
        <v>7</v>
      </c>
      <c r="D209" s="179">
        <f>B209*C209</f>
        <v>21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30</v>
      </c>
      <c r="B210" s="181">
        <f>'Données projet'!D193</f>
        <v>70</v>
      </c>
      <c r="C210" s="193">
        <v>10</v>
      </c>
      <c r="D210" s="179">
        <f t="shared" ref="D210:D228" si="12">B210*C210</f>
        <v>700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40</v>
      </c>
      <c r="B211" s="181">
        <f>'Données projet'!D194</f>
        <v>70</v>
      </c>
      <c r="C211" s="193">
        <v>15</v>
      </c>
      <c r="D211" s="179">
        <f t="shared" si="12"/>
        <v>1050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50</v>
      </c>
      <c r="B212" s="181">
        <f>'Données projet'!D195</f>
        <v>70</v>
      </c>
      <c r="C212" s="193">
        <v>20</v>
      </c>
      <c r="D212" s="179">
        <f t="shared" si="12"/>
        <v>1400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60</v>
      </c>
      <c r="B213" s="181">
        <f>'Données projet'!D196</f>
        <v>57</v>
      </c>
      <c r="C213" s="193">
        <v>30</v>
      </c>
      <c r="D213" s="179">
        <f t="shared" si="12"/>
        <v>1710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70</v>
      </c>
      <c r="B214" s="181">
        <f>'Données projet'!D197</f>
        <v>44</v>
      </c>
      <c r="C214" s="193">
        <v>45</v>
      </c>
      <c r="D214" s="179">
        <f t="shared" si="12"/>
        <v>1980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80</v>
      </c>
      <c r="B215" s="181">
        <f>'Données projet'!D198</f>
        <v>450</v>
      </c>
      <c r="C215" s="193">
        <v>60</v>
      </c>
      <c r="D215" s="179">
        <f t="shared" si="12"/>
        <v>27000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>Pin Maritime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>
        <v>1696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12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16</v>
      </c>
      <c r="B241" s="181">
        <f>'Données projet'!D219</f>
        <v>15</v>
      </c>
      <c r="C241" s="193">
        <v>6</v>
      </c>
      <c r="D241" s="179">
        <f t="shared" ref="D241:D259" si="13">B241*C241</f>
        <v>90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20</v>
      </c>
      <c r="B242" s="181">
        <f>'Données projet'!D220</f>
        <v>22</v>
      </c>
      <c r="C242" s="193">
        <v>8</v>
      </c>
      <c r="D242" s="179">
        <f t="shared" si="13"/>
        <v>176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24</v>
      </c>
      <c r="B243" s="181">
        <f>'Données projet'!D221</f>
        <v>31</v>
      </c>
      <c r="C243" s="193">
        <v>10</v>
      </c>
      <c r="D243" s="179">
        <f t="shared" si="13"/>
        <v>310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28</v>
      </c>
      <c r="B244" s="181">
        <f>'Données projet'!D222</f>
        <v>35</v>
      </c>
      <c r="C244" s="193">
        <v>12</v>
      </c>
      <c r="D244" s="179">
        <f t="shared" si="13"/>
        <v>420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34</v>
      </c>
      <c r="B245" s="181">
        <f>'Données projet'!D223</f>
        <v>46</v>
      </c>
      <c r="C245" s="193">
        <v>17</v>
      </c>
      <c r="D245" s="179">
        <f t="shared" si="13"/>
        <v>782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40</v>
      </c>
      <c r="B246" s="181">
        <f>'Données projet'!D224</f>
        <v>41</v>
      </c>
      <c r="C246" s="193">
        <v>22</v>
      </c>
      <c r="D246" s="179">
        <f t="shared" si="13"/>
        <v>902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46</v>
      </c>
      <c r="B247" s="181">
        <f>'Données projet'!D225</f>
        <v>29</v>
      </c>
      <c r="C247" s="193">
        <v>27</v>
      </c>
      <c r="D247" s="179">
        <f t="shared" si="13"/>
        <v>783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54</v>
      </c>
      <c r="B248" s="181">
        <f>'Données projet'!D226</f>
        <v>16</v>
      </c>
      <c r="C248" s="193">
        <v>35</v>
      </c>
      <c r="D248" s="179">
        <f t="shared" si="13"/>
        <v>560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62</v>
      </c>
      <c r="B249" s="181">
        <f>'Données projet'!D227</f>
        <v>316</v>
      </c>
      <c r="C249" s="193">
        <v>45</v>
      </c>
      <c r="D249" s="179">
        <f t="shared" si="13"/>
        <v>14220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>Pin sylvestre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>
        <v>2415</v>
      </c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22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25</v>
      </c>
      <c r="B272" s="181">
        <f>'Données projet'!D245</f>
        <v>21</v>
      </c>
      <c r="C272" s="193">
        <v>7</v>
      </c>
      <c r="D272" s="179">
        <f t="shared" ref="D272:D290" si="14">B272*C272</f>
        <v>147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30</v>
      </c>
      <c r="B273" s="181">
        <f>'Données projet'!D246</f>
        <v>36</v>
      </c>
      <c r="C273" s="193">
        <v>10</v>
      </c>
      <c r="D273" s="179">
        <f t="shared" si="14"/>
        <v>360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35</v>
      </c>
      <c r="B274" s="181">
        <f>'Données projet'!D247</f>
        <v>49</v>
      </c>
      <c r="C274" s="193">
        <v>12</v>
      </c>
      <c r="D274" s="179">
        <f t="shared" si="14"/>
        <v>588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40</v>
      </c>
      <c r="B275" s="181">
        <f>'Données projet'!D248</f>
        <v>42</v>
      </c>
      <c r="C275" s="193">
        <v>15</v>
      </c>
      <c r="D275" s="179">
        <f t="shared" si="14"/>
        <v>630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45</v>
      </c>
      <c r="B276" s="181">
        <f>'Données projet'!D249</f>
        <v>38</v>
      </c>
      <c r="C276" s="193">
        <v>20</v>
      </c>
      <c r="D276" s="179">
        <f t="shared" si="14"/>
        <v>760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50</v>
      </c>
      <c r="B277" s="181">
        <f>'Données projet'!D250</f>
        <v>37</v>
      </c>
      <c r="C277" s="193">
        <v>25</v>
      </c>
      <c r="D277" s="179">
        <f t="shared" si="14"/>
        <v>925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58</v>
      </c>
      <c r="B278" s="181">
        <f>'Données projet'!D251</f>
        <v>48</v>
      </c>
      <c r="C278" s="193">
        <v>30</v>
      </c>
      <c r="D278" s="179">
        <f t="shared" si="14"/>
        <v>1440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66</v>
      </c>
      <c r="B279" s="181">
        <f>'Données projet'!D252</f>
        <v>50</v>
      </c>
      <c r="C279" s="193">
        <v>40</v>
      </c>
      <c r="D279" s="179">
        <f t="shared" si="14"/>
        <v>2000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74</v>
      </c>
      <c r="B280" s="181">
        <f>'Données projet'!D253</f>
        <v>20</v>
      </c>
      <c r="C280" s="193">
        <v>50</v>
      </c>
      <c r="D280" s="179">
        <f t="shared" si="14"/>
        <v>1000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82</v>
      </c>
      <c r="B281" s="181">
        <f>'Données projet'!D254</f>
        <v>444</v>
      </c>
      <c r="C281" s="193">
        <v>60</v>
      </c>
      <c r="D281" s="179">
        <f t="shared" si="14"/>
        <v>26640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François Legron</cp:lastModifiedBy>
  <dcterms:created xsi:type="dcterms:W3CDTF">2021-02-01T08:22:39Z</dcterms:created>
  <dcterms:modified xsi:type="dcterms:W3CDTF">2024-05-27T06:28:28Z</dcterms:modified>
</cp:coreProperties>
</file>